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CDE17E0-2A7D-470E-B95E-8303D2DE0BA8}" xr6:coauthVersionLast="47" xr6:coauthVersionMax="47" xr10:uidLastSave="{00000000-0000-0000-0000-000000000000}"/>
  <bookViews>
    <workbookView xWindow="-120" yWindow="-120" windowWidth="38640" windowHeight="15720" tabRatio="874" activeTab="1"/>
  </bookViews>
  <sheets>
    <sheet name="TOC" sheetId="76" r:id="rId1"/>
    <sheet name="NewCo_Summary Output" sheetId="50" r:id="rId2"/>
    <sheet name="NewCo_BS" sheetId="75" r:id="rId3"/>
    <sheet name="NewCo_IS" sheetId="51" r:id="rId4"/>
    <sheet name="NewCo_CF" sheetId="52" r:id="rId5"/>
    <sheet name="NewCo_Tax" sheetId="53" r:id="rId6"/>
    <sheet name="Devel_Summary" sheetId="71" r:id="rId7"/>
    <sheet name="Devel_Financials" sheetId="73" r:id="rId8"/>
    <sheet name="Devel_Schedule" sheetId="78" r:id="rId9"/>
    <sheet name="FPLE_Valuation Summary" sheetId="1" r:id="rId10"/>
    <sheet name="FPLE_Annual Summary" sheetId="24" r:id="rId11"/>
    <sheet name="FPLE_IS" sheetId="28" r:id="rId12"/>
    <sheet name="FPLE_CF" sheetId="29" r:id="rId13"/>
    <sheet name="FPLE_Tax" sheetId="30" r:id="rId14"/>
    <sheet name="FPLE_Debt" sheetId="27" r:id="rId15"/>
    <sheet name="Maine Hydro" sheetId="10" r:id="rId16"/>
    <sheet name="Maine Thermal" sheetId="25" r:id="rId17"/>
    <sheet name="Lamar" sheetId="9" r:id="rId18"/>
    <sheet name="Marcus Hook 50" sheetId="11" r:id="rId19"/>
    <sheet name="Doswell" sheetId="12" r:id="rId20"/>
    <sheet name="Doswell CT" sheetId="22" r:id="rId21"/>
    <sheet name="Segs VIII" sheetId="17" r:id="rId22"/>
    <sheet name="Segs IX" sheetId="14" r:id="rId23"/>
    <sheet name="NELP - Bellingham &amp; Sayreville" sheetId="23" r:id="rId24"/>
    <sheet name="Cherokee" sheetId="18" r:id="rId25"/>
    <sheet name="FPLE_Wind Summary" sheetId="49" r:id="rId26"/>
    <sheet name="FPLE_Wind Annual Summary" sheetId="54" r:id="rId27"/>
    <sheet name="Cerro Gordo" sheetId="31" r:id="rId28"/>
    <sheet name="Southwest Mesa" sheetId="32" r:id="rId29"/>
    <sheet name="Vansycle" sheetId="33" r:id="rId30"/>
    <sheet name="Cameron" sheetId="34" r:id="rId31"/>
    <sheet name="Pacific Crest" sheetId="35" r:id="rId32"/>
    <sheet name="Sky River" sheetId="36" r:id="rId33"/>
    <sheet name="Ridgetop" sheetId="37" r:id="rId34"/>
    <sheet name="Green Ridge" sheetId="38" r:id="rId35"/>
    <sheet name="Mojave 16-18" sheetId="39" r:id="rId36"/>
    <sheet name="Morwind" sheetId="40" r:id="rId37"/>
    <sheet name="VG" sheetId="41" r:id="rId38"/>
    <sheet name="WPP 92" sheetId="42" r:id="rId39"/>
    <sheet name="WPP 91-2" sheetId="43" r:id="rId40"/>
    <sheet name="WPP 89" sheetId="44" r:id="rId41"/>
    <sheet name="WPP 91" sheetId="45" r:id="rId42"/>
    <sheet name="WPP 90" sheetId="46" r:id="rId43"/>
    <sheet name="ENA_Summary Output" sheetId="55" r:id="rId44"/>
    <sheet name="ENA_Assumptions" sheetId="56" r:id="rId45"/>
    <sheet name="ENA_Power Price Assumption" sheetId="57" r:id="rId46"/>
    <sheet name="ENA_IS" sheetId="58" r:id="rId47"/>
    <sheet name="ENA_BS" sheetId="77" r:id="rId48"/>
    <sheet name="ENA_CF" sheetId="60" r:id="rId49"/>
    <sheet name="ENA_Tax" sheetId="62" r:id="rId50"/>
    <sheet name="ENA_Debt" sheetId="59" r:id="rId51"/>
    <sheet name="ENA_Depreciation" sheetId="61" r:id="rId52"/>
    <sheet name="Brownsville" sheetId="63" r:id="rId53"/>
    <sheet name="Caledonia" sheetId="64" r:id="rId54"/>
    <sheet name="New Albany" sheetId="65" r:id="rId55"/>
    <sheet name="Gleason" sheetId="66" r:id="rId56"/>
    <sheet name="Wheatland" sheetId="67" r:id="rId57"/>
    <sheet name="Wilton" sheetId="68" r:id="rId58"/>
    <sheet name="Amortization of Power Contract" sheetId="69" r:id="rId59"/>
    <sheet name="ENA_Allocation" sheetId="70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</externalReferences>
  <definedNames>
    <definedName name="a" localSheetId="8" hidden="1">{"Income Statement",#N/A,FALSE,"CFMODEL";"Balance Sheet",#N/A,FALSE,"CFMODEL"}</definedName>
    <definedName name="a" localSheetId="47" hidden="1">{"Income Statement",#N/A,FALSE,"CFMODEL";"Balance Sheet",#N/A,FALSE,"CFMODEL"}</definedName>
    <definedName name="a" localSheetId="12" hidden="1">{"Income Statement",#N/A,FALSE,"CFMODEL";"Balance Sheet",#N/A,FALSE,"CFMODEL"}</definedName>
    <definedName name="a" localSheetId="13" hidden="1">{"Income Statement",#N/A,FALSE,"CFMODEL";"Balance Sheet",#N/A,FALSE,"CFMODEL"}</definedName>
    <definedName name="a" hidden="1">{"Income Statement",#N/A,FALSE,"CFMODEL";"Balance Sheet",#N/A,FALSE,"CFMODEL"}</definedName>
    <definedName name="AnnualHours" localSheetId="51">[32]Assumptions!#REF!</definedName>
    <definedName name="AnnualHours">[8]Assumptions!#REF!</definedName>
    <definedName name="annualsummary">'FPLE_Annual Summary'!$B$1:$X$52</definedName>
    <definedName name="b" localSheetId="8" hidden="1">{"SourcesUses",#N/A,TRUE,"CFMODEL";"TransOverview",#N/A,TRUE,"CFMODEL"}</definedName>
    <definedName name="b" localSheetId="47" hidden="1">{"SourcesUses",#N/A,TRUE,"CFMODEL";"TransOverview",#N/A,TRUE,"CFMODEL"}</definedName>
    <definedName name="b" localSheetId="12" hidden="1">{"SourcesUses",#N/A,TRUE,"CFMODEL";"TransOverview",#N/A,TRUE,"CFMODEL"}</definedName>
    <definedName name="b" localSheetId="13" hidden="1">{"SourcesUses",#N/A,TRUE,"CFMODEL";"TransOverview",#N/A,TRUE,"CFMODEL"}</definedName>
    <definedName name="b" hidden="1">{"SourcesUses",#N/A,TRUE,"CFMODEL";"TransOverview",#N/A,TRUE,"CFMODEL"}</definedName>
    <definedName name="Begin_Op" localSheetId="51">'[31]Consol Summary'!$N$7</definedName>
    <definedName name="Begin_Op">[11]Sum!$N$7</definedName>
    <definedName name="blm_share" localSheetId="55">Gleason!#REF!</definedName>
    <definedName name="blm_share" localSheetId="54">'New Albany'!#REF!</definedName>
    <definedName name="blm_share" localSheetId="56">Wheatland!#REF!</definedName>
    <definedName name="cherokee">Cherokee!$A$1:$Y$162</definedName>
    <definedName name="chillers" localSheetId="51">'[31]Consol Summary'!$M$65</definedName>
    <definedName name="chillers">[12]PROJECTCONFIGURATION!$M$65</definedName>
    <definedName name="coso" localSheetId="55">Gleason!#REF!</definedName>
    <definedName name="coso" localSheetId="54">'New Albany'!#REF!</definedName>
    <definedName name="coso" localSheetId="56">Wheatland!#REF!</definedName>
    <definedName name="Coso_Distributable_Cash" localSheetId="55">Gleason!$D$506:$U$506</definedName>
    <definedName name="Coso_Distributable_Cash" localSheetId="54">'New Albany'!$D$517:$U$517</definedName>
    <definedName name="Coso_Distributable_Cash" localSheetId="56">Wheatland!$D$485:$U$485</definedName>
    <definedName name="Coso_Net_ATCash" localSheetId="55">Gleason!$D$507:$U$507</definedName>
    <definedName name="Coso_Net_ATCash" localSheetId="54">'New Albany'!$D$518:$U$518</definedName>
    <definedName name="Coso_Net_ATCash" localSheetId="56">Wheatland!$D$486:$U$486</definedName>
    <definedName name="Coso_Net_Income" localSheetId="55">Gleason!$D$505:$U$505</definedName>
    <definedName name="Coso_Net_Income" localSheetId="54">'New Albany'!$D$516:$U$516</definedName>
    <definedName name="Coso_Net_Income" localSheetId="56">Wheatland!$D$484:$U$484</definedName>
    <definedName name="d" localSheetId="8" hidden="1">{"SourcesUses",#N/A,TRUE,#N/A;"TransOverview",#N/A,TRUE,"CFMODEL"}</definedName>
    <definedName name="d" localSheetId="47" hidden="1">{"SourcesUses",#N/A,TRUE,#N/A;"TransOverview",#N/A,TRUE,"CFMODEL"}</definedName>
    <definedName name="d" localSheetId="12" hidden="1">{"SourcesUses",#N/A,TRUE,#N/A;"TransOverview",#N/A,TRUE,"CFMODEL"}</definedName>
    <definedName name="d" localSheetId="13" hidden="1">{"SourcesUses",#N/A,TRUE,#N/A;"TransOverview",#N/A,TRUE,"CFMODEL"}</definedName>
    <definedName name="d" hidden="1">{"SourcesUses",#N/A,TRUE,#N/A;"TransOverview",#N/A,TRUE,"CFMODEL"}</definedName>
    <definedName name="Distributable_Cash" localSheetId="55">Gleason!#REF!</definedName>
    <definedName name="Distributable_Cash" localSheetId="54">'New Albany'!#REF!</definedName>
    <definedName name="Distributable_Cash" localSheetId="56">Wheatland!#REF!</definedName>
    <definedName name="doswell">Doswell!$A$1:$Y$162</definedName>
    <definedName name="doswellct">'Doswell CT'!$A$1:$Y$162</definedName>
    <definedName name="e" localSheetId="8" hidden="1">{"SourcesUses",#N/A,TRUE,"FundsFlow";"TransOverview",#N/A,TRUE,"FundsFlow"}</definedName>
    <definedName name="e" localSheetId="47" hidden="1">{"SourcesUses",#N/A,TRUE,"FundsFlow";"TransOverview",#N/A,TRUE,"FundsFlow"}</definedName>
    <definedName name="e" localSheetId="12" hidden="1">{"SourcesUses",#N/A,TRUE,"FundsFlow";"TransOverview",#N/A,TRUE,"FundsFlow"}</definedName>
    <definedName name="e" localSheetId="13" hidden="1">{"SourcesUses",#N/A,TRUE,"FundsFlow";"TransOverview",#N/A,TRUE,"FundsFlow"}</definedName>
    <definedName name="e" hidden="1">{"SourcesUses",#N/A,TRUE,"FundsFlow";"TransOverview",#N/A,TRUE,"FundsFlow"}</definedName>
    <definedName name="Energy_Credit_Coso" localSheetId="55">Gleason!$D$500:$U$500</definedName>
    <definedName name="Energy_Credit_Coso" localSheetId="54">'New Albany'!$D$511:$U$511</definedName>
    <definedName name="Energy_Credit_Coso" localSheetId="56">Wheatland!$D$479:$U$479</definedName>
    <definedName name="Energy_Credit_Imperial" localSheetId="55">Gleason!#REF!</definedName>
    <definedName name="Energy_Credit_Imperial" localSheetId="54">'New Albany'!#REF!</definedName>
    <definedName name="Energy_Credit_Imperial" localSheetId="56">Wheatland!#REF!</definedName>
    <definedName name="FPOC_Distributable_Cash" localSheetId="55">Gleason!$D$447:$N$447</definedName>
    <definedName name="FPOC_Distributable_Cash" localSheetId="54">'New Albany'!$D$458:$N$458</definedName>
    <definedName name="FPOC_Distributable_Cash" localSheetId="56">Wheatland!$D$426:$N$426</definedName>
    <definedName name="FPOC_Net_ATCash" localSheetId="55">Gleason!$D$449:$N$449</definedName>
    <definedName name="FPOC_Net_ATCash" localSheetId="54">'New Albany'!$D$460:$N$460</definedName>
    <definedName name="FPOC_Net_ATCash" localSheetId="56">Wheatland!$D$428:$N$428</definedName>
    <definedName name="FPOC_Net_Income" localSheetId="55">Gleason!$D$449:$N$449</definedName>
    <definedName name="FPOC_Net_Income" localSheetId="54">'New Albany'!$D$460:$N$460</definedName>
    <definedName name="FPOC_Net_Income" localSheetId="56">Wheatland!$D$428:$N$428</definedName>
    <definedName name="FSGC_ATCash" localSheetId="55">Gleason!$D$284:$H$284</definedName>
    <definedName name="FSGC_ATCash" localSheetId="54">'New Albany'!$D$295:$H$295</definedName>
    <definedName name="FSGC_ATCash" localSheetId="56">Wheatland!$D$263:$H$263</definedName>
    <definedName name="FSGC_Distributable_Cash" localSheetId="55">Gleason!$C$282:$H$282</definedName>
    <definedName name="FSGC_Distributable_Cash" localSheetId="54">'New Albany'!$C$293:$H$293</definedName>
    <definedName name="FSGC_Distributable_Cash" localSheetId="56">Wheatland!$C$261:$H$261</definedName>
    <definedName name="FSGC_Net_Income" localSheetId="55">Gleason!$D$284:$H$284</definedName>
    <definedName name="FSGC_Net_Income" localSheetId="54">'New Albany'!$D$295:$H$295</definedName>
    <definedName name="FSGC_Net_Income" localSheetId="56">Wheatland!$D$263:$H$263</definedName>
    <definedName name="idc" localSheetId="8">#REF!</definedName>
    <definedName name="idc">#REF!</definedName>
    <definedName name="Imperial_Distributable_Cash" localSheetId="55">Gleason!#REF!</definedName>
    <definedName name="Imperial_Distributable_Cash" localSheetId="54">'New Albany'!#REF!</definedName>
    <definedName name="Imperial_Distributable_Cash" localSheetId="56">Wheatland!#REF!</definedName>
    <definedName name="Imperial_Geothermal" localSheetId="55">Gleason!#REF!</definedName>
    <definedName name="Imperial_Geothermal" localSheetId="54">'New Albany'!#REF!</definedName>
    <definedName name="Imperial_Geothermal" localSheetId="56">Wheatland!#REF!</definedName>
    <definedName name="Imperial_Net_ATCash" localSheetId="55">Gleason!#REF!</definedName>
    <definedName name="Imperial_Net_ATCash" localSheetId="54">'New Albany'!#REF!</definedName>
    <definedName name="Imperial_Net_ATCash" localSheetId="56">Wheatland!#REF!</definedName>
    <definedName name="Imperial_Net_Income" localSheetId="55">Gleason!#REF!</definedName>
    <definedName name="Imperial_Net_Income" localSheetId="54">'New Albany'!#REF!</definedName>
    <definedName name="Imperial_Net_Income" localSheetId="56">Wheatland!#REF!</definedName>
    <definedName name="lamar">Lamar!$A$1:$Y$162</definedName>
    <definedName name="Main_Table" localSheetId="51">'[31]Consol Summary'!$D$22:$I$45</definedName>
    <definedName name="Main_Table">'[9]Maintenance Reserves'!$D$22:$I$45</definedName>
    <definedName name="mainehydro">'Maine Hydro'!$A$1:$Y$162</definedName>
    <definedName name="mainethermal">'Maine Thermal'!$A$1:$Y$162</definedName>
    <definedName name="Maint_Accrual" localSheetId="51">[32]Assumptions!#REF!</definedName>
    <definedName name="Maint_Accrual">[8]Assumptions!#REF!</definedName>
    <definedName name="marcushook50">'Marcus Hook 50'!$A$1:$Y$162</definedName>
    <definedName name="Minerals" localSheetId="55">Gleason!#REF!</definedName>
    <definedName name="Minerals" localSheetId="54">'New Albany'!#REF!</definedName>
    <definedName name="Minerals" localSheetId="56">Wheatland!#REF!</definedName>
    <definedName name="Minerals_Distributable_Cash" localSheetId="55">Gleason!$D$183:$U$183</definedName>
    <definedName name="Minerals_Distributable_Cash" localSheetId="54">'New Albany'!$D$194:$U$194</definedName>
    <definedName name="Minerals_Distributable_Cash" localSheetId="56">Wheatland!$D$162:$U$162</definedName>
    <definedName name="Minerals_Net_ATCash" localSheetId="55">Gleason!$D$184:$U$184</definedName>
    <definedName name="Minerals_Net_ATCash" localSheetId="54">'New Albany'!$D$195:$U$195</definedName>
    <definedName name="Minerals_Net_ATCash" localSheetId="56">Wheatland!$D$163:$U$163</definedName>
    <definedName name="Minerals_Net_Income" localSheetId="55">Gleason!$D$182:$U$182</definedName>
    <definedName name="Minerals_Net_Income" localSheetId="54">'New Albany'!$D$193:$U$193</definedName>
    <definedName name="Minerals_Net_Income" localSheetId="56">Wheatland!$D$161:$U$161</definedName>
    <definedName name="navyi_share" localSheetId="55">Gleason!#REF!</definedName>
    <definedName name="navyi_share" localSheetId="54">'New Albany'!#REF!</definedName>
    <definedName name="navyi_share" localSheetId="56">Wheatland!#REF!</definedName>
    <definedName name="navyII_share" localSheetId="55">Gleason!#REF!</definedName>
    <definedName name="navyII_share" localSheetId="54">'New Albany'!#REF!</definedName>
    <definedName name="navyII_share" localSheetId="56">Wheatland!#REF!</definedName>
    <definedName name="nelp">'NELP - Bellingham &amp; Sayreville'!$A$1:$Y$162</definedName>
    <definedName name="Net_ATCash" localSheetId="55">Gleason!#REF!</definedName>
    <definedName name="Net_ATCash" localSheetId="54">'New Albany'!#REF!</definedName>
    <definedName name="Net_ATCash" localSheetId="56">Wheatland!#REF!</definedName>
    <definedName name="Net_Income_Unlevered" localSheetId="55">Gleason!#REF!</definedName>
    <definedName name="Net_Income_Unlevered" localSheetId="54">'New Albany'!#REF!</definedName>
    <definedName name="Net_Income_Unlevered" localSheetId="56">Wheatland!#REF!</definedName>
    <definedName name="Norcon_Distributable_Cash" localSheetId="55">Gleason!$B$548:$L$548</definedName>
    <definedName name="Norcon_Distributable_Cash" localSheetId="54">'New Albany'!$B$559:$L$559</definedName>
    <definedName name="Norcon_Distributable_Cash" localSheetId="56">Wheatland!$B$527:$L$527</definedName>
    <definedName name="Norcon_Net_ATCash" localSheetId="55">Gleason!$B$549:$L$549</definedName>
    <definedName name="Norcon_Net_ATCash" localSheetId="54">'New Albany'!$B$560:$L$560</definedName>
    <definedName name="Norcon_Net_ATCash" localSheetId="56">Wheatland!$B$528:$L$528</definedName>
    <definedName name="Norcon_Net_Income" localSheetId="55">Gleason!$B$547:$L$547</definedName>
    <definedName name="Norcon_Net_Income" localSheetId="54">'New Albany'!$B$558:$L$558</definedName>
    <definedName name="Norcon_Net_Income" localSheetId="56">Wheatland!$B$526:$L$526</definedName>
    <definedName name="PERIOD1" localSheetId="51">'[31]Consol Summary'!#REF!</definedName>
    <definedName name="PERIOD1">'[10]Project Assumptions'!#REF!</definedName>
    <definedName name="PERIOD2" localSheetId="51">'[31]Consol Summary'!#REF!</definedName>
    <definedName name="PERIOD2">'[10]Project Assumptions'!#REF!</definedName>
    <definedName name="PRI_Cash_Taxes" localSheetId="55">Gleason!$D$227:$H$227</definedName>
    <definedName name="PRI_Cash_Taxes" localSheetId="54">'New Albany'!$D$238:$H$238</definedName>
    <definedName name="PRI_Cash_Taxes" localSheetId="56">Wheatland!$D$206:$H$206</definedName>
    <definedName name="PRI_Net_ATCash" localSheetId="55">Gleason!$D$235:$H$235</definedName>
    <definedName name="PRI_Net_ATCash" localSheetId="54">'New Albany'!$D$246:$H$246</definedName>
    <definedName name="PRI_Net_ATCash" localSheetId="56">Wheatland!$D$214:$H$214</definedName>
    <definedName name="PRI_Net_Income" localSheetId="55">Gleason!$D$234:$H$234</definedName>
    <definedName name="PRI_Net_Income" localSheetId="54">'New Albany'!$D$245:$H$245</definedName>
    <definedName name="PRI_Net_Income" localSheetId="56">Wheatland!$D$213:$H$213</definedName>
    <definedName name="principal" localSheetId="51">'[31]Consol Summary'!#REF!</definedName>
    <definedName name="principal">'[10]Debt Amortization'!#REF!</definedName>
    <definedName name="_xlnm.Print_Area" localSheetId="58">'Amortization of Power Contract'!$A$2:$F$54</definedName>
    <definedName name="_xlnm.Print_Area" localSheetId="52">Brownsville!$A$2:$U$103</definedName>
    <definedName name="_xlnm.Print_Area" localSheetId="53">Caledonia!$A$2:$U$100</definedName>
    <definedName name="_xlnm.Print_Area" localSheetId="30">Cameron!$A$1:$Y$164</definedName>
    <definedName name="_xlnm.Print_Area" localSheetId="27">'Cerro Gordo'!$A$1:$Y$164</definedName>
    <definedName name="_xlnm.Print_Area" localSheetId="24">Cherokee!$A$1:$Y$162</definedName>
    <definedName name="_xlnm.Print_Area" localSheetId="7">Devel_Financials!$B$2:$V$181</definedName>
    <definedName name="_xlnm.Print_Area" localSheetId="6">Devel_Summary!$B$2:$W$88</definedName>
    <definedName name="_xlnm.Print_Area" localSheetId="19">Doswell!$A$1:$Y$162</definedName>
    <definedName name="_xlnm.Print_Area" localSheetId="20">'Doswell CT'!$A$1:$Y$162</definedName>
    <definedName name="_xlnm.Print_Area" localSheetId="59">ENA_Allocation!$A$1:$E$17</definedName>
    <definedName name="_xlnm.Print_Area" localSheetId="44">ENA_Assumptions!$A$1:$K$47</definedName>
    <definedName name="_xlnm.Print_Area" localSheetId="47">ENA_BS!$A$2:$U$37</definedName>
    <definedName name="_xlnm.Print_Area" localSheetId="48">ENA_CF!$A$1:$V$40</definedName>
    <definedName name="_xlnm.Print_Area" localSheetId="50">ENA_Debt!$A$1:$U$88</definedName>
    <definedName name="_xlnm.Print_Area" localSheetId="51">ENA_Depreciation!$A$2:$V$107</definedName>
    <definedName name="_xlnm.Print_Area" localSheetId="46">ENA_IS!$A$2:$U$45</definedName>
    <definedName name="_xlnm.Print_Area" localSheetId="43">'ENA_Summary Output'!$A$3:$G$64</definedName>
    <definedName name="_xlnm.Print_Area" localSheetId="49">ENA_Tax!$A$2:$U$24</definedName>
    <definedName name="_xlnm.Print_Area" localSheetId="10">'FPLE_Annual Summary'!$B$2:$X$74</definedName>
    <definedName name="_xlnm.Print_Area" localSheetId="12">FPLE_CF!$A$1:$V$59</definedName>
    <definedName name="_xlnm.Print_Area" localSheetId="14">FPLE_Debt!$B$2:$X$76</definedName>
    <definedName name="_xlnm.Print_Area" localSheetId="11">FPLE_IS!$A$2:$V$49</definedName>
    <definedName name="_xlnm.Print_Area" localSheetId="13">FPLE_Tax!$A$2:$V$48</definedName>
    <definedName name="_xlnm.Print_Area" localSheetId="9">'FPLE_Valuation Summary'!$B$2:$Z$40</definedName>
    <definedName name="_xlnm.Print_Area" localSheetId="26">'FPLE_Wind Annual Summary'!$A$2:$Y$152</definedName>
    <definedName name="_xlnm.Print_Area" localSheetId="25">'FPLE_Wind Summary'!$B$2:$Z$45</definedName>
    <definedName name="_xlnm.Print_Area" localSheetId="55">Gleason!$A$2:$U$103</definedName>
    <definedName name="_xlnm.Print_Area" localSheetId="34">'Green Ridge'!$A$1:$Y$164</definedName>
    <definedName name="_xlnm.Print_Area" localSheetId="17">Lamar!$A$1:$Y$162</definedName>
    <definedName name="_xlnm.Print_Area" localSheetId="15">'Maine Hydro'!$A$2:$Y$162</definedName>
    <definedName name="_xlnm.Print_Area" localSheetId="16">'Maine Thermal'!$A$1:$Y$162</definedName>
    <definedName name="_xlnm.Print_Area" localSheetId="18">'Marcus Hook 50'!$A$1:$Y$162</definedName>
    <definedName name="_xlnm.Print_Area" localSheetId="35">'Mojave 16-18'!$A$1:$Y$164</definedName>
    <definedName name="_xlnm.Print_Area" localSheetId="36">Morwind!$A$1:$Y$164</definedName>
    <definedName name="_xlnm.Print_Area" localSheetId="23">'NELP - Bellingham &amp; Sayreville'!$A$1:$Y$162</definedName>
    <definedName name="_xlnm.Print_Area" localSheetId="54">'New Albany'!$A$2:$U$100</definedName>
    <definedName name="_xlnm.Print_Area" localSheetId="2">NewCo_BS!$A$2:$U$33</definedName>
    <definedName name="_xlnm.Print_Area" localSheetId="4">NewCo_CF!$A$2:$V$68</definedName>
    <definedName name="_xlnm.Print_Area" localSheetId="3">NewCo_IS!$A$2:$U$46</definedName>
    <definedName name="_xlnm.Print_Area" localSheetId="1">'NewCo_Summary Output'!$B$3:$O$61</definedName>
    <definedName name="_xlnm.Print_Area" localSheetId="5">NewCo_Tax!$A$2:$U$45</definedName>
    <definedName name="_xlnm.Print_Area" localSheetId="31">'Pacific Crest'!$A$1:$Y$165</definedName>
    <definedName name="_xlnm.Print_Area" localSheetId="33">Ridgetop!$A$1:$Y$164</definedName>
    <definedName name="_xlnm.Print_Area" localSheetId="22">'Segs IX'!$A$1:$Y$165</definedName>
    <definedName name="_xlnm.Print_Area" localSheetId="21">'Segs VIII'!$A$1:$Y$165</definedName>
    <definedName name="_xlnm.Print_Area" localSheetId="32">'Sky River'!$A$1:$Y$164</definedName>
    <definedName name="_xlnm.Print_Area" localSheetId="28">'Southwest Mesa'!$A$1:$Y$164</definedName>
    <definedName name="_xlnm.Print_Area" localSheetId="0">TOC!$A$2:$K$36</definedName>
    <definedName name="_xlnm.Print_Area" localSheetId="29">Vansycle!$A$1:$Y$164</definedName>
    <definedName name="_xlnm.Print_Area" localSheetId="37">VG!$A$1:$Y$164</definedName>
    <definedName name="_xlnm.Print_Area" localSheetId="56">Wheatland!$A$2:$U$104</definedName>
    <definedName name="_xlnm.Print_Area" localSheetId="57">Wilton!$A$2:$U$97</definedName>
    <definedName name="_xlnm.Print_Area" localSheetId="40">'WPP 89'!$A$1:$Y$164</definedName>
    <definedName name="_xlnm.Print_Area" localSheetId="42">'WPP 90'!$A$1:$Y$164</definedName>
    <definedName name="_xlnm.Print_Area" localSheetId="41">'WPP 91'!$A$1:$Y$164</definedName>
    <definedName name="_xlnm.Print_Area" localSheetId="39">'WPP 91-2'!$A$1:$Y$164</definedName>
    <definedName name="_xlnm.Print_Area" localSheetId="38">'WPP 92'!$A$1:$Y$164</definedName>
    <definedName name="_xlnm.Print_Titles" localSheetId="30">Cameron!$1:$2</definedName>
    <definedName name="_xlnm.Print_Titles" localSheetId="24">Cherokee!$A:$B</definedName>
    <definedName name="_xlnm.Print_Titles" localSheetId="34">'Green Ridge'!$1:$2</definedName>
    <definedName name="_xlnm.Print_Titles" localSheetId="17">Lamar!$A:$B</definedName>
    <definedName name="_xlnm.Print_Titles" localSheetId="15">'Maine Hydro'!$A:$A</definedName>
    <definedName name="_xlnm.Print_Titles" localSheetId="16">'Maine Thermal'!$A:$A</definedName>
    <definedName name="_xlnm.Print_Titles" localSheetId="18">'Marcus Hook 50'!$A:$B</definedName>
    <definedName name="_xlnm.Print_Titles" localSheetId="35">'Mojave 16-18'!$1:$2</definedName>
    <definedName name="_xlnm.Print_Titles" localSheetId="36">Morwind!$1:$2</definedName>
    <definedName name="_xlnm.Print_Titles" localSheetId="23">'NELP - Bellingham &amp; Sayreville'!$A:$B</definedName>
    <definedName name="_xlnm.Print_Titles" localSheetId="31">'Pacific Crest'!$1:$2</definedName>
    <definedName name="_xlnm.Print_Titles" localSheetId="33">Ridgetop!$1:$2</definedName>
    <definedName name="_xlnm.Print_Titles" localSheetId="22">'Segs IX'!#REF!</definedName>
    <definedName name="_xlnm.Print_Titles" localSheetId="21">'Segs VIII'!#REF!</definedName>
    <definedName name="_xlnm.Print_Titles" localSheetId="32">'Sky River'!$1:$2</definedName>
    <definedName name="_xlnm.Print_Titles" localSheetId="28">'Southwest Mesa'!$1:$2</definedName>
    <definedName name="_xlnm.Print_Titles" localSheetId="29">Vansycle!$1:$2</definedName>
    <definedName name="_xlnm.Print_Titles" localSheetId="37">VG!$1:$2</definedName>
    <definedName name="_xlnm.Print_Titles" localSheetId="40">'WPP 89'!$1:$2</definedName>
    <definedName name="_xlnm.Print_Titles" localSheetId="42">'WPP 90'!$1:$2</definedName>
    <definedName name="_xlnm.Print_Titles" localSheetId="41">'WPP 91'!$1:$2</definedName>
    <definedName name="_xlnm.Print_Titles" localSheetId="39">'WPP 91-2'!$1:$2</definedName>
    <definedName name="ProjectLife">'[13]Project Assumptions'!$I$15</definedName>
    <definedName name="Saranac_Distributable_Cash" localSheetId="55">Gleason!$D$402:$N$402</definedName>
    <definedName name="Saranac_Distributable_Cash" localSheetId="54">'New Albany'!$D$413:$N$413</definedName>
    <definedName name="Saranac_Distributable_Cash" localSheetId="56">Wheatland!$D$381:$N$381</definedName>
    <definedName name="Saranac_Net_ATCash" localSheetId="55">Gleason!$D$403:$N$403</definedName>
    <definedName name="Saranac_Net_ATCash" localSheetId="54">'New Albany'!$D$414:$N$414</definedName>
    <definedName name="Saranac_Net_ATCash" localSheetId="56">Wheatland!$D$382:$N$382</definedName>
    <definedName name="Saranac_Net_Income" localSheetId="55">Gleason!$D$401:$N$401</definedName>
    <definedName name="Saranac_Net_Income" localSheetId="54">'New Albany'!$D$412:$N$412</definedName>
    <definedName name="Saranac_Net_Income" localSheetId="56">Wheatland!$D$380:$N$380</definedName>
    <definedName name="segs8">'Segs VIII'!$A$1:$Y$162</definedName>
    <definedName name="segs9">'Segs IX'!$A$1:$Y$162</definedName>
    <definedName name="solver_adj" localSheetId="50" hidden="1">ENA_Debt!$B$14,ENA_Debt!$B$34,ENA_Debt!$B$54</definedName>
    <definedName name="solver_cvg" localSheetId="50" hidden="1">0.001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in" localSheetId="50" hidden="1">2</definedName>
    <definedName name="solver_neg" localSheetId="50" hidden="1">2</definedName>
    <definedName name="solver_num" localSheetId="50" hidden="1">0</definedName>
    <definedName name="solver_nwt" localSheetId="50" hidden="1">1</definedName>
    <definedName name="solver_opt" localSheetId="50" hidden="1">ENA_Debt!$B$2</definedName>
    <definedName name="solver_pre" localSheetId="50" hidden="1">0.000001</definedName>
    <definedName name="solver_scl" localSheetId="50" hidden="1">2</definedName>
    <definedName name="solver_sho" localSheetId="50" hidden="1">2</definedName>
    <definedName name="solver_tim" localSheetId="50" hidden="1">100</definedName>
    <definedName name="solver_tol" localSheetId="50" hidden="1">0.05</definedName>
    <definedName name="solver_typ" localSheetId="50" hidden="1">3</definedName>
    <definedName name="solver_val" localSheetId="50" hidden="1">0</definedName>
    <definedName name="StartMWh" localSheetId="51">'[31]Consol Summary'!#REF!</definedName>
    <definedName name="StartMWh">'[10]Project Assumptions'!#REF!</definedName>
    <definedName name="Tax_Depreciation" localSheetId="55">Gleason!#REF!</definedName>
    <definedName name="Tax_Depreciation" localSheetId="54">'New Albany'!#REF!</definedName>
    <definedName name="Tax_Depreciation" localSheetId="56">Wheatland!#REF!</definedName>
    <definedName name="Taxable_Income" localSheetId="55">Gleason!#REF!</definedName>
    <definedName name="Taxable_Income" localSheetId="54">'New Albany'!#REF!</definedName>
    <definedName name="Taxable_Income" localSheetId="56">Wheatland!#REF!</definedName>
    <definedName name="valuationsummary">'FPLE_Valuation Summary'!$B$1:$R$39</definedName>
    <definedName name="Variable" localSheetId="51">[32]Assumptions!#REF!</definedName>
    <definedName name="Variable">[8]Assumptions!#REF!</definedName>
    <definedName name="WaterTreatmentVar" localSheetId="51">[32]Assumptions!#REF!</definedName>
    <definedName name="WaterTreatmentVar">[8]Assumptions!#REF!</definedName>
    <definedName name="wind" localSheetId="8">#REF!</definedName>
    <definedName name="wind">#REF!</definedName>
    <definedName name="windincomesummary" localSheetId="8">#REF!</definedName>
    <definedName name="windincomesummary">#REF!</definedName>
    <definedName name="windvaluation" localSheetId="8">#REF!</definedName>
    <definedName name="windvaluation">#REF!</definedName>
    <definedName name="wrn.test1." localSheetId="8" hidden="1">{"Income Statement",#N/A,FALSE,"CFMODEL";"Balance Sheet",#N/A,FALSE,"CFMODEL"}</definedName>
    <definedName name="wrn.test1." localSheetId="47" hidden="1">{"Income Statement",#N/A,FALSE,"CFMODEL";"Balance Sheet",#N/A,FALSE,"CFMODEL"}</definedName>
    <definedName name="wrn.test1." localSheetId="5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13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8" hidden="1">{"SourcesUses",#N/A,TRUE,"CFMODEL";"TransOverview",#N/A,TRUE,"CFMODEL"}</definedName>
    <definedName name="wrn.test2." localSheetId="47" hidden="1">{"SourcesUses",#N/A,TRUE,"CFMODEL";"TransOverview",#N/A,TRUE,"CFMODEL"}</definedName>
    <definedName name="wrn.test2." localSheetId="5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13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8" hidden="1">{"SourcesUses",#N/A,TRUE,#N/A;"TransOverview",#N/A,TRUE,"CFMODEL"}</definedName>
    <definedName name="wrn.test3." localSheetId="47" hidden="1">{"SourcesUses",#N/A,TRUE,#N/A;"TransOverview",#N/A,TRUE,"CFMODEL"}</definedName>
    <definedName name="wrn.test3." localSheetId="5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13" hidden="1">{"SourcesUses",#N/A,TRUE,#N/A;"TransOverview",#N/A,TRUE,"CFMODEL"}</definedName>
    <definedName name="wrn.test3." hidden="1">{"SourcesUses",#N/A,TRUE,#N/A;"TransOverview",#N/A,TRUE,"CFMODEL"}</definedName>
    <definedName name="wrn.test4." localSheetId="8" hidden="1">{"SourcesUses",#N/A,TRUE,"FundsFlow";"TransOverview",#N/A,TRUE,"FundsFlow"}</definedName>
    <definedName name="wrn.test4." localSheetId="47" hidden="1">{"SourcesUses",#N/A,TRUE,"FundsFlow";"TransOverview",#N/A,TRUE,"FundsFlow"}</definedName>
    <definedName name="wrn.test4." localSheetId="5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13" hidden="1">{"SourcesUses",#N/A,TRUE,"FundsFlow";"TransOverview",#N/A,TRUE,"FundsFlow"}</definedName>
    <definedName name="wrn.test4." hidden="1">{"SourcesUses",#N/A,TRUE,"FundsFlow";"TransOverview",#N/A,TRUE,"FundsFlow"}</definedName>
    <definedName name="Yuma_Distributable_Cash" localSheetId="55">Gleason!$D$364:$U$364</definedName>
    <definedName name="Yuma_Distributable_Cash" localSheetId="54">'New Albany'!$D$375:$U$375</definedName>
    <definedName name="Yuma_Distributable_Cash" localSheetId="56">Wheatland!$D$343:$U$343</definedName>
    <definedName name="Yuma_Net_ATCash" localSheetId="55">Gleason!$D$365:$U$365</definedName>
    <definedName name="Yuma_Net_ATCash" localSheetId="54">'New Albany'!$D$376:$U$376</definedName>
    <definedName name="Yuma_Net_ATCash" localSheetId="56">Wheatland!$D$344:$U$344</definedName>
    <definedName name="Yuma_Net_Income" localSheetId="55">Gleason!$D$363:$U$363</definedName>
    <definedName name="Yuma_Net_Income" localSheetId="54">'New Albany'!$D$374:$U$374</definedName>
    <definedName name="Yuma_Net_Income" localSheetId="56">Wheatland!$D$342:$U$342</definedName>
    <definedName name="zinc" localSheetId="55">Gleason!$X$14</definedName>
    <definedName name="zinc" localSheetId="54">'New Albany'!$X$14</definedName>
    <definedName name="zinc" localSheetId="56">Wheatland!$X$11</definedName>
    <definedName name="Zinc_Distributable_Cash" localSheetId="55">Gleason!$D$128:$U$128</definedName>
    <definedName name="Zinc_Distributable_Cash" localSheetId="54">'New Albany'!$D$139:$U$139</definedName>
    <definedName name="Zinc_Distributable_Cash" localSheetId="56">Wheatland!$D$105:$U$105</definedName>
    <definedName name="Zinc_Net_ATCash" localSheetId="55">Gleason!$D$129:$U$129</definedName>
    <definedName name="Zinc_Net_ATCash" localSheetId="54">'New Albany'!$D$140:$U$140</definedName>
    <definedName name="Zinc_Net_ATCash" localSheetId="56">Wheatland!$D$106:$U$106</definedName>
    <definedName name="Zinc_Net_Income" localSheetId="55">Gleason!$D$127:$U$127</definedName>
    <definedName name="Zinc_Net_Income" localSheetId="54">'New Albany'!$D$138:$U$138</definedName>
    <definedName name="Zinc_Net_Income" localSheetId="56">Wheatland!$D$104:$U$104</definedName>
  </definedNames>
  <calcPr calcId="0" fullCalcOnLoad="1" iterate="1" iterateCount="1000" iterateDelta="1E-4"/>
</workbook>
</file>

<file path=xl/calcChain.xml><?xml version="1.0" encoding="utf-8"?>
<calcChain xmlns="http://schemas.openxmlformats.org/spreadsheetml/2006/main">
  <c r="D8" i="69" l="1"/>
  <c r="E8" i="69"/>
  <c r="F8" i="69"/>
  <c r="D9" i="69"/>
  <c r="E9" i="69"/>
  <c r="F9" i="69"/>
  <c r="D10" i="69"/>
  <c r="E10" i="69"/>
  <c r="F10" i="69"/>
  <c r="B11" i="69"/>
  <c r="C11" i="69"/>
  <c r="D14" i="69"/>
  <c r="E14" i="69"/>
  <c r="F14" i="69"/>
  <c r="D15" i="69"/>
  <c r="E15" i="69"/>
  <c r="F15" i="69"/>
  <c r="D16" i="69"/>
  <c r="E16" i="69"/>
  <c r="F16" i="69"/>
  <c r="B17" i="69"/>
  <c r="C17" i="69"/>
  <c r="D20" i="69"/>
  <c r="E20" i="69"/>
  <c r="F20" i="69"/>
  <c r="D21" i="69"/>
  <c r="E21" i="69"/>
  <c r="F21" i="69"/>
  <c r="D22" i="69"/>
  <c r="E22" i="69"/>
  <c r="F22" i="69"/>
  <c r="B23" i="69"/>
  <c r="C23" i="69"/>
  <c r="D26" i="69"/>
  <c r="E26" i="69"/>
  <c r="F26" i="69"/>
  <c r="D27" i="69"/>
  <c r="E27" i="69"/>
  <c r="F27" i="69"/>
  <c r="D28" i="69"/>
  <c r="E28" i="69"/>
  <c r="F28" i="69"/>
  <c r="B29" i="69"/>
  <c r="C29" i="69"/>
  <c r="D32" i="69"/>
  <c r="E32" i="69"/>
  <c r="F32" i="69"/>
  <c r="D33" i="69"/>
  <c r="E33" i="69"/>
  <c r="F33" i="69"/>
  <c r="D34" i="69"/>
  <c r="E34" i="69"/>
  <c r="F34" i="69"/>
  <c r="B35" i="69"/>
  <c r="C35" i="69"/>
  <c r="D38" i="69"/>
  <c r="E38" i="69"/>
  <c r="F38" i="69"/>
  <c r="D39" i="69"/>
  <c r="E39" i="69"/>
  <c r="F39" i="69"/>
  <c r="D40" i="69"/>
  <c r="E40" i="69"/>
  <c r="F40" i="69"/>
  <c r="B41" i="69"/>
  <c r="C41" i="69"/>
  <c r="C45" i="69"/>
  <c r="D45" i="69"/>
  <c r="E45" i="69"/>
  <c r="F45" i="69"/>
  <c r="B46" i="69"/>
  <c r="C46" i="69"/>
  <c r="C49" i="69"/>
  <c r="D49" i="69"/>
  <c r="E49" i="69"/>
  <c r="F49" i="69"/>
  <c r="B50" i="69"/>
  <c r="C50" i="69"/>
  <c r="C53" i="69"/>
  <c r="D53" i="69"/>
  <c r="E53" i="69"/>
  <c r="F53" i="69"/>
  <c r="B54" i="69"/>
  <c r="C54" i="69"/>
  <c r="C5" i="63"/>
  <c r="D5" i="63"/>
  <c r="E5" i="63"/>
  <c r="F5" i="63"/>
  <c r="G5" i="63"/>
  <c r="H5" i="63"/>
  <c r="I5" i="63"/>
  <c r="J5" i="63"/>
  <c r="K5" i="63"/>
  <c r="L5" i="63"/>
  <c r="M5" i="63"/>
  <c r="N5" i="63"/>
  <c r="O5" i="63"/>
  <c r="P5" i="63"/>
  <c r="Q5" i="63"/>
  <c r="R5" i="63"/>
  <c r="S5" i="63"/>
  <c r="T5" i="63"/>
  <c r="U5" i="63"/>
  <c r="Y7" i="63"/>
  <c r="Z7" i="63"/>
  <c r="AA7" i="63"/>
  <c r="AB7" i="63"/>
  <c r="AC7" i="63"/>
  <c r="AD7" i="63"/>
  <c r="AE7" i="63"/>
  <c r="AF7" i="63"/>
  <c r="AG7" i="63"/>
  <c r="AH7" i="63"/>
  <c r="AI7" i="63"/>
  <c r="AJ7" i="63"/>
  <c r="AK7" i="63"/>
  <c r="AL7" i="63"/>
  <c r="AM7" i="63"/>
  <c r="AN7" i="63"/>
  <c r="AO7" i="63"/>
  <c r="AP7" i="63"/>
  <c r="AQ7" i="63"/>
  <c r="AR7" i="63"/>
  <c r="AS7" i="63"/>
  <c r="Z8" i="63"/>
  <c r="AA8" i="63"/>
  <c r="AB8" i="63"/>
  <c r="AC8" i="63"/>
  <c r="AD8" i="63"/>
  <c r="AE8" i="63"/>
  <c r="AF8" i="63"/>
  <c r="AG8" i="63"/>
  <c r="AH8" i="63"/>
  <c r="AI8" i="63"/>
  <c r="AJ8" i="63"/>
  <c r="AK8" i="63"/>
  <c r="AL8" i="63"/>
  <c r="AM8" i="63"/>
  <c r="AN8" i="63"/>
  <c r="AO8" i="63"/>
  <c r="AP8" i="63"/>
  <c r="AQ8" i="63"/>
  <c r="AR8" i="63"/>
  <c r="AS8" i="63"/>
  <c r="B9" i="63"/>
  <c r="C9" i="63"/>
  <c r="D9" i="63"/>
  <c r="W9" i="63"/>
  <c r="Z9" i="63"/>
  <c r="AA9" i="63"/>
  <c r="AB9" i="63"/>
  <c r="AC9" i="63"/>
  <c r="AD9" i="63"/>
  <c r="AE9" i="63"/>
  <c r="AF9" i="63"/>
  <c r="AG9" i="63"/>
  <c r="AH9" i="63"/>
  <c r="AI9" i="63"/>
  <c r="AJ9" i="63"/>
  <c r="AK9" i="63"/>
  <c r="AL9" i="63"/>
  <c r="AM9" i="63"/>
  <c r="AN9" i="63"/>
  <c r="AO9" i="63"/>
  <c r="AP9" i="63"/>
  <c r="AQ9" i="63"/>
  <c r="AR9" i="63"/>
  <c r="AS9" i="63"/>
  <c r="B10" i="63"/>
  <c r="C10" i="63"/>
  <c r="D10" i="63"/>
  <c r="W10" i="63"/>
  <c r="B11" i="63"/>
  <c r="C11" i="63"/>
  <c r="D11" i="63"/>
  <c r="W11" i="63"/>
  <c r="B12" i="63"/>
  <c r="C12" i="63"/>
  <c r="D12" i="63"/>
  <c r="W12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W15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W16" i="63"/>
  <c r="W17" i="63"/>
  <c r="B18" i="63"/>
  <c r="C18" i="63"/>
  <c r="D18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W18" i="63"/>
  <c r="B19" i="63"/>
  <c r="C19" i="63"/>
  <c r="D19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W19" i="63"/>
  <c r="B22" i="63"/>
  <c r="C22" i="63"/>
  <c r="D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W22" i="63"/>
  <c r="B23" i="63"/>
  <c r="C23" i="63"/>
  <c r="D23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W23" i="63"/>
  <c r="B24" i="63"/>
  <c r="C24" i="63"/>
  <c r="D24" i="63"/>
  <c r="E24" i="63"/>
  <c r="F24" i="63"/>
  <c r="G24" i="63"/>
  <c r="H24" i="63"/>
  <c r="I24" i="63"/>
  <c r="J24" i="63"/>
  <c r="K24" i="63"/>
  <c r="L24" i="63"/>
  <c r="M24" i="63"/>
  <c r="N24" i="63"/>
  <c r="O24" i="63"/>
  <c r="P24" i="63"/>
  <c r="Q24" i="63"/>
  <c r="R24" i="63"/>
  <c r="S24" i="63"/>
  <c r="T24" i="63"/>
  <c r="U24" i="63"/>
  <c r="W24" i="63"/>
  <c r="B25" i="63"/>
  <c r="C25" i="63"/>
  <c r="D25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W25" i="63"/>
  <c r="U26" i="63"/>
  <c r="W26" i="63"/>
  <c r="B27" i="63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W27" i="63"/>
  <c r="B28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W28" i="63"/>
  <c r="B31" i="63"/>
  <c r="C31" i="63"/>
  <c r="D31" i="63"/>
  <c r="E31" i="63"/>
  <c r="F31" i="63"/>
  <c r="G31" i="63"/>
  <c r="H31" i="63"/>
  <c r="I31" i="63"/>
  <c r="J31" i="63"/>
  <c r="K31" i="63"/>
  <c r="L31" i="63"/>
  <c r="M31" i="63"/>
  <c r="N31" i="63"/>
  <c r="O31" i="63"/>
  <c r="P31" i="63"/>
  <c r="Q31" i="63"/>
  <c r="R31" i="63"/>
  <c r="S31" i="63"/>
  <c r="T31" i="63"/>
  <c r="U31" i="63"/>
  <c r="W31" i="63"/>
  <c r="B33" i="63"/>
  <c r="C33" i="63"/>
  <c r="D33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W33" i="63"/>
  <c r="B35" i="63"/>
  <c r="C35" i="63"/>
  <c r="D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W35" i="63"/>
  <c r="B37" i="63"/>
  <c r="C37" i="63"/>
  <c r="D37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W37" i="63"/>
  <c r="B39" i="63"/>
  <c r="C39" i="63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W39" i="63"/>
  <c r="B41" i="63"/>
  <c r="C41" i="63"/>
  <c r="D41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W41" i="63"/>
  <c r="B42" i="63"/>
  <c r="C42" i="63"/>
  <c r="D42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W42" i="63"/>
  <c r="B44" i="63"/>
  <c r="C44" i="63"/>
  <c r="D44" i="63"/>
  <c r="E44" i="63"/>
  <c r="F44" i="63"/>
  <c r="G44" i="63"/>
  <c r="H44" i="63"/>
  <c r="I44" i="63"/>
  <c r="J44" i="63"/>
  <c r="K44" i="63"/>
  <c r="L44" i="63"/>
  <c r="M44" i="63"/>
  <c r="N44" i="63"/>
  <c r="O44" i="63"/>
  <c r="P44" i="63"/>
  <c r="Q44" i="63"/>
  <c r="R44" i="63"/>
  <c r="S44" i="63"/>
  <c r="T44" i="63"/>
  <c r="U44" i="63"/>
  <c r="W44" i="63"/>
  <c r="C52" i="63"/>
  <c r="D52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B54" i="63"/>
  <c r="C54" i="63"/>
  <c r="D54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W54" i="63"/>
  <c r="B55" i="63"/>
  <c r="C55" i="63"/>
  <c r="D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W55" i="63"/>
  <c r="C56" i="63"/>
  <c r="D56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W56" i="63"/>
  <c r="B57" i="63"/>
  <c r="C57" i="63"/>
  <c r="D57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W57" i="63"/>
  <c r="B59" i="63"/>
  <c r="C59" i="63"/>
  <c r="D59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W59" i="63"/>
  <c r="B61" i="63"/>
  <c r="C61" i="63"/>
  <c r="D61" i="63"/>
  <c r="E61" i="63"/>
  <c r="F61" i="63"/>
  <c r="G61" i="63"/>
  <c r="H61" i="63"/>
  <c r="I61" i="63"/>
  <c r="J61" i="63"/>
  <c r="K61" i="63"/>
  <c r="L61" i="63"/>
  <c r="M61" i="63"/>
  <c r="N61" i="63"/>
  <c r="O61" i="63"/>
  <c r="P61" i="63"/>
  <c r="Q61" i="63"/>
  <c r="R61" i="63"/>
  <c r="S61" i="63"/>
  <c r="T61" i="63"/>
  <c r="U61" i="63"/>
  <c r="W61" i="63"/>
  <c r="B62" i="63"/>
  <c r="C62" i="63"/>
  <c r="D62" i="63"/>
  <c r="E62" i="63"/>
  <c r="F62" i="63"/>
  <c r="G62" i="63"/>
  <c r="H62" i="63"/>
  <c r="I62" i="63"/>
  <c r="J62" i="63"/>
  <c r="K62" i="63"/>
  <c r="L62" i="63"/>
  <c r="M62" i="63"/>
  <c r="N62" i="63"/>
  <c r="O62" i="63"/>
  <c r="P62" i="63"/>
  <c r="Q62" i="63"/>
  <c r="R62" i="63"/>
  <c r="S62" i="63"/>
  <c r="T62" i="63"/>
  <c r="U62" i="63"/>
  <c r="W62" i="63"/>
  <c r="B64" i="63"/>
  <c r="C64" i="63"/>
  <c r="D64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W64" i="63"/>
  <c r="B76" i="63"/>
  <c r="C76" i="63"/>
  <c r="D76" i="63"/>
  <c r="E76" i="63"/>
  <c r="F76" i="63"/>
  <c r="G76" i="63"/>
  <c r="H76" i="63"/>
  <c r="I76" i="63"/>
  <c r="J76" i="63"/>
  <c r="K76" i="63"/>
  <c r="L76" i="63"/>
  <c r="M76" i="63"/>
  <c r="N76" i="63"/>
  <c r="O76" i="63"/>
  <c r="P76" i="63"/>
  <c r="Q76" i="63"/>
  <c r="R76" i="63"/>
  <c r="S76" i="63"/>
  <c r="T76" i="63"/>
  <c r="U76" i="63"/>
  <c r="W76" i="63"/>
  <c r="B77" i="63"/>
  <c r="C77" i="63"/>
  <c r="D77" i="63"/>
  <c r="E77" i="63"/>
  <c r="F77" i="63"/>
  <c r="G77" i="63"/>
  <c r="H77" i="63"/>
  <c r="I77" i="63"/>
  <c r="J77" i="63"/>
  <c r="K77" i="63"/>
  <c r="L77" i="63"/>
  <c r="M77" i="63"/>
  <c r="N77" i="63"/>
  <c r="O77" i="63"/>
  <c r="P77" i="63"/>
  <c r="Q77" i="63"/>
  <c r="R77" i="63"/>
  <c r="S77" i="63"/>
  <c r="T77" i="63"/>
  <c r="U77" i="63"/>
  <c r="W77" i="63"/>
  <c r="B78" i="63"/>
  <c r="C78" i="63"/>
  <c r="D78" i="63"/>
  <c r="E78" i="63"/>
  <c r="F78" i="63"/>
  <c r="G78" i="63"/>
  <c r="H78" i="63"/>
  <c r="I78" i="63"/>
  <c r="J78" i="63"/>
  <c r="K78" i="63"/>
  <c r="L78" i="63"/>
  <c r="M78" i="63"/>
  <c r="N78" i="63"/>
  <c r="O78" i="63"/>
  <c r="P78" i="63"/>
  <c r="Q78" i="63"/>
  <c r="R78" i="63"/>
  <c r="S78" i="63"/>
  <c r="T78" i="63"/>
  <c r="U78" i="63"/>
  <c r="W78" i="63"/>
  <c r="B79" i="63"/>
  <c r="C79" i="63"/>
  <c r="D79" i="63"/>
  <c r="E79" i="63"/>
  <c r="F79" i="63"/>
  <c r="G79" i="63"/>
  <c r="H79" i="63"/>
  <c r="I79" i="63"/>
  <c r="J79" i="63"/>
  <c r="K79" i="63"/>
  <c r="L79" i="63"/>
  <c r="M79" i="63"/>
  <c r="N79" i="63"/>
  <c r="O79" i="63"/>
  <c r="P79" i="63"/>
  <c r="Q79" i="63"/>
  <c r="R79" i="63"/>
  <c r="S79" i="63"/>
  <c r="T79" i="63"/>
  <c r="U79" i="63"/>
  <c r="W79" i="63"/>
  <c r="B80" i="63"/>
  <c r="C80" i="63"/>
  <c r="D80" i="63"/>
  <c r="E80" i="63"/>
  <c r="F80" i="63"/>
  <c r="G80" i="63"/>
  <c r="H80" i="63"/>
  <c r="I80" i="63"/>
  <c r="J80" i="63"/>
  <c r="K80" i="63"/>
  <c r="L80" i="63"/>
  <c r="M80" i="63"/>
  <c r="N80" i="63"/>
  <c r="O80" i="63"/>
  <c r="P80" i="63"/>
  <c r="Q80" i="63"/>
  <c r="R80" i="63"/>
  <c r="S80" i="63"/>
  <c r="T80" i="63"/>
  <c r="U80" i="63"/>
  <c r="W80" i="63"/>
  <c r="W81" i="63"/>
  <c r="B82" i="63"/>
  <c r="C82" i="63"/>
  <c r="D82" i="63"/>
  <c r="E82" i="63"/>
  <c r="F82" i="63"/>
  <c r="G82" i="63"/>
  <c r="H82" i="63"/>
  <c r="I82" i="63"/>
  <c r="J82" i="63"/>
  <c r="K82" i="63"/>
  <c r="L82" i="63"/>
  <c r="M82" i="63"/>
  <c r="N82" i="63"/>
  <c r="O82" i="63"/>
  <c r="P82" i="63"/>
  <c r="Q82" i="63"/>
  <c r="R82" i="63"/>
  <c r="S82" i="63"/>
  <c r="T82" i="63"/>
  <c r="U82" i="63"/>
  <c r="W82" i="63"/>
  <c r="B83" i="63"/>
  <c r="C83" i="63"/>
  <c r="D83" i="63"/>
  <c r="E83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W84" i="63"/>
  <c r="B89" i="63"/>
  <c r="C89" i="63"/>
  <c r="D89" i="63"/>
  <c r="E89" i="63"/>
  <c r="F89" i="63"/>
  <c r="G89" i="63"/>
  <c r="H89" i="63"/>
  <c r="I89" i="63"/>
  <c r="J89" i="63"/>
  <c r="K89" i="63"/>
  <c r="L89" i="63"/>
  <c r="M89" i="63"/>
  <c r="N89" i="63"/>
  <c r="O89" i="63"/>
  <c r="P89" i="63"/>
  <c r="Q89" i="63"/>
  <c r="R89" i="63"/>
  <c r="S89" i="63"/>
  <c r="T89" i="63"/>
  <c r="U89" i="63"/>
  <c r="W89" i="63"/>
  <c r="B90" i="63"/>
  <c r="C90" i="63"/>
  <c r="D90" i="63"/>
  <c r="E90" i="63"/>
  <c r="F90" i="63"/>
  <c r="G90" i="63"/>
  <c r="H90" i="63"/>
  <c r="I90" i="63"/>
  <c r="J90" i="63"/>
  <c r="K90" i="63"/>
  <c r="L90" i="63"/>
  <c r="M90" i="63"/>
  <c r="N90" i="63"/>
  <c r="O90" i="63"/>
  <c r="P90" i="63"/>
  <c r="Q90" i="63"/>
  <c r="R90" i="63"/>
  <c r="S90" i="63"/>
  <c r="T90" i="63"/>
  <c r="U90" i="63"/>
  <c r="W90" i="63"/>
  <c r="B91" i="63"/>
  <c r="C91" i="63"/>
  <c r="D91" i="63"/>
  <c r="E91" i="63"/>
  <c r="F91" i="63"/>
  <c r="G91" i="63"/>
  <c r="H91" i="63"/>
  <c r="I91" i="63"/>
  <c r="J91" i="63"/>
  <c r="K91" i="63"/>
  <c r="L91" i="63"/>
  <c r="M91" i="63"/>
  <c r="N91" i="63"/>
  <c r="O91" i="63"/>
  <c r="P91" i="63"/>
  <c r="Q91" i="63"/>
  <c r="R91" i="63"/>
  <c r="S91" i="63"/>
  <c r="T91" i="63"/>
  <c r="U91" i="63"/>
  <c r="W91" i="63"/>
  <c r="B92" i="63"/>
  <c r="C92" i="63"/>
  <c r="D92" i="63"/>
  <c r="E92" i="63"/>
  <c r="F92" i="63"/>
  <c r="G92" i="63"/>
  <c r="H92" i="63"/>
  <c r="I92" i="63"/>
  <c r="J92" i="63"/>
  <c r="K92" i="63"/>
  <c r="L92" i="63"/>
  <c r="M92" i="63"/>
  <c r="N92" i="63"/>
  <c r="O92" i="63"/>
  <c r="P92" i="63"/>
  <c r="Q92" i="63"/>
  <c r="R92" i="63"/>
  <c r="S92" i="63"/>
  <c r="T92" i="63"/>
  <c r="U92" i="63"/>
  <c r="W92" i="63"/>
  <c r="B94" i="63"/>
  <c r="C94" i="63"/>
  <c r="D94" i="63"/>
  <c r="E94" i="63"/>
  <c r="F94" i="63"/>
  <c r="G94" i="63"/>
  <c r="H94" i="63"/>
  <c r="I94" i="63"/>
  <c r="J94" i="63"/>
  <c r="K94" i="63"/>
  <c r="L94" i="63"/>
  <c r="M94" i="63"/>
  <c r="N94" i="63"/>
  <c r="O94" i="63"/>
  <c r="P94" i="63"/>
  <c r="Q94" i="63"/>
  <c r="R94" i="63"/>
  <c r="S94" i="63"/>
  <c r="T94" i="63"/>
  <c r="U94" i="63"/>
  <c r="B95" i="63"/>
  <c r="C95" i="63"/>
  <c r="D95" i="63"/>
  <c r="E95" i="63"/>
  <c r="F95" i="63"/>
  <c r="G95" i="63"/>
  <c r="H95" i="63"/>
  <c r="I95" i="63"/>
  <c r="J95" i="63"/>
  <c r="K95" i="63"/>
  <c r="L95" i="63"/>
  <c r="M95" i="63"/>
  <c r="N95" i="63"/>
  <c r="O95" i="63"/>
  <c r="P95" i="63"/>
  <c r="Q95" i="63"/>
  <c r="R95" i="63"/>
  <c r="S95" i="63"/>
  <c r="T95" i="63"/>
  <c r="U95" i="63"/>
  <c r="C97" i="63"/>
  <c r="D97" i="63"/>
  <c r="E97" i="63"/>
  <c r="F97" i="63"/>
  <c r="G97" i="63"/>
  <c r="H97" i="63"/>
  <c r="I97" i="63"/>
  <c r="J97" i="63"/>
  <c r="K97" i="63"/>
  <c r="L97" i="63"/>
  <c r="M97" i="63"/>
  <c r="N97" i="63"/>
  <c r="O97" i="63"/>
  <c r="P97" i="63"/>
  <c r="Q97" i="63"/>
  <c r="S97" i="63"/>
  <c r="T97" i="63"/>
  <c r="U97" i="63"/>
  <c r="B98" i="63"/>
  <c r="C98" i="63"/>
  <c r="D98" i="63"/>
  <c r="E98" i="63"/>
  <c r="F98" i="63"/>
  <c r="G98" i="63"/>
  <c r="H98" i="63"/>
  <c r="I98" i="63"/>
  <c r="J98" i="63"/>
  <c r="K98" i="63"/>
  <c r="L98" i="63"/>
  <c r="M98" i="63"/>
  <c r="N98" i="63"/>
  <c r="O98" i="63"/>
  <c r="P98" i="63"/>
  <c r="Q98" i="63"/>
  <c r="R98" i="63"/>
  <c r="S98" i="63"/>
  <c r="T98" i="63"/>
  <c r="U98" i="63"/>
  <c r="T99" i="63"/>
  <c r="U99" i="63"/>
  <c r="B100" i="63"/>
  <c r="C100" i="63"/>
  <c r="D100" i="63"/>
  <c r="E100" i="63"/>
  <c r="F100" i="63"/>
  <c r="G100" i="63"/>
  <c r="H100" i="63"/>
  <c r="I100" i="63"/>
  <c r="J100" i="63"/>
  <c r="K100" i="63"/>
  <c r="L100" i="63"/>
  <c r="M100" i="63"/>
  <c r="N100" i="63"/>
  <c r="O100" i="63"/>
  <c r="P100" i="63"/>
  <c r="Q100" i="63"/>
  <c r="R100" i="63"/>
  <c r="S100" i="63"/>
  <c r="T100" i="63"/>
  <c r="U100" i="63"/>
  <c r="B101" i="63"/>
  <c r="C101" i="63"/>
  <c r="D101" i="63"/>
  <c r="E101" i="63"/>
  <c r="F101" i="63"/>
  <c r="G101" i="63"/>
  <c r="H101" i="63"/>
  <c r="I101" i="63"/>
  <c r="J101" i="63"/>
  <c r="K101" i="63"/>
  <c r="L101" i="63"/>
  <c r="M101" i="63"/>
  <c r="N101" i="63"/>
  <c r="O101" i="63"/>
  <c r="P101" i="63"/>
  <c r="Q101" i="63"/>
  <c r="R101" i="63"/>
  <c r="S101" i="63"/>
  <c r="T101" i="63"/>
  <c r="U101" i="63"/>
  <c r="B103" i="63"/>
  <c r="C103" i="63"/>
  <c r="D103" i="63"/>
  <c r="E103" i="63"/>
  <c r="F103" i="63"/>
  <c r="G103" i="63"/>
  <c r="H103" i="63"/>
  <c r="I103" i="63"/>
  <c r="J103" i="63"/>
  <c r="K103" i="63"/>
  <c r="L103" i="63"/>
  <c r="M103" i="63"/>
  <c r="N103" i="63"/>
  <c r="O103" i="63"/>
  <c r="P103" i="63"/>
  <c r="Q103" i="63"/>
  <c r="R103" i="63"/>
  <c r="S103" i="63"/>
  <c r="T103" i="63"/>
  <c r="U103" i="63"/>
  <c r="W103" i="63"/>
  <c r="B111" i="63"/>
  <c r="C111" i="63"/>
  <c r="D111" i="63"/>
  <c r="E111" i="63"/>
  <c r="F111" i="63"/>
  <c r="G111" i="63"/>
  <c r="H111" i="63"/>
  <c r="I111" i="63"/>
  <c r="J111" i="63"/>
  <c r="K111" i="63"/>
  <c r="L111" i="63"/>
  <c r="M111" i="63"/>
  <c r="N111" i="63"/>
  <c r="O111" i="63"/>
  <c r="P111" i="63"/>
  <c r="Q111" i="63"/>
  <c r="R111" i="63"/>
  <c r="S111" i="63"/>
  <c r="T111" i="63"/>
  <c r="U111" i="63"/>
  <c r="W111" i="63"/>
  <c r="X111" i="63"/>
  <c r="Y111" i="63"/>
  <c r="B113" i="63"/>
  <c r="C113" i="63"/>
  <c r="D113" i="63"/>
  <c r="E113" i="63"/>
  <c r="F113" i="63"/>
  <c r="G113" i="63"/>
  <c r="H113" i="63"/>
  <c r="I113" i="63"/>
  <c r="J113" i="63"/>
  <c r="K113" i="63"/>
  <c r="L113" i="63"/>
  <c r="M113" i="63"/>
  <c r="N113" i="63"/>
  <c r="O113" i="63"/>
  <c r="P113" i="63"/>
  <c r="Q113" i="63"/>
  <c r="R113" i="63"/>
  <c r="S113" i="63"/>
  <c r="T113" i="63"/>
  <c r="U113" i="63"/>
  <c r="W113" i="63"/>
  <c r="X113" i="63"/>
  <c r="Y113" i="63"/>
  <c r="B115" i="63"/>
  <c r="C115" i="63"/>
  <c r="D115" i="63"/>
  <c r="E115" i="63"/>
  <c r="F115" i="63"/>
  <c r="G115" i="63"/>
  <c r="H115" i="63"/>
  <c r="I115" i="63"/>
  <c r="J115" i="63"/>
  <c r="K115" i="63"/>
  <c r="L115" i="63"/>
  <c r="M115" i="63"/>
  <c r="N115" i="63"/>
  <c r="O115" i="63"/>
  <c r="P115" i="63"/>
  <c r="Q115" i="63"/>
  <c r="R115" i="63"/>
  <c r="S115" i="63"/>
  <c r="T115" i="63"/>
  <c r="U115" i="63"/>
  <c r="W115" i="63"/>
  <c r="X115" i="63"/>
  <c r="Y115" i="63"/>
  <c r="B117" i="63"/>
  <c r="C117" i="63"/>
  <c r="D117" i="63"/>
  <c r="E117" i="63"/>
  <c r="F117" i="63"/>
  <c r="G117" i="63"/>
  <c r="H117" i="63"/>
  <c r="I117" i="63"/>
  <c r="J117" i="63"/>
  <c r="K117" i="63"/>
  <c r="L117" i="63"/>
  <c r="M117" i="63"/>
  <c r="N117" i="63"/>
  <c r="O117" i="63"/>
  <c r="P117" i="63"/>
  <c r="Q117" i="63"/>
  <c r="R117" i="63"/>
  <c r="S117" i="63"/>
  <c r="T117" i="63"/>
  <c r="U117" i="63"/>
  <c r="B118" i="63"/>
  <c r="C118" i="63"/>
  <c r="D118" i="63"/>
  <c r="E118" i="63"/>
  <c r="F118" i="63"/>
  <c r="G118" i="63"/>
  <c r="H118" i="63"/>
  <c r="I118" i="63"/>
  <c r="J118" i="63"/>
  <c r="K118" i="63"/>
  <c r="L118" i="63"/>
  <c r="M118" i="63"/>
  <c r="N118" i="63"/>
  <c r="O118" i="63"/>
  <c r="P118" i="63"/>
  <c r="Q118" i="63"/>
  <c r="R118" i="63"/>
  <c r="S118" i="63"/>
  <c r="T118" i="63"/>
  <c r="U118" i="63"/>
  <c r="W118" i="63"/>
  <c r="X118" i="63"/>
  <c r="Y118" i="63"/>
  <c r="C120" i="63"/>
  <c r="D120" i="63"/>
  <c r="E120" i="63"/>
  <c r="F120" i="63"/>
  <c r="G120" i="63"/>
  <c r="H120" i="63"/>
  <c r="I120" i="63"/>
  <c r="J120" i="63"/>
  <c r="K120" i="63"/>
  <c r="L120" i="63"/>
  <c r="M120" i="63"/>
  <c r="N120" i="63"/>
  <c r="O120" i="63"/>
  <c r="P120" i="63"/>
  <c r="Q120" i="63"/>
  <c r="S120" i="63"/>
  <c r="T120" i="63"/>
  <c r="U120" i="63"/>
  <c r="B121" i="63"/>
  <c r="C121" i="63"/>
  <c r="D121" i="63"/>
  <c r="E121" i="63"/>
  <c r="F121" i="63"/>
  <c r="G121" i="63"/>
  <c r="H121" i="63"/>
  <c r="I121" i="63"/>
  <c r="J121" i="63"/>
  <c r="K121" i="63"/>
  <c r="L121" i="63"/>
  <c r="M121" i="63"/>
  <c r="N121" i="63"/>
  <c r="O121" i="63"/>
  <c r="P121" i="63"/>
  <c r="Q121" i="63"/>
  <c r="R121" i="63"/>
  <c r="S121" i="63"/>
  <c r="T121" i="63"/>
  <c r="U121" i="63"/>
  <c r="T122" i="63"/>
  <c r="U122" i="63"/>
  <c r="B123" i="63"/>
  <c r="C123" i="63"/>
  <c r="D123" i="63"/>
  <c r="E123" i="63"/>
  <c r="F123" i="63"/>
  <c r="G123" i="63"/>
  <c r="H123" i="63"/>
  <c r="I123" i="63"/>
  <c r="J123" i="63"/>
  <c r="K123" i="63"/>
  <c r="L123" i="63"/>
  <c r="M123" i="63"/>
  <c r="N123" i="63"/>
  <c r="O123" i="63"/>
  <c r="P123" i="63"/>
  <c r="Q123" i="63"/>
  <c r="R123" i="63"/>
  <c r="S123" i="63"/>
  <c r="T123" i="63"/>
  <c r="U123" i="63"/>
  <c r="B124" i="63"/>
  <c r="C124" i="63"/>
  <c r="D124" i="63"/>
  <c r="E124" i="63"/>
  <c r="F124" i="63"/>
  <c r="G124" i="63"/>
  <c r="H124" i="63"/>
  <c r="I124" i="63"/>
  <c r="J124" i="63"/>
  <c r="K124" i="63"/>
  <c r="L124" i="63"/>
  <c r="M124" i="63"/>
  <c r="N124" i="63"/>
  <c r="O124" i="63"/>
  <c r="P124" i="63"/>
  <c r="Q124" i="63"/>
  <c r="R124" i="63"/>
  <c r="S124" i="63"/>
  <c r="T124" i="63"/>
  <c r="U124" i="63"/>
  <c r="B126" i="63"/>
  <c r="C126" i="63"/>
  <c r="D126" i="63"/>
  <c r="E126" i="63"/>
  <c r="F126" i="63"/>
  <c r="G126" i="63"/>
  <c r="H126" i="63"/>
  <c r="I126" i="63"/>
  <c r="J126" i="63"/>
  <c r="K126" i="63"/>
  <c r="L126" i="63"/>
  <c r="M126" i="63"/>
  <c r="N126" i="63"/>
  <c r="O126" i="63"/>
  <c r="P126" i="63"/>
  <c r="Q126" i="63"/>
  <c r="R126" i="63"/>
  <c r="S126" i="63"/>
  <c r="T126" i="63"/>
  <c r="U126" i="63"/>
  <c r="W126" i="63"/>
  <c r="X126" i="63"/>
  <c r="Y126" i="63"/>
  <c r="B131" i="63"/>
  <c r="C131" i="63"/>
  <c r="D131" i="63"/>
  <c r="E131" i="63"/>
  <c r="F131" i="63"/>
  <c r="G131" i="63"/>
  <c r="H131" i="63"/>
  <c r="I131" i="63"/>
  <c r="J131" i="63"/>
  <c r="K131" i="63"/>
  <c r="L131" i="63"/>
  <c r="M131" i="63"/>
  <c r="N131" i="63"/>
  <c r="O131" i="63"/>
  <c r="P131" i="63"/>
  <c r="Q131" i="63"/>
  <c r="R131" i="63"/>
  <c r="S131" i="63"/>
  <c r="T131" i="63"/>
  <c r="U131" i="63"/>
  <c r="W131" i="63"/>
  <c r="X131" i="63"/>
  <c r="Y131" i="63"/>
  <c r="B133" i="63"/>
  <c r="C133" i="63"/>
  <c r="D133" i="63"/>
  <c r="E133" i="63"/>
  <c r="F133" i="63"/>
  <c r="G133" i="63"/>
  <c r="H133" i="63"/>
  <c r="I133" i="63"/>
  <c r="J133" i="63"/>
  <c r="K133" i="63"/>
  <c r="L133" i="63"/>
  <c r="M133" i="63"/>
  <c r="N133" i="63"/>
  <c r="O133" i="63"/>
  <c r="P133" i="63"/>
  <c r="Q133" i="63"/>
  <c r="R133" i="63"/>
  <c r="S133" i="63"/>
  <c r="T133" i="63"/>
  <c r="U133" i="63"/>
  <c r="W133" i="63"/>
  <c r="X133" i="63"/>
  <c r="Y133" i="63"/>
  <c r="B135" i="63"/>
  <c r="C135" i="63"/>
  <c r="D135" i="63"/>
  <c r="E135" i="63"/>
  <c r="F135" i="63"/>
  <c r="G135" i="63"/>
  <c r="H135" i="63"/>
  <c r="I135" i="63"/>
  <c r="J135" i="63"/>
  <c r="K135" i="63"/>
  <c r="L135" i="63"/>
  <c r="M135" i="63"/>
  <c r="N135" i="63"/>
  <c r="O135" i="63"/>
  <c r="P135" i="63"/>
  <c r="Q135" i="63"/>
  <c r="R135" i="63"/>
  <c r="S135" i="63"/>
  <c r="T135" i="63"/>
  <c r="U135" i="63"/>
  <c r="W135" i="63"/>
  <c r="X135" i="63"/>
  <c r="Y135" i="63"/>
  <c r="B137" i="63"/>
  <c r="C137" i="63"/>
  <c r="D137" i="63"/>
  <c r="E137" i="63"/>
  <c r="F137" i="63"/>
  <c r="G137" i="63"/>
  <c r="H137" i="63"/>
  <c r="I137" i="63"/>
  <c r="J137" i="63"/>
  <c r="K137" i="63"/>
  <c r="L137" i="63"/>
  <c r="M137" i="63"/>
  <c r="N137" i="63"/>
  <c r="O137" i="63"/>
  <c r="P137" i="63"/>
  <c r="Q137" i="63"/>
  <c r="R137" i="63"/>
  <c r="S137" i="63"/>
  <c r="T137" i="63"/>
  <c r="U137" i="63"/>
  <c r="W137" i="63"/>
  <c r="X137" i="63"/>
  <c r="Y137" i="63"/>
  <c r="B5" i="64"/>
  <c r="C5" i="64"/>
  <c r="D5" i="64"/>
  <c r="E5" i="64"/>
  <c r="F5" i="64"/>
  <c r="G5" i="64"/>
  <c r="H5" i="64"/>
  <c r="I5" i="64"/>
  <c r="J5" i="64"/>
  <c r="K5" i="64"/>
  <c r="L5" i="64"/>
  <c r="M5" i="64"/>
  <c r="N5" i="64"/>
  <c r="O5" i="64"/>
  <c r="P5" i="64"/>
  <c r="Q5" i="64"/>
  <c r="R5" i="64"/>
  <c r="S5" i="64"/>
  <c r="T5" i="64"/>
  <c r="U5" i="64"/>
  <c r="Y7" i="64"/>
  <c r="Z7" i="64"/>
  <c r="AA7" i="64"/>
  <c r="AB7" i="64"/>
  <c r="AC7" i="64"/>
  <c r="AD7" i="64"/>
  <c r="AE7" i="64"/>
  <c r="AF7" i="64"/>
  <c r="AG7" i="64"/>
  <c r="AH7" i="64"/>
  <c r="AI7" i="64"/>
  <c r="AJ7" i="64"/>
  <c r="AK7" i="64"/>
  <c r="AL7" i="64"/>
  <c r="AM7" i="64"/>
  <c r="AN7" i="64"/>
  <c r="AO7" i="64"/>
  <c r="AP7" i="64"/>
  <c r="AQ7" i="64"/>
  <c r="AR7" i="64"/>
  <c r="AS7" i="64"/>
  <c r="Z8" i="64"/>
  <c r="AA8" i="64"/>
  <c r="AB8" i="64"/>
  <c r="AC8" i="64"/>
  <c r="AD8" i="64"/>
  <c r="AE8" i="64"/>
  <c r="AF8" i="64"/>
  <c r="AG8" i="64"/>
  <c r="AH8" i="64"/>
  <c r="AI8" i="64"/>
  <c r="AJ8" i="64"/>
  <c r="AK8" i="64"/>
  <c r="AL8" i="64"/>
  <c r="AM8" i="64"/>
  <c r="AN8" i="64"/>
  <c r="AO8" i="64"/>
  <c r="AP8" i="64"/>
  <c r="AQ8" i="64"/>
  <c r="AR8" i="64"/>
  <c r="AS8" i="64"/>
  <c r="B9" i="64"/>
  <c r="C9" i="64"/>
  <c r="D9" i="64"/>
  <c r="W9" i="64"/>
  <c r="Z9" i="64"/>
  <c r="AA9" i="64"/>
  <c r="AB9" i="64"/>
  <c r="AC9" i="64"/>
  <c r="AD9" i="64"/>
  <c r="AE9" i="64"/>
  <c r="AF9" i="64"/>
  <c r="AG9" i="64"/>
  <c r="AH9" i="64"/>
  <c r="AI9" i="64"/>
  <c r="AJ9" i="64"/>
  <c r="AK9" i="64"/>
  <c r="AL9" i="64"/>
  <c r="AM9" i="64"/>
  <c r="AN9" i="64"/>
  <c r="AO9" i="64"/>
  <c r="AP9" i="64"/>
  <c r="AQ9" i="64"/>
  <c r="AR9" i="64"/>
  <c r="AS9" i="64"/>
  <c r="B10" i="64"/>
  <c r="C10" i="64"/>
  <c r="D10" i="64"/>
  <c r="W10" i="64"/>
  <c r="B11" i="64"/>
  <c r="C11" i="64"/>
  <c r="D11" i="64"/>
  <c r="W11" i="64"/>
  <c r="B12" i="64"/>
  <c r="C12" i="64"/>
  <c r="D12" i="64"/>
  <c r="W12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W15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W16" i="64"/>
  <c r="W17" i="64"/>
  <c r="B18" i="64"/>
  <c r="C18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W18" i="64"/>
  <c r="B19" i="64"/>
  <c r="C19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W19" i="64"/>
  <c r="B22" i="64"/>
  <c r="C22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W22" i="64"/>
  <c r="B23" i="64"/>
  <c r="C23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W23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W24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W25" i="64"/>
  <c r="U26" i="64"/>
  <c r="W26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W27" i="64"/>
  <c r="B28" i="64"/>
  <c r="C28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W28" i="64"/>
  <c r="B31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W31" i="64"/>
  <c r="B33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W33" i="64"/>
  <c r="B35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W35" i="64"/>
  <c r="B37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W37" i="64"/>
  <c r="B39" i="64"/>
  <c r="C39" i="64"/>
  <c r="D39" i="64"/>
  <c r="E39" i="64"/>
  <c r="F39" i="64"/>
  <c r="G39" i="64"/>
  <c r="H39" i="64"/>
  <c r="I39" i="64"/>
  <c r="J39" i="64"/>
  <c r="K39" i="64"/>
  <c r="L39" i="64"/>
  <c r="M39" i="64"/>
  <c r="N39" i="64"/>
  <c r="O39" i="64"/>
  <c r="P39" i="64"/>
  <c r="Q39" i="64"/>
  <c r="R39" i="64"/>
  <c r="S39" i="64"/>
  <c r="T39" i="64"/>
  <c r="U39" i="64"/>
  <c r="W39" i="64"/>
  <c r="B41" i="64"/>
  <c r="C41" i="64"/>
  <c r="D41" i="64"/>
  <c r="E41" i="64"/>
  <c r="F41" i="64"/>
  <c r="G41" i="64"/>
  <c r="H41" i="64"/>
  <c r="I41" i="64"/>
  <c r="J41" i="64"/>
  <c r="K41" i="64"/>
  <c r="L41" i="64"/>
  <c r="M41" i="64"/>
  <c r="N41" i="64"/>
  <c r="O41" i="64"/>
  <c r="P41" i="64"/>
  <c r="Q41" i="64"/>
  <c r="R41" i="64"/>
  <c r="S41" i="64"/>
  <c r="T41" i="64"/>
  <c r="U41" i="64"/>
  <c r="W41" i="64"/>
  <c r="B42" i="64"/>
  <c r="C42" i="64"/>
  <c r="D42" i="64"/>
  <c r="E42" i="64"/>
  <c r="F42" i="64"/>
  <c r="G42" i="64"/>
  <c r="H42" i="64"/>
  <c r="I42" i="64"/>
  <c r="J42" i="64"/>
  <c r="K42" i="64"/>
  <c r="L42" i="64"/>
  <c r="M42" i="64"/>
  <c r="N42" i="64"/>
  <c r="O42" i="64"/>
  <c r="P42" i="64"/>
  <c r="Q42" i="64"/>
  <c r="R42" i="64"/>
  <c r="S42" i="64"/>
  <c r="T42" i="64"/>
  <c r="U42" i="64"/>
  <c r="W42" i="64"/>
  <c r="B44" i="64"/>
  <c r="C44" i="64"/>
  <c r="D44" i="64"/>
  <c r="E44" i="64"/>
  <c r="F44" i="64"/>
  <c r="G44" i="64"/>
  <c r="H44" i="64"/>
  <c r="I44" i="64"/>
  <c r="J44" i="64"/>
  <c r="K44" i="64"/>
  <c r="L44" i="64"/>
  <c r="M44" i="64"/>
  <c r="N44" i="64"/>
  <c r="O44" i="64"/>
  <c r="P44" i="64"/>
  <c r="Q44" i="64"/>
  <c r="R44" i="64"/>
  <c r="S44" i="64"/>
  <c r="T44" i="64"/>
  <c r="U44" i="64"/>
  <c r="W44" i="64"/>
  <c r="C52" i="64"/>
  <c r="D52" i="64"/>
  <c r="E52" i="64"/>
  <c r="F52" i="64"/>
  <c r="G52" i="64"/>
  <c r="H52" i="64"/>
  <c r="I52" i="64"/>
  <c r="J52" i="64"/>
  <c r="K52" i="64"/>
  <c r="L52" i="64"/>
  <c r="M52" i="64"/>
  <c r="N52" i="64"/>
  <c r="O52" i="64"/>
  <c r="P52" i="64"/>
  <c r="Q52" i="64"/>
  <c r="R52" i="64"/>
  <c r="S52" i="64"/>
  <c r="T52" i="64"/>
  <c r="U52" i="64"/>
  <c r="B54" i="64"/>
  <c r="C54" i="64"/>
  <c r="D54" i="64"/>
  <c r="E54" i="64"/>
  <c r="F54" i="64"/>
  <c r="G54" i="64"/>
  <c r="H54" i="64"/>
  <c r="I54" i="64"/>
  <c r="J54" i="64"/>
  <c r="K54" i="64"/>
  <c r="L54" i="64"/>
  <c r="M54" i="64"/>
  <c r="N54" i="64"/>
  <c r="O54" i="64"/>
  <c r="P54" i="64"/>
  <c r="Q54" i="64"/>
  <c r="R54" i="64"/>
  <c r="S54" i="64"/>
  <c r="T54" i="64"/>
  <c r="U54" i="64"/>
  <c r="W54" i="64"/>
  <c r="B55" i="64"/>
  <c r="C55" i="64"/>
  <c r="D55" i="64"/>
  <c r="E55" i="64"/>
  <c r="F55" i="64"/>
  <c r="G55" i="64"/>
  <c r="H55" i="64"/>
  <c r="I55" i="64"/>
  <c r="J55" i="64"/>
  <c r="K55" i="64"/>
  <c r="L55" i="64"/>
  <c r="M55" i="64"/>
  <c r="N55" i="64"/>
  <c r="O55" i="64"/>
  <c r="P55" i="64"/>
  <c r="Q55" i="64"/>
  <c r="R55" i="64"/>
  <c r="S55" i="64"/>
  <c r="T55" i="64"/>
  <c r="U55" i="64"/>
  <c r="W55" i="64"/>
  <c r="C56" i="64"/>
  <c r="D56" i="64"/>
  <c r="E56" i="64"/>
  <c r="F56" i="64"/>
  <c r="G56" i="64"/>
  <c r="H56" i="64"/>
  <c r="I56" i="64"/>
  <c r="J56" i="64"/>
  <c r="K56" i="64"/>
  <c r="L56" i="64"/>
  <c r="M56" i="64"/>
  <c r="N56" i="64"/>
  <c r="O56" i="64"/>
  <c r="P56" i="64"/>
  <c r="Q56" i="64"/>
  <c r="R56" i="64"/>
  <c r="S56" i="64"/>
  <c r="T56" i="64"/>
  <c r="U56" i="64"/>
  <c r="W56" i="64"/>
  <c r="B57" i="64"/>
  <c r="C57" i="64"/>
  <c r="D57" i="64"/>
  <c r="E57" i="64"/>
  <c r="F57" i="64"/>
  <c r="G57" i="64"/>
  <c r="H57" i="64"/>
  <c r="I57" i="64"/>
  <c r="J57" i="64"/>
  <c r="K57" i="64"/>
  <c r="L57" i="64"/>
  <c r="M57" i="64"/>
  <c r="N57" i="64"/>
  <c r="O57" i="64"/>
  <c r="P57" i="64"/>
  <c r="Q57" i="64"/>
  <c r="R57" i="64"/>
  <c r="S57" i="64"/>
  <c r="T57" i="64"/>
  <c r="U57" i="64"/>
  <c r="W57" i="64"/>
  <c r="B59" i="64"/>
  <c r="C59" i="64"/>
  <c r="D59" i="64"/>
  <c r="E59" i="64"/>
  <c r="F59" i="64"/>
  <c r="G59" i="64"/>
  <c r="H59" i="64"/>
  <c r="I59" i="64"/>
  <c r="J59" i="64"/>
  <c r="K59" i="64"/>
  <c r="L59" i="64"/>
  <c r="M59" i="64"/>
  <c r="N59" i="64"/>
  <c r="O59" i="64"/>
  <c r="P59" i="64"/>
  <c r="Q59" i="64"/>
  <c r="R59" i="64"/>
  <c r="S59" i="64"/>
  <c r="T59" i="64"/>
  <c r="U59" i="64"/>
  <c r="W59" i="64"/>
  <c r="B61" i="64"/>
  <c r="C61" i="64"/>
  <c r="D61" i="64"/>
  <c r="E61" i="64"/>
  <c r="F61" i="64"/>
  <c r="G61" i="64"/>
  <c r="H61" i="64"/>
  <c r="I61" i="64"/>
  <c r="J61" i="64"/>
  <c r="K61" i="64"/>
  <c r="L61" i="64"/>
  <c r="M61" i="64"/>
  <c r="N61" i="64"/>
  <c r="O61" i="64"/>
  <c r="P61" i="64"/>
  <c r="Q61" i="64"/>
  <c r="R61" i="64"/>
  <c r="S61" i="64"/>
  <c r="T61" i="64"/>
  <c r="U61" i="64"/>
  <c r="W61" i="64"/>
  <c r="B62" i="64"/>
  <c r="C62" i="64"/>
  <c r="D62" i="64"/>
  <c r="E62" i="64"/>
  <c r="F62" i="64"/>
  <c r="G62" i="64"/>
  <c r="H62" i="64"/>
  <c r="I62" i="64"/>
  <c r="J62" i="64"/>
  <c r="K62" i="64"/>
  <c r="L62" i="64"/>
  <c r="M62" i="64"/>
  <c r="N62" i="64"/>
  <c r="O62" i="64"/>
  <c r="P62" i="64"/>
  <c r="Q62" i="64"/>
  <c r="R62" i="64"/>
  <c r="S62" i="64"/>
  <c r="T62" i="64"/>
  <c r="U62" i="64"/>
  <c r="W62" i="64"/>
  <c r="B64" i="64"/>
  <c r="C64" i="64"/>
  <c r="D64" i="64"/>
  <c r="E64" i="64"/>
  <c r="F64" i="64"/>
  <c r="G64" i="64"/>
  <c r="H64" i="64"/>
  <c r="I64" i="64"/>
  <c r="J64" i="64"/>
  <c r="K64" i="64"/>
  <c r="L64" i="64"/>
  <c r="M64" i="64"/>
  <c r="N64" i="64"/>
  <c r="O64" i="64"/>
  <c r="P64" i="64"/>
  <c r="Q64" i="64"/>
  <c r="R64" i="64"/>
  <c r="S64" i="64"/>
  <c r="T64" i="64"/>
  <c r="U64" i="64"/>
  <c r="W64" i="64"/>
  <c r="B76" i="64"/>
  <c r="C76" i="64"/>
  <c r="D76" i="64"/>
  <c r="E76" i="64"/>
  <c r="F76" i="64"/>
  <c r="G76" i="64"/>
  <c r="H76" i="64"/>
  <c r="I76" i="64"/>
  <c r="J76" i="64"/>
  <c r="K76" i="64"/>
  <c r="L76" i="64"/>
  <c r="M76" i="64"/>
  <c r="N76" i="64"/>
  <c r="O76" i="64"/>
  <c r="P76" i="64"/>
  <c r="Q76" i="64"/>
  <c r="R76" i="64"/>
  <c r="S76" i="64"/>
  <c r="T76" i="64"/>
  <c r="U76" i="64"/>
  <c r="B77" i="64"/>
  <c r="C77" i="64"/>
  <c r="D77" i="64"/>
  <c r="E77" i="64"/>
  <c r="F77" i="64"/>
  <c r="G77" i="64"/>
  <c r="H77" i="64"/>
  <c r="I77" i="64"/>
  <c r="J77" i="64"/>
  <c r="K77" i="64"/>
  <c r="L77" i="64"/>
  <c r="M77" i="64"/>
  <c r="N77" i="64"/>
  <c r="O77" i="64"/>
  <c r="P77" i="64"/>
  <c r="Q77" i="64"/>
  <c r="R77" i="64"/>
  <c r="S77" i="64"/>
  <c r="T77" i="64"/>
  <c r="U77" i="64"/>
  <c r="B78" i="64"/>
  <c r="C78" i="64"/>
  <c r="D78" i="64"/>
  <c r="E78" i="64"/>
  <c r="F78" i="64"/>
  <c r="G78" i="64"/>
  <c r="H78" i="64"/>
  <c r="I78" i="64"/>
  <c r="J78" i="64"/>
  <c r="K78" i="64"/>
  <c r="L78" i="64"/>
  <c r="M78" i="64"/>
  <c r="N78" i="64"/>
  <c r="O78" i="64"/>
  <c r="P78" i="64"/>
  <c r="Q78" i="64"/>
  <c r="R78" i="64"/>
  <c r="S78" i="64"/>
  <c r="T78" i="64"/>
  <c r="U78" i="64"/>
  <c r="B79" i="64"/>
  <c r="C79" i="64"/>
  <c r="D79" i="64"/>
  <c r="E79" i="64"/>
  <c r="F79" i="64"/>
  <c r="G79" i="64"/>
  <c r="H79" i="64"/>
  <c r="I79" i="64"/>
  <c r="J79" i="64"/>
  <c r="K79" i="64"/>
  <c r="L79" i="64"/>
  <c r="M79" i="64"/>
  <c r="N79" i="64"/>
  <c r="O79" i="64"/>
  <c r="P79" i="64"/>
  <c r="Q79" i="64"/>
  <c r="R79" i="64"/>
  <c r="S79" i="64"/>
  <c r="T79" i="64"/>
  <c r="U79" i="64"/>
  <c r="B80" i="64"/>
  <c r="C80" i="64"/>
  <c r="D80" i="64"/>
  <c r="E80" i="64"/>
  <c r="F80" i="64"/>
  <c r="G80" i="64"/>
  <c r="H80" i="64"/>
  <c r="I80" i="64"/>
  <c r="J80" i="64"/>
  <c r="K80" i="64"/>
  <c r="L80" i="64"/>
  <c r="M80" i="64"/>
  <c r="N80" i="64"/>
  <c r="O80" i="64"/>
  <c r="P80" i="64"/>
  <c r="Q80" i="64"/>
  <c r="R80" i="64"/>
  <c r="S80" i="64"/>
  <c r="T80" i="64"/>
  <c r="U80" i="64"/>
  <c r="B86" i="64"/>
  <c r="C86" i="64"/>
  <c r="D86" i="64"/>
  <c r="E86" i="64"/>
  <c r="F86" i="64"/>
  <c r="G86" i="64"/>
  <c r="H86" i="64"/>
  <c r="I86" i="64"/>
  <c r="J86" i="64"/>
  <c r="K86" i="64"/>
  <c r="L86" i="64"/>
  <c r="M86" i="64"/>
  <c r="N86" i="64"/>
  <c r="O86" i="64"/>
  <c r="P86" i="64"/>
  <c r="Q86" i="64"/>
  <c r="R86" i="64"/>
  <c r="S86" i="64"/>
  <c r="T86" i="64"/>
  <c r="U86" i="64"/>
  <c r="W86" i="64"/>
  <c r="B87" i="64"/>
  <c r="C87" i="64"/>
  <c r="D87" i="64"/>
  <c r="E87" i="64"/>
  <c r="F87" i="64"/>
  <c r="G87" i="64"/>
  <c r="H87" i="64"/>
  <c r="I87" i="64"/>
  <c r="J87" i="64"/>
  <c r="K87" i="64"/>
  <c r="L87" i="64"/>
  <c r="M87" i="64"/>
  <c r="N87" i="64"/>
  <c r="O87" i="64"/>
  <c r="P87" i="64"/>
  <c r="Q87" i="64"/>
  <c r="R87" i="64"/>
  <c r="S87" i="64"/>
  <c r="T87" i="64"/>
  <c r="U87" i="64"/>
  <c r="W87" i="64"/>
  <c r="B88" i="64"/>
  <c r="C88" i="64"/>
  <c r="D88" i="64"/>
  <c r="E88" i="64"/>
  <c r="F88" i="64"/>
  <c r="G88" i="64"/>
  <c r="H88" i="64"/>
  <c r="I88" i="64"/>
  <c r="J88" i="64"/>
  <c r="K88" i="64"/>
  <c r="L88" i="64"/>
  <c r="M88" i="64"/>
  <c r="N88" i="64"/>
  <c r="O88" i="64"/>
  <c r="P88" i="64"/>
  <c r="Q88" i="64"/>
  <c r="R88" i="64"/>
  <c r="S88" i="64"/>
  <c r="T88" i="64"/>
  <c r="U88" i="64"/>
  <c r="W88" i="64"/>
  <c r="B89" i="64"/>
  <c r="C89" i="64"/>
  <c r="D89" i="64"/>
  <c r="E89" i="64"/>
  <c r="F89" i="64"/>
  <c r="G89" i="64"/>
  <c r="H89" i="64"/>
  <c r="I89" i="64"/>
  <c r="J89" i="64"/>
  <c r="K89" i="64"/>
  <c r="L89" i="64"/>
  <c r="M89" i="64"/>
  <c r="N89" i="64"/>
  <c r="O89" i="64"/>
  <c r="P89" i="64"/>
  <c r="Q89" i="64"/>
  <c r="R89" i="64"/>
  <c r="S89" i="64"/>
  <c r="T89" i="64"/>
  <c r="U89" i="64"/>
  <c r="W89" i="64"/>
  <c r="B91" i="64"/>
  <c r="C91" i="64"/>
  <c r="D91" i="64"/>
  <c r="E91" i="64"/>
  <c r="F91" i="64"/>
  <c r="G91" i="64"/>
  <c r="H91" i="64"/>
  <c r="I91" i="64"/>
  <c r="J91" i="64"/>
  <c r="K91" i="64"/>
  <c r="L91" i="64"/>
  <c r="M91" i="64"/>
  <c r="N91" i="64"/>
  <c r="O91" i="64"/>
  <c r="P91" i="64"/>
  <c r="Q91" i="64"/>
  <c r="R91" i="64"/>
  <c r="S91" i="64"/>
  <c r="T91" i="64"/>
  <c r="U91" i="64"/>
  <c r="B92" i="64"/>
  <c r="C92" i="64"/>
  <c r="D92" i="64"/>
  <c r="E92" i="64"/>
  <c r="F92" i="64"/>
  <c r="G92" i="64"/>
  <c r="H92" i="64"/>
  <c r="I92" i="64"/>
  <c r="J92" i="64"/>
  <c r="K92" i="64"/>
  <c r="L92" i="64"/>
  <c r="M92" i="64"/>
  <c r="N92" i="64"/>
  <c r="O92" i="64"/>
  <c r="P92" i="64"/>
  <c r="Q92" i="64"/>
  <c r="R92" i="64"/>
  <c r="S92" i="64"/>
  <c r="T92" i="64"/>
  <c r="U92" i="64"/>
  <c r="C94" i="64"/>
  <c r="D94" i="64"/>
  <c r="E94" i="64"/>
  <c r="F94" i="64"/>
  <c r="G94" i="64"/>
  <c r="H94" i="64"/>
  <c r="I94" i="64"/>
  <c r="J94" i="64"/>
  <c r="K94" i="64"/>
  <c r="L94" i="64"/>
  <c r="M94" i="64"/>
  <c r="N94" i="64"/>
  <c r="O94" i="64"/>
  <c r="P94" i="64"/>
  <c r="Q94" i="64"/>
  <c r="S94" i="64"/>
  <c r="T94" i="64"/>
  <c r="U94" i="64"/>
  <c r="B95" i="64"/>
  <c r="C95" i="64"/>
  <c r="D95" i="64"/>
  <c r="E95" i="64"/>
  <c r="F95" i="64"/>
  <c r="G95" i="64"/>
  <c r="H95" i="64"/>
  <c r="I95" i="64"/>
  <c r="J95" i="64"/>
  <c r="K95" i="64"/>
  <c r="L95" i="64"/>
  <c r="M95" i="64"/>
  <c r="N95" i="64"/>
  <c r="O95" i="64"/>
  <c r="P95" i="64"/>
  <c r="Q95" i="64"/>
  <c r="R95" i="64"/>
  <c r="S95" i="64"/>
  <c r="T95" i="64"/>
  <c r="U95" i="64"/>
  <c r="T96" i="64"/>
  <c r="U96" i="64"/>
  <c r="B97" i="64"/>
  <c r="C97" i="64"/>
  <c r="D97" i="64"/>
  <c r="E97" i="64"/>
  <c r="F97" i="64"/>
  <c r="G97" i="64"/>
  <c r="H97" i="64"/>
  <c r="I97" i="64"/>
  <c r="J97" i="64"/>
  <c r="K97" i="64"/>
  <c r="L97" i="64"/>
  <c r="M97" i="64"/>
  <c r="N97" i="64"/>
  <c r="O97" i="64"/>
  <c r="P97" i="64"/>
  <c r="Q97" i="64"/>
  <c r="R97" i="64"/>
  <c r="S97" i="64"/>
  <c r="T97" i="64"/>
  <c r="U97" i="64"/>
  <c r="B98" i="64"/>
  <c r="C98" i="64"/>
  <c r="D98" i="64"/>
  <c r="E98" i="64"/>
  <c r="F98" i="64"/>
  <c r="G98" i="64"/>
  <c r="H98" i="64"/>
  <c r="I98" i="64"/>
  <c r="J98" i="64"/>
  <c r="K98" i="64"/>
  <c r="L98" i="64"/>
  <c r="M98" i="64"/>
  <c r="N98" i="64"/>
  <c r="O98" i="64"/>
  <c r="P98" i="64"/>
  <c r="Q98" i="64"/>
  <c r="R98" i="64"/>
  <c r="S98" i="64"/>
  <c r="T98" i="64"/>
  <c r="U98" i="64"/>
  <c r="B100" i="64"/>
  <c r="C100" i="64"/>
  <c r="D100" i="64"/>
  <c r="E100" i="64"/>
  <c r="F100" i="64"/>
  <c r="G100" i="64"/>
  <c r="H100" i="64"/>
  <c r="I100" i="64"/>
  <c r="J100" i="64"/>
  <c r="K100" i="64"/>
  <c r="L100" i="64"/>
  <c r="M100" i="64"/>
  <c r="N100" i="64"/>
  <c r="O100" i="64"/>
  <c r="P100" i="64"/>
  <c r="Q100" i="64"/>
  <c r="R100" i="64"/>
  <c r="S100" i="64"/>
  <c r="T100" i="64"/>
  <c r="U100" i="64"/>
  <c r="W100" i="64"/>
  <c r="B108" i="64"/>
  <c r="C108" i="64"/>
  <c r="D108" i="64"/>
  <c r="E108" i="64"/>
  <c r="F108" i="64"/>
  <c r="G108" i="64"/>
  <c r="H108" i="64"/>
  <c r="I108" i="64"/>
  <c r="J108" i="64"/>
  <c r="K108" i="64"/>
  <c r="L108" i="64"/>
  <c r="M108" i="64"/>
  <c r="N108" i="64"/>
  <c r="O108" i="64"/>
  <c r="P108" i="64"/>
  <c r="Q108" i="64"/>
  <c r="R108" i="64"/>
  <c r="S108" i="64"/>
  <c r="T108" i="64"/>
  <c r="U108" i="64"/>
  <c r="W108" i="64"/>
  <c r="X108" i="64"/>
  <c r="Y108" i="64"/>
  <c r="B110" i="64"/>
  <c r="C110" i="64"/>
  <c r="D110" i="64"/>
  <c r="E110" i="64"/>
  <c r="F110" i="64"/>
  <c r="G110" i="64"/>
  <c r="H110" i="64"/>
  <c r="I110" i="64"/>
  <c r="J110" i="64"/>
  <c r="K110" i="64"/>
  <c r="L110" i="64"/>
  <c r="M110" i="64"/>
  <c r="N110" i="64"/>
  <c r="O110" i="64"/>
  <c r="P110" i="64"/>
  <c r="Q110" i="64"/>
  <c r="R110" i="64"/>
  <c r="S110" i="64"/>
  <c r="T110" i="64"/>
  <c r="U110" i="64"/>
  <c r="W110" i="64"/>
  <c r="X110" i="64"/>
  <c r="Y110" i="64"/>
  <c r="B112" i="64"/>
  <c r="C112" i="64"/>
  <c r="D112" i="64"/>
  <c r="E112" i="64"/>
  <c r="F112" i="64"/>
  <c r="G112" i="64"/>
  <c r="H112" i="64"/>
  <c r="I112" i="64"/>
  <c r="J112" i="64"/>
  <c r="K112" i="64"/>
  <c r="L112" i="64"/>
  <c r="M112" i="64"/>
  <c r="N112" i="64"/>
  <c r="O112" i="64"/>
  <c r="P112" i="64"/>
  <c r="Q112" i="64"/>
  <c r="R112" i="64"/>
  <c r="S112" i="64"/>
  <c r="T112" i="64"/>
  <c r="U112" i="64"/>
  <c r="W112" i="64"/>
  <c r="X112" i="64"/>
  <c r="Y112" i="64"/>
  <c r="B114" i="64"/>
  <c r="C114" i="64"/>
  <c r="D114" i="64"/>
  <c r="E114" i="64"/>
  <c r="F114" i="64"/>
  <c r="G114" i="64"/>
  <c r="H114" i="64"/>
  <c r="I114" i="64"/>
  <c r="J114" i="64"/>
  <c r="K114" i="64"/>
  <c r="L114" i="64"/>
  <c r="M114" i="64"/>
  <c r="N114" i="64"/>
  <c r="O114" i="64"/>
  <c r="P114" i="64"/>
  <c r="Q114" i="64"/>
  <c r="R114" i="64"/>
  <c r="S114" i="64"/>
  <c r="T114" i="64"/>
  <c r="U114" i="64"/>
  <c r="B115" i="64"/>
  <c r="C115" i="64"/>
  <c r="D115" i="64"/>
  <c r="E115" i="64"/>
  <c r="F115" i="64"/>
  <c r="G115" i="64"/>
  <c r="H115" i="64"/>
  <c r="I115" i="64"/>
  <c r="J115" i="64"/>
  <c r="K115" i="64"/>
  <c r="L115" i="64"/>
  <c r="M115" i="64"/>
  <c r="N115" i="64"/>
  <c r="O115" i="64"/>
  <c r="P115" i="64"/>
  <c r="Q115" i="64"/>
  <c r="R115" i="64"/>
  <c r="S115" i="64"/>
  <c r="T115" i="64"/>
  <c r="U115" i="64"/>
  <c r="W115" i="64"/>
  <c r="X115" i="64"/>
  <c r="Y115" i="64"/>
  <c r="C117" i="64"/>
  <c r="D117" i="64"/>
  <c r="E117" i="64"/>
  <c r="F117" i="64"/>
  <c r="G117" i="64"/>
  <c r="H117" i="64"/>
  <c r="I117" i="64"/>
  <c r="J117" i="64"/>
  <c r="K117" i="64"/>
  <c r="L117" i="64"/>
  <c r="M117" i="64"/>
  <c r="N117" i="64"/>
  <c r="O117" i="64"/>
  <c r="P117" i="64"/>
  <c r="Q117" i="64"/>
  <c r="S117" i="64"/>
  <c r="T117" i="64"/>
  <c r="U117" i="64"/>
  <c r="B118" i="64"/>
  <c r="C118" i="64"/>
  <c r="D118" i="64"/>
  <c r="E118" i="64"/>
  <c r="F118" i="64"/>
  <c r="G118" i="64"/>
  <c r="H118" i="64"/>
  <c r="I118" i="64"/>
  <c r="J118" i="64"/>
  <c r="K118" i="64"/>
  <c r="L118" i="64"/>
  <c r="M118" i="64"/>
  <c r="N118" i="64"/>
  <c r="O118" i="64"/>
  <c r="P118" i="64"/>
  <c r="Q118" i="64"/>
  <c r="R118" i="64"/>
  <c r="S118" i="64"/>
  <c r="T118" i="64"/>
  <c r="U118" i="64"/>
  <c r="T119" i="64"/>
  <c r="U119" i="64"/>
  <c r="B120" i="64"/>
  <c r="C120" i="64"/>
  <c r="D120" i="64"/>
  <c r="E120" i="64"/>
  <c r="F120" i="64"/>
  <c r="G120" i="64"/>
  <c r="H120" i="64"/>
  <c r="I120" i="64"/>
  <c r="J120" i="64"/>
  <c r="K120" i="64"/>
  <c r="L120" i="64"/>
  <c r="M120" i="64"/>
  <c r="N120" i="64"/>
  <c r="O120" i="64"/>
  <c r="P120" i="64"/>
  <c r="Q120" i="64"/>
  <c r="R120" i="64"/>
  <c r="S120" i="64"/>
  <c r="T120" i="64"/>
  <c r="U120" i="64"/>
  <c r="B121" i="64"/>
  <c r="C121" i="64"/>
  <c r="D121" i="64"/>
  <c r="E121" i="64"/>
  <c r="F121" i="64"/>
  <c r="G121" i="64"/>
  <c r="H121" i="64"/>
  <c r="I121" i="64"/>
  <c r="J121" i="64"/>
  <c r="K121" i="64"/>
  <c r="L121" i="64"/>
  <c r="M121" i="64"/>
  <c r="N121" i="64"/>
  <c r="O121" i="64"/>
  <c r="P121" i="64"/>
  <c r="Q121" i="64"/>
  <c r="R121" i="64"/>
  <c r="S121" i="64"/>
  <c r="T121" i="64"/>
  <c r="U121" i="64"/>
  <c r="B123" i="64"/>
  <c r="C123" i="64"/>
  <c r="D123" i="64"/>
  <c r="E123" i="64"/>
  <c r="F123" i="64"/>
  <c r="G123" i="64"/>
  <c r="H123" i="64"/>
  <c r="I123" i="64"/>
  <c r="J123" i="64"/>
  <c r="K123" i="64"/>
  <c r="L123" i="64"/>
  <c r="M123" i="64"/>
  <c r="N123" i="64"/>
  <c r="O123" i="64"/>
  <c r="P123" i="64"/>
  <c r="Q123" i="64"/>
  <c r="R123" i="64"/>
  <c r="S123" i="64"/>
  <c r="T123" i="64"/>
  <c r="U123" i="64"/>
  <c r="W123" i="64"/>
  <c r="X123" i="64"/>
  <c r="Y123" i="64"/>
  <c r="B128" i="64"/>
  <c r="C128" i="64"/>
  <c r="D128" i="64"/>
  <c r="E128" i="64"/>
  <c r="F128" i="64"/>
  <c r="G128" i="64"/>
  <c r="H128" i="64"/>
  <c r="I128" i="64"/>
  <c r="J128" i="64"/>
  <c r="K128" i="64"/>
  <c r="L128" i="64"/>
  <c r="M128" i="64"/>
  <c r="N128" i="64"/>
  <c r="O128" i="64"/>
  <c r="P128" i="64"/>
  <c r="Q128" i="64"/>
  <c r="R128" i="64"/>
  <c r="S128" i="64"/>
  <c r="T128" i="64"/>
  <c r="U128" i="64"/>
  <c r="W128" i="64"/>
  <c r="X128" i="64"/>
  <c r="Y128" i="64"/>
  <c r="B130" i="64"/>
  <c r="C130" i="64"/>
  <c r="D130" i="64"/>
  <c r="E130" i="64"/>
  <c r="F130" i="64"/>
  <c r="G130" i="64"/>
  <c r="H130" i="64"/>
  <c r="I130" i="64"/>
  <c r="J130" i="64"/>
  <c r="K130" i="64"/>
  <c r="L130" i="64"/>
  <c r="M130" i="64"/>
  <c r="N130" i="64"/>
  <c r="O130" i="64"/>
  <c r="P130" i="64"/>
  <c r="Q130" i="64"/>
  <c r="R130" i="64"/>
  <c r="S130" i="64"/>
  <c r="T130" i="64"/>
  <c r="U130" i="64"/>
  <c r="W130" i="64"/>
  <c r="X130" i="64"/>
  <c r="Y130" i="64"/>
  <c r="B132" i="64"/>
  <c r="C132" i="64"/>
  <c r="D132" i="64"/>
  <c r="E132" i="64"/>
  <c r="F132" i="64"/>
  <c r="G132" i="64"/>
  <c r="H132" i="64"/>
  <c r="I132" i="64"/>
  <c r="J132" i="64"/>
  <c r="K132" i="64"/>
  <c r="L132" i="64"/>
  <c r="M132" i="64"/>
  <c r="N132" i="64"/>
  <c r="O132" i="64"/>
  <c r="P132" i="64"/>
  <c r="Q132" i="64"/>
  <c r="R132" i="64"/>
  <c r="S132" i="64"/>
  <c r="T132" i="64"/>
  <c r="U132" i="64"/>
  <c r="W132" i="64"/>
  <c r="X132" i="64"/>
  <c r="Y132" i="64"/>
  <c r="B134" i="64"/>
  <c r="C134" i="64"/>
  <c r="D134" i="64"/>
  <c r="E134" i="64"/>
  <c r="F134" i="64"/>
  <c r="G134" i="64"/>
  <c r="H134" i="64"/>
  <c r="I134" i="64"/>
  <c r="J134" i="64"/>
  <c r="K134" i="64"/>
  <c r="L134" i="64"/>
  <c r="M134" i="64"/>
  <c r="N134" i="64"/>
  <c r="O134" i="64"/>
  <c r="P134" i="64"/>
  <c r="Q134" i="64"/>
  <c r="R134" i="64"/>
  <c r="S134" i="64"/>
  <c r="T134" i="64"/>
  <c r="U134" i="64"/>
  <c r="W134" i="64"/>
  <c r="X134" i="64"/>
  <c r="Y134" i="6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AA10" i="34"/>
  <c r="AB10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AA11" i="34"/>
  <c r="AB11" i="34"/>
  <c r="AA12" i="34"/>
  <c r="AB12" i="34"/>
  <c r="AA13" i="34"/>
  <c r="AB13" i="34"/>
  <c r="AA14" i="34"/>
  <c r="AB14" i="34"/>
  <c r="AA15" i="34"/>
  <c r="AB15" i="34"/>
  <c r="AA16" i="34"/>
  <c r="AB16" i="34"/>
  <c r="AA17" i="34"/>
  <c r="AB17" i="34"/>
  <c r="AA18" i="34"/>
  <c r="AB18" i="34"/>
  <c r="AA19" i="34"/>
  <c r="AB19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AA20" i="34"/>
  <c r="AB20" i="34"/>
  <c r="AA21" i="34"/>
  <c r="AB21" i="34"/>
  <c r="AA22" i="34"/>
  <c r="AB22" i="34"/>
  <c r="AA23" i="34"/>
  <c r="AB23" i="34"/>
  <c r="AA24" i="34"/>
  <c r="AB24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AA25" i="34"/>
  <c r="AB25" i="34"/>
  <c r="AA26" i="34"/>
  <c r="AB26" i="34"/>
  <c r="AA27" i="34"/>
  <c r="AB27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AA28" i="34"/>
  <c r="AB28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AA29" i="34"/>
  <c r="AB29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AA30" i="34"/>
  <c r="AB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AA31" i="34"/>
  <c r="AB31" i="34"/>
  <c r="AA32" i="34"/>
  <c r="AB32" i="34"/>
  <c r="AA33" i="34"/>
  <c r="AB33" i="34"/>
  <c r="AA34" i="34"/>
  <c r="AB34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AA35" i="34"/>
  <c r="AB35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AA36" i="34"/>
  <c r="AB36" i="34"/>
  <c r="AA37" i="34"/>
  <c r="AB37" i="34"/>
  <c r="AA38" i="34"/>
  <c r="AB38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AA39" i="34"/>
  <c r="AB39" i="34"/>
  <c r="AA40" i="34"/>
  <c r="AB40" i="34"/>
  <c r="F41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AA41" i="34"/>
  <c r="AB41" i="34"/>
  <c r="AA42" i="34"/>
  <c r="AB42" i="34"/>
  <c r="AA43" i="34"/>
  <c r="AB43" i="34"/>
  <c r="E44" i="34"/>
  <c r="F44" i="34"/>
  <c r="G44" i="34"/>
  <c r="H44" i="34"/>
  <c r="I44" i="34"/>
  <c r="J44" i="34"/>
  <c r="K44" i="34"/>
  <c r="L44" i="34"/>
  <c r="M44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AA44" i="34"/>
  <c r="AB44" i="34"/>
  <c r="AA45" i="34"/>
  <c r="AB45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AA46" i="34"/>
  <c r="AB46" i="34"/>
  <c r="AA47" i="34"/>
  <c r="AB47" i="34"/>
  <c r="AA48" i="34"/>
  <c r="AB48" i="34"/>
  <c r="E49" i="34"/>
  <c r="F49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AA49" i="34"/>
  <c r="AB49" i="34"/>
  <c r="AA50" i="34"/>
  <c r="AB50" i="34"/>
  <c r="E51" i="34"/>
  <c r="F51" i="34"/>
  <c r="G51" i="34"/>
  <c r="H51" i="34"/>
  <c r="I51" i="34"/>
  <c r="J51" i="34"/>
  <c r="K51" i="34"/>
  <c r="L51" i="34"/>
  <c r="M51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AA51" i="34"/>
  <c r="AB51" i="34"/>
  <c r="E52" i="34"/>
  <c r="F52" i="34"/>
  <c r="G52" i="34"/>
  <c r="H52" i="34"/>
  <c r="I52" i="34"/>
  <c r="J52" i="34"/>
  <c r="K52" i="34"/>
  <c r="L52" i="34"/>
  <c r="M52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AA52" i="34"/>
  <c r="AB52" i="34"/>
  <c r="AA53" i="34"/>
  <c r="AB53" i="34"/>
  <c r="E54" i="34"/>
  <c r="F54" i="34"/>
  <c r="G54" i="34"/>
  <c r="H54" i="34"/>
  <c r="I54" i="34"/>
  <c r="J54" i="34"/>
  <c r="K54" i="34"/>
  <c r="L54" i="34"/>
  <c r="M54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AA54" i="34"/>
  <c r="AB54" i="34"/>
  <c r="AA55" i="34"/>
  <c r="AB55" i="34"/>
  <c r="E56" i="34"/>
  <c r="F56" i="34"/>
  <c r="G56" i="34"/>
  <c r="H56" i="34"/>
  <c r="I56" i="34"/>
  <c r="J56" i="34"/>
  <c r="K56" i="34"/>
  <c r="L56" i="34"/>
  <c r="M56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AA56" i="34"/>
  <c r="AB56" i="34"/>
  <c r="AA57" i="34"/>
  <c r="AB57" i="34"/>
  <c r="AA58" i="34"/>
  <c r="AB58" i="34"/>
  <c r="AA59" i="34"/>
  <c r="AB59" i="34"/>
  <c r="AA60" i="34"/>
  <c r="AB60" i="34"/>
  <c r="AA61" i="34"/>
  <c r="AB61" i="34"/>
  <c r="E62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AA62" i="34"/>
  <c r="AB62" i="34"/>
  <c r="AA63" i="34"/>
  <c r="AB63" i="34"/>
  <c r="E64" i="34"/>
  <c r="F64" i="34"/>
  <c r="G64" i="34"/>
  <c r="H64" i="34"/>
  <c r="I64" i="34"/>
  <c r="J64" i="34"/>
  <c r="K64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AA64" i="34"/>
  <c r="AB64" i="34"/>
  <c r="AA65" i="34"/>
  <c r="AB65" i="34"/>
  <c r="F66" i="34"/>
  <c r="G66" i="34"/>
  <c r="H66" i="34"/>
  <c r="I66" i="34"/>
  <c r="J66" i="34"/>
  <c r="K66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AA66" i="34"/>
  <c r="AB66" i="34"/>
  <c r="AA67" i="34"/>
  <c r="AB67" i="34"/>
  <c r="AA68" i="34"/>
  <c r="AB68" i="34"/>
  <c r="E69" i="34"/>
  <c r="F69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AA69" i="34"/>
  <c r="AB69" i="34"/>
  <c r="AA70" i="34"/>
  <c r="AB70" i="34"/>
  <c r="E71" i="34"/>
  <c r="F71" i="34"/>
  <c r="G71" i="34"/>
  <c r="H71" i="34"/>
  <c r="I71" i="34"/>
  <c r="J71" i="34"/>
  <c r="K71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AA71" i="34"/>
  <c r="AB71" i="34"/>
  <c r="AA72" i="34"/>
  <c r="AB72" i="34"/>
  <c r="E73" i="34"/>
  <c r="F73" i="34"/>
  <c r="G73" i="34"/>
  <c r="H73" i="34"/>
  <c r="I73" i="34"/>
  <c r="J73" i="34"/>
  <c r="K73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AA73" i="34"/>
  <c r="AB73" i="34"/>
  <c r="AA74" i="34"/>
  <c r="AB74" i="34"/>
  <c r="AA75" i="34"/>
  <c r="AB75" i="34"/>
  <c r="C76" i="34"/>
  <c r="E76" i="34"/>
  <c r="F76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AA76" i="34"/>
  <c r="AB76" i="34"/>
  <c r="C77" i="34"/>
  <c r="E77" i="34"/>
  <c r="F77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AA77" i="34"/>
  <c r="AB77" i="34"/>
  <c r="AA78" i="34"/>
  <c r="AB78" i="34"/>
  <c r="AA79" i="34"/>
  <c r="AB79" i="34"/>
  <c r="AA80" i="34"/>
  <c r="AB80" i="34"/>
  <c r="AA81" i="34"/>
  <c r="AB81" i="34"/>
  <c r="AA82" i="34"/>
  <c r="AB82" i="34"/>
  <c r="AA83" i="34"/>
  <c r="AB83" i="34"/>
  <c r="AA84" i="34"/>
  <c r="AB84" i="34"/>
  <c r="AA85" i="34"/>
  <c r="AB85" i="34"/>
  <c r="E86" i="34"/>
  <c r="F86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AA86" i="34"/>
  <c r="AB86" i="34"/>
  <c r="AA87" i="34"/>
  <c r="AB87" i="34"/>
  <c r="F88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AA88" i="34"/>
  <c r="AB88" i="34"/>
  <c r="F89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AA89" i="34"/>
  <c r="AB89" i="34"/>
  <c r="F90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AA90" i="34"/>
  <c r="AB90" i="34"/>
  <c r="Y91" i="34"/>
  <c r="AA91" i="34"/>
  <c r="AB91" i="34"/>
  <c r="F92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AA92" i="34"/>
  <c r="AB92" i="34"/>
  <c r="AA93" i="34"/>
  <c r="AB93" i="34"/>
  <c r="AA94" i="34"/>
  <c r="AB94" i="34"/>
  <c r="E95" i="34"/>
  <c r="Y95" i="34"/>
  <c r="AA95" i="34"/>
  <c r="AB95" i="34"/>
  <c r="AA96" i="34"/>
  <c r="AB96" i="34"/>
  <c r="Y97" i="34"/>
  <c r="AA97" i="34"/>
  <c r="AB97" i="34"/>
  <c r="AA98" i="34"/>
  <c r="AB98" i="34"/>
  <c r="Y99" i="34"/>
  <c r="AA99" i="34"/>
  <c r="AB99" i="34"/>
  <c r="AA100" i="34"/>
  <c r="AB100" i="34"/>
  <c r="D101" i="34"/>
  <c r="AA101" i="34"/>
  <c r="AB101" i="34"/>
  <c r="D102" i="34"/>
  <c r="AA102" i="34"/>
  <c r="AB102" i="34"/>
  <c r="D103" i="34"/>
  <c r="AA103" i="34"/>
  <c r="AB103" i="34"/>
  <c r="AA104" i="34"/>
  <c r="AB104" i="34"/>
  <c r="D105" i="34"/>
  <c r="AA105" i="34"/>
  <c r="AB105" i="34"/>
  <c r="AA106" i="34"/>
  <c r="AB106" i="34"/>
  <c r="F107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AA107" i="34"/>
  <c r="AB107" i="34"/>
  <c r="AA108" i="34"/>
  <c r="AB108" i="34"/>
  <c r="D109" i="34"/>
  <c r="F109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AA109" i="34"/>
  <c r="AB109" i="34"/>
  <c r="D110" i="34"/>
  <c r="F110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AA110" i="34"/>
  <c r="AB110" i="34"/>
  <c r="AA111" i="34"/>
  <c r="AB111" i="34"/>
  <c r="AA112" i="34"/>
  <c r="AB112" i="34"/>
  <c r="D113" i="34"/>
  <c r="AA113" i="34"/>
  <c r="AB113" i="34"/>
  <c r="AA114" i="34"/>
  <c r="AB114" i="34"/>
  <c r="F115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AA115" i="34"/>
  <c r="AB115" i="34"/>
  <c r="D116" i="34"/>
  <c r="F116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AA116" i="34"/>
  <c r="AB116" i="34"/>
  <c r="AA117" i="34"/>
  <c r="AB117" i="34"/>
  <c r="AA118" i="34"/>
  <c r="AB118" i="34"/>
  <c r="F119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AA119" i="34"/>
  <c r="AB119" i="34"/>
  <c r="AA120" i="34"/>
  <c r="AB120" i="34"/>
  <c r="A121" i="34"/>
  <c r="F121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AA121" i="34"/>
  <c r="AB121" i="34"/>
  <c r="F122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AA122" i="34"/>
  <c r="AB122" i="34"/>
  <c r="F123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AA123" i="34"/>
  <c r="AB123" i="34"/>
  <c r="F124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AA124" i="34"/>
  <c r="AB124" i="34"/>
  <c r="AA125" i="34"/>
  <c r="AB125" i="34"/>
  <c r="C126" i="34"/>
  <c r="F126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AA126" i="34"/>
  <c r="AB126" i="34"/>
  <c r="C127" i="34"/>
  <c r="F127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AA127" i="34"/>
  <c r="AB127" i="34"/>
  <c r="AA128" i="34"/>
  <c r="AB128" i="34"/>
  <c r="AA129" i="34"/>
  <c r="AB129" i="34"/>
  <c r="AA130" i="34"/>
  <c r="AB130" i="34"/>
  <c r="AA131" i="34"/>
  <c r="AB131" i="34"/>
  <c r="AA132" i="34"/>
  <c r="AB132" i="34"/>
  <c r="AA133" i="34"/>
  <c r="AB133" i="34"/>
  <c r="AA134" i="34"/>
  <c r="AB134" i="34"/>
  <c r="F135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AA135" i="34"/>
  <c r="AB135" i="34"/>
  <c r="AA136" i="34"/>
  <c r="AB136" i="34"/>
  <c r="F137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AA137" i="34"/>
  <c r="AB137" i="34"/>
  <c r="F138" i="34"/>
  <c r="G138" i="34"/>
  <c r="H138" i="34"/>
  <c r="I138" i="34"/>
  <c r="J138" i="34"/>
  <c r="K138" i="34"/>
  <c r="L138" i="34"/>
  <c r="M138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AA138" i="34"/>
  <c r="AB138" i="34"/>
  <c r="F139" i="34"/>
  <c r="G139" i="34"/>
  <c r="H139" i="34"/>
  <c r="I139" i="34"/>
  <c r="J139" i="34"/>
  <c r="K139" i="34"/>
  <c r="L139" i="34"/>
  <c r="M139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AA139" i="34"/>
  <c r="AB139" i="34"/>
  <c r="C140" i="34"/>
  <c r="F140" i="34"/>
  <c r="G140" i="34"/>
  <c r="H140" i="34"/>
  <c r="I140" i="34"/>
  <c r="J140" i="34"/>
  <c r="K140" i="34"/>
  <c r="L140" i="34"/>
  <c r="M140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AA140" i="34"/>
  <c r="AB140" i="34"/>
  <c r="C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AA141" i="34"/>
  <c r="AB141" i="34"/>
  <c r="F142" i="34"/>
  <c r="G142" i="34"/>
  <c r="H142" i="34"/>
  <c r="I142" i="34"/>
  <c r="J142" i="34"/>
  <c r="K142" i="34"/>
  <c r="L142" i="34"/>
  <c r="M142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AA142" i="34"/>
  <c r="AB142" i="34"/>
  <c r="AA143" i="34"/>
  <c r="AB143" i="34"/>
  <c r="A144" i="34"/>
  <c r="F144" i="34"/>
  <c r="G144" i="34"/>
  <c r="H144" i="34"/>
  <c r="I144" i="34"/>
  <c r="J144" i="34"/>
  <c r="K144" i="34"/>
  <c r="L144" i="34"/>
  <c r="M144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AA144" i="34"/>
  <c r="AB144" i="34"/>
  <c r="F145" i="34"/>
  <c r="G145" i="34"/>
  <c r="H145" i="34"/>
  <c r="I145" i="34"/>
  <c r="J145" i="34"/>
  <c r="K145" i="34"/>
  <c r="L145" i="34"/>
  <c r="M145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AA145" i="34"/>
  <c r="AB145" i="34"/>
  <c r="AA146" i="34"/>
  <c r="AB146" i="34"/>
  <c r="F147" i="34"/>
  <c r="G147" i="34"/>
  <c r="H147" i="34"/>
  <c r="I147" i="34"/>
  <c r="J147" i="34"/>
  <c r="K147" i="34"/>
  <c r="L147" i="34"/>
  <c r="M147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AA147" i="34"/>
  <c r="AB147" i="34"/>
  <c r="AA148" i="34"/>
  <c r="AB148" i="34"/>
  <c r="AA149" i="34"/>
  <c r="AB149" i="34"/>
  <c r="A150" i="34"/>
  <c r="F150" i="34"/>
  <c r="G150" i="34"/>
  <c r="H150" i="34"/>
  <c r="I150" i="34"/>
  <c r="J150" i="34"/>
  <c r="K150" i="34"/>
  <c r="L150" i="34"/>
  <c r="M150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AA150" i="34"/>
  <c r="AB150" i="34"/>
  <c r="AA151" i="34"/>
  <c r="AB151" i="34"/>
  <c r="F152" i="34"/>
  <c r="G152" i="34"/>
  <c r="H152" i="34"/>
  <c r="I152" i="34"/>
  <c r="J152" i="34"/>
  <c r="K152" i="34"/>
  <c r="L152" i="34"/>
  <c r="M152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AA152" i="34"/>
  <c r="C155" i="34"/>
  <c r="D160" i="34"/>
  <c r="D161" i="34"/>
  <c r="D162" i="34"/>
  <c r="D163" i="34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AA10" i="31"/>
  <c r="AB10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AA11" i="31"/>
  <c r="AB11" i="31"/>
  <c r="AA12" i="31"/>
  <c r="AB12" i="31"/>
  <c r="AA13" i="31"/>
  <c r="AB13" i="31"/>
  <c r="AA14" i="31"/>
  <c r="AB14" i="31"/>
  <c r="AA15" i="31"/>
  <c r="AB15" i="31"/>
  <c r="AA16" i="31"/>
  <c r="AB16" i="31"/>
  <c r="AA17" i="31"/>
  <c r="AB17" i="31"/>
  <c r="AA18" i="31"/>
  <c r="AB18" i="31"/>
  <c r="AA19" i="31"/>
  <c r="AB19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AA20" i="31"/>
  <c r="AB20" i="31"/>
  <c r="AA21" i="31"/>
  <c r="AB21" i="31"/>
  <c r="AA22" i="31"/>
  <c r="AB22" i="31"/>
  <c r="AA23" i="31"/>
  <c r="AB23" i="31"/>
  <c r="AA24" i="31"/>
  <c r="AB24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AA25" i="31"/>
  <c r="AB25" i="31"/>
  <c r="AA26" i="31"/>
  <c r="AB26" i="31"/>
  <c r="AA27" i="31"/>
  <c r="AB27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AA28" i="31"/>
  <c r="AB28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AA29" i="31"/>
  <c r="AB29" i="31"/>
  <c r="AA30" i="31"/>
  <c r="AB30" i="31"/>
  <c r="AA31" i="31"/>
  <c r="AB31" i="31"/>
  <c r="AA32" i="31"/>
  <c r="AB32" i="31"/>
  <c r="AA33" i="31"/>
  <c r="AB33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AA34" i="31"/>
  <c r="AB34" i="31"/>
  <c r="AA35" i="31"/>
  <c r="AB35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AA36" i="31"/>
  <c r="AB36" i="31"/>
  <c r="AA37" i="31"/>
  <c r="AB37" i="31"/>
  <c r="AA38" i="31"/>
  <c r="AB38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AA39" i="31"/>
  <c r="AB39" i="31"/>
  <c r="AA40" i="31"/>
  <c r="AB40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AA41" i="31"/>
  <c r="AB41" i="31"/>
  <c r="AA42" i="31"/>
  <c r="AB42" i="31"/>
  <c r="AA43" i="31"/>
  <c r="AB43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AA44" i="31"/>
  <c r="AB44" i="31"/>
  <c r="AA45" i="31"/>
  <c r="AB45" i="31"/>
  <c r="AA46" i="31"/>
  <c r="AB46" i="31"/>
  <c r="AA47" i="31"/>
  <c r="AB47" i="31"/>
  <c r="AA48" i="31"/>
  <c r="AB48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AA49" i="31"/>
  <c r="AB49" i="31"/>
  <c r="AA50" i="31"/>
  <c r="AB50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AA51" i="31"/>
  <c r="AB51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AA52" i="31"/>
  <c r="AB52" i="31"/>
  <c r="AA53" i="31"/>
  <c r="AB53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AA54" i="31"/>
  <c r="AB54" i="31"/>
  <c r="AA55" i="31"/>
  <c r="AB55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AA56" i="31"/>
  <c r="AB56" i="31"/>
  <c r="AA57" i="31"/>
  <c r="AB57" i="31"/>
  <c r="AA58" i="31"/>
  <c r="AB58" i="31"/>
  <c r="AA59" i="31"/>
  <c r="AB59" i="31"/>
  <c r="AA60" i="31"/>
  <c r="AB60" i="31"/>
  <c r="AA61" i="31"/>
  <c r="AB61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AA62" i="31"/>
  <c r="AB62" i="31"/>
  <c r="AA63" i="31"/>
  <c r="AB63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AA64" i="31"/>
  <c r="AB64" i="31"/>
  <c r="AA65" i="31"/>
  <c r="AB65" i="31"/>
  <c r="AA66" i="31"/>
  <c r="AB66" i="31"/>
  <c r="AA67" i="31"/>
  <c r="AB67" i="31"/>
  <c r="AA68" i="31"/>
  <c r="AB68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Y69" i="31"/>
  <c r="AA69" i="31"/>
  <c r="AB69" i="31"/>
  <c r="AA70" i="31"/>
  <c r="AB70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AA71" i="31"/>
  <c r="AB71" i="31"/>
  <c r="AA72" i="31"/>
  <c r="AB72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AA73" i="31"/>
  <c r="AB73" i="31"/>
  <c r="AA74" i="31"/>
  <c r="AB74" i="31"/>
  <c r="AA75" i="31"/>
  <c r="AB75" i="31"/>
  <c r="C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AA76" i="31"/>
  <c r="AB76" i="31"/>
  <c r="C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AA77" i="31"/>
  <c r="AB77" i="31"/>
  <c r="AA78" i="31"/>
  <c r="AB78" i="31"/>
  <c r="AA79" i="31"/>
  <c r="AB79" i="31"/>
  <c r="AA80" i="31"/>
  <c r="AB80" i="31"/>
  <c r="AA81" i="31"/>
  <c r="AB81" i="31"/>
  <c r="AA82" i="31"/>
  <c r="AB82" i="31"/>
  <c r="AA83" i="31"/>
  <c r="AB83" i="31"/>
  <c r="AA84" i="31"/>
  <c r="AB84" i="31"/>
  <c r="AA85" i="31"/>
  <c r="AB85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AA86" i="31"/>
  <c r="AB86" i="31"/>
  <c r="AA87" i="31"/>
  <c r="AB87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AA88" i="31"/>
  <c r="AB88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AA89" i="31"/>
  <c r="AB89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AA90" i="31"/>
  <c r="AB90" i="31"/>
  <c r="Y91" i="31"/>
  <c r="AA91" i="31"/>
  <c r="AB91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AA92" i="31"/>
  <c r="AB92" i="31"/>
  <c r="AA93" i="31"/>
  <c r="AB93" i="31"/>
  <c r="AA94" i="31"/>
  <c r="AB94" i="31"/>
  <c r="E95" i="31"/>
  <c r="Y95" i="31"/>
  <c r="AA95" i="31"/>
  <c r="AB95" i="31"/>
  <c r="AA96" i="31"/>
  <c r="AB96" i="31"/>
  <c r="Y97" i="31"/>
  <c r="AA97" i="31"/>
  <c r="AB97" i="31"/>
  <c r="AA98" i="31"/>
  <c r="AB98" i="31"/>
  <c r="Y99" i="31"/>
  <c r="AA99" i="31"/>
  <c r="AB99" i="31"/>
  <c r="AA100" i="31"/>
  <c r="AB100" i="31"/>
  <c r="AA101" i="31"/>
  <c r="AB101" i="31"/>
  <c r="D102" i="31"/>
  <c r="AA102" i="31"/>
  <c r="AB102" i="31"/>
  <c r="D103" i="31"/>
  <c r="AA103" i="31"/>
  <c r="AB103" i="31"/>
  <c r="AA104" i="31"/>
  <c r="AB104" i="31"/>
  <c r="D105" i="31"/>
  <c r="AA105" i="31"/>
  <c r="AB105" i="31"/>
  <c r="AA106" i="31"/>
  <c r="AB106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AA107" i="31"/>
  <c r="AB107" i="31"/>
  <c r="AA108" i="31"/>
  <c r="AB108" i="31"/>
  <c r="D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AA109" i="31"/>
  <c r="AB109" i="31"/>
  <c r="D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AA110" i="31"/>
  <c r="AB110" i="31"/>
  <c r="AA111" i="31"/>
  <c r="AB111" i="31"/>
  <c r="AA112" i="31"/>
  <c r="AB112" i="31"/>
  <c r="D113" i="31"/>
  <c r="AA113" i="31"/>
  <c r="AB113" i="31"/>
  <c r="AA114" i="31"/>
  <c r="AB114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AA115" i="31"/>
  <c r="AB115" i="31"/>
  <c r="D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AA116" i="31"/>
  <c r="AB116" i="31"/>
  <c r="AA117" i="31"/>
  <c r="AB117" i="31"/>
  <c r="AA118" i="31"/>
  <c r="AB118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AA119" i="31"/>
  <c r="AB119" i="31"/>
  <c r="AA120" i="31"/>
  <c r="AB120" i="31"/>
  <c r="A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AA121" i="31"/>
  <c r="AB121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AA122" i="31"/>
  <c r="AB122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3" i="31"/>
  <c r="AB123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AA124" i="31"/>
  <c r="AB124" i="31"/>
  <c r="AA125" i="31"/>
  <c r="AB125" i="31"/>
  <c r="C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AA126" i="31"/>
  <c r="AB126" i="31"/>
  <c r="C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AA127" i="31"/>
  <c r="AB127" i="31"/>
  <c r="AA128" i="31"/>
  <c r="AB128" i="31"/>
  <c r="AA129" i="31"/>
  <c r="AB129" i="31"/>
  <c r="AA130" i="31"/>
  <c r="AB130" i="31"/>
  <c r="AA131" i="31"/>
  <c r="AB131" i="31"/>
  <c r="AA132" i="31"/>
  <c r="AB132" i="31"/>
  <c r="AA133" i="31"/>
  <c r="AB133" i="31"/>
  <c r="AA134" i="31"/>
  <c r="AB134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AA135" i="31"/>
  <c r="AB135" i="31"/>
  <c r="AA136" i="31"/>
  <c r="AB136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R137" i="31"/>
  <c r="S137" i="31"/>
  <c r="T137" i="31"/>
  <c r="U137" i="31"/>
  <c r="V137" i="31"/>
  <c r="W137" i="31"/>
  <c r="X137" i="31"/>
  <c r="Y137" i="31"/>
  <c r="AA137" i="31"/>
  <c r="AB137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R138" i="31"/>
  <c r="S138" i="31"/>
  <c r="T138" i="31"/>
  <c r="U138" i="31"/>
  <c r="V138" i="31"/>
  <c r="W138" i="31"/>
  <c r="X138" i="31"/>
  <c r="Y138" i="31"/>
  <c r="AA138" i="31"/>
  <c r="AB138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R139" i="31"/>
  <c r="S139" i="31"/>
  <c r="T139" i="31"/>
  <c r="U139" i="31"/>
  <c r="V139" i="31"/>
  <c r="W139" i="31"/>
  <c r="X139" i="31"/>
  <c r="Y139" i="31"/>
  <c r="AA139" i="31"/>
  <c r="AB139" i="31"/>
  <c r="C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R140" i="31"/>
  <c r="S140" i="31"/>
  <c r="T140" i="31"/>
  <c r="U140" i="31"/>
  <c r="V140" i="31"/>
  <c r="W140" i="31"/>
  <c r="X140" i="31"/>
  <c r="Y140" i="31"/>
  <c r="AA140" i="31"/>
  <c r="AB140" i="31"/>
  <c r="C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AA141" i="31"/>
  <c r="AB141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R142" i="31"/>
  <c r="S142" i="31"/>
  <c r="T142" i="31"/>
  <c r="U142" i="31"/>
  <c r="V142" i="31"/>
  <c r="W142" i="31"/>
  <c r="X142" i="31"/>
  <c r="Y142" i="31"/>
  <c r="AA142" i="31"/>
  <c r="AB142" i="31"/>
  <c r="AA143" i="31"/>
  <c r="AB143" i="31"/>
  <c r="A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AA144" i="31"/>
  <c r="AB144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AA145" i="31"/>
  <c r="AB145" i="31"/>
  <c r="AA146" i="31"/>
  <c r="AB146" i="31"/>
  <c r="AA147" i="31"/>
  <c r="AB147" i="31"/>
  <c r="AA148" i="31"/>
  <c r="AB148" i="31"/>
  <c r="AA149" i="31"/>
  <c r="AB149" i="31"/>
  <c r="A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AA150" i="31"/>
  <c r="AB150" i="31"/>
  <c r="AA151" i="31"/>
  <c r="AB151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AA152" i="31"/>
  <c r="C155" i="31"/>
  <c r="C156" i="31"/>
  <c r="D160" i="31"/>
  <c r="D162" i="31"/>
  <c r="D163" i="31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AA10" i="18"/>
  <c r="AB10" i="18"/>
  <c r="AA11" i="18"/>
  <c r="AB11" i="18"/>
  <c r="AA12" i="18"/>
  <c r="AB12" i="18"/>
  <c r="AA13" i="18"/>
  <c r="AB13" i="18"/>
  <c r="AA14" i="18"/>
  <c r="AB14" i="18"/>
  <c r="AA15" i="18"/>
  <c r="AB15" i="18"/>
  <c r="AA16" i="18"/>
  <c r="AB16" i="18"/>
  <c r="AA17" i="18"/>
  <c r="AB17" i="18"/>
  <c r="AA18" i="18"/>
  <c r="AB18" i="18"/>
  <c r="AA19" i="18"/>
  <c r="AB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AA20" i="18"/>
  <c r="AB20" i="18"/>
  <c r="AA21" i="18"/>
  <c r="AB21" i="18"/>
  <c r="AA22" i="18"/>
  <c r="AB22" i="18"/>
  <c r="AA23" i="18"/>
  <c r="AB23" i="18"/>
  <c r="AA24" i="18"/>
  <c r="AB24" i="18"/>
  <c r="AA25" i="18"/>
  <c r="AB25" i="18"/>
  <c r="AA26" i="18"/>
  <c r="AB26" i="18"/>
  <c r="AA27" i="18"/>
  <c r="AB27" i="18"/>
  <c r="AA28" i="18"/>
  <c r="AB28" i="18"/>
  <c r="AA29" i="18"/>
  <c r="AB29" i="18"/>
  <c r="AA30" i="18"/>
  <c r="AB30" i="18"/>
  <c r="AA31" i="18"/>
  <c r="AB31" i="18"/>
  <c r="AA32" i="18"/>
  <c r="AB32" i="18"/>
  <c r="AA33" i="18"/>
  <c r="AB33" i="18"/>
  <c r="AA34" i="18"/>
  <c r="AB34" i="18"/>
  <c r="AA35" i="18"/>
  <c r="AB35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AA36" i="18"/>
  <c r="AB36" i="18"/>
  <c r="AA37" i="18"/>
  <c r="AB37" i="18"/>
  <c r="AA38" i="18"/>
  <c r="AB38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AA39" i="18"/>
  <c r="AB39" i="18"/>
  <c r="AA40" i="18"/>
  <c r="AB40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AA41" i="18"/>
  <c r="AB41" i="18"/>
  <c r="AA42" i="18"/>
  <c r="AB42" i="18"/>
  <c r="AA43" i="18"/>
  <c r="AB43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A44" i="18"/>
  <c r="AB44" i="18"/>
  <c r="AA45" i="18"/>
  <c r="AB45" i="18"/>
  <c r="AA46" i="18"/>
  <c r="AB46" i="18"/>
  <c r="AA47" i="18"/>
  <c r="AB47" i="18"/>
  <c r="AA48" i="18"/>
  <c r="AB48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AA49" i="18"/>
  <c r="AB49" i="18"/>
  <c r="AA50" i="18"/>
  <c r="AB50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AA51" i="18"/>
  <c r="AB51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AA52" i="18"/>
  <c r="AB52" i="18"/>
  <c r="AA53" i="18"/>
  <c r="AB53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AA54" i="18"/>
  <c r="AB54" i="18"/>
  <c r="AA55" i="18"/>
  <c r="AB55" i="18"/>
  <c r="AA56" i="18"/>
  <c r="AB56" i="18"/>
  <c r="AA57" i="18"/>
  <c r="AB57" i="18"/>
  <c r="AA58" i="18"/>
  <c r="AB58" i="18"/>
  <c r="AA59" i="18"/>
  <c r="AB59" i="18"/>
  <c r="AA60" i="18"/>
  <c r="AB60" i="18"/>
  <c r="AA61" i="18"/>
  <c r="AB61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AA62" i="18"/>
  <c r="AB62" i="18"/>
  <c r="AA63" i="18"/>
  <c r="AB63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AA64" i="18"/>
  <c r="AB64" i="18"/>
  <c r="AA65" i="18"/>
  <c r="AB65" i="18"/>
  <c r="AA66" i="18"/>
  <c r="AB66" i="18"/>
  <c r="AA67" i="18"/>
  <c r="AB67" i="18"/>
  <c r="AA68" i="18"/>
  <c r="AB68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AA69" i="18"/>
  <c r="AB69" i="18"/>
  <c r="AA70" i="18"/>
  <c r="AB70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AA71" i="18"/>
  <c r="AB71" i="18"/>
  <c r="AA72" i="18"/>
  <c r="AB72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AA73" i="18"/>
  <c r="AB73" i="18"/>
  <c r="AA74" i="18"/>
  <c r="AB74" i="18"/>
  <c r="AA75" i="18"/>
  <c r="AB75" i="18"/>
  <c r="C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A76" i="18"/>
  <c r="AB76" i="18"/>
  <c r="C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AA77" i="18"/>
  <c r="AB77" i="18"/>
  <c r="AA78" i="18"/>
  <c r="AB78" i="18"/>
  <c r="AA79" i="18"/>
  <c r="AB79" i="18"/>
  <c r="AA80" i="18"/>
  <c r="AB80" i="18"/>
  <c r="AA81" i="18"/>
  <c r="AB81" i="18"/>
  <c r="AA82" i="18"/>
  <c r="AB82" i="18"/>
  <c r="AA83" i="18"/>
  <c r="AB83" i="18"/>
  <c r="AA84" i="18"/>
  <c r="AB84" i="18"/>
  <c r="AA85" i="18"/>
  <c r="AB85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AA86" i="18"/>
  <c r="AB86" i="18"/>
  <c r="AA87" i="18"/>
  <c r="AB87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AA88" i="18"/>
  <c r="AB88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AA89" i="18"/>
  <c r="AB89" i="18"/>
  <c r="W90" i="18"/>
  <c r="AA90" i="18"/>
  <c r="AB90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AA91" i="18"/>
  <c r="AB91" i="18"/>
  <c r="AA92" i="18"/>
  <c r="AB92" i="18"/>
  <c r="AA93" i="18"/>
  <c r="AB93" i="18"/>
  <c r="E94" i="18"/>
  <c r="Y94" i="18"/>
  <c r="AA94" i="18"/>
  <c r="AB94" i="18"/>
  <c r="AA95" i="18"/>
  <c r="AB95" i="18"/>
  <c r="Y96" i="18"/>
  <c r="AA96" i="18"/>
  <c r="AB96" i="18"/>
  <c r="AA97" i="18"/>
  <c r="AB97" i="18"/>
  <c r="Y98" i="18"/>
  <c r="AA98" i="18"/>
  <c r="AB98" i="18"/>
  <c r="AA99" i="18"/>
  <c r="AB99" i="18"/>
  <c r="D100" i="18"/>
  <c r="AA100" i="18"/>
  <c r="AB100" i="18"/>
  <c r="D101" i="18"/>
  <c r="AA101" i="18"/>
  <c r="AB101" i="18"/>
  <c r="D102" i="18"/>
  <c r="AA102" i="18"/>
  <c r="AB102" i="18"/>
  <c r="AA103" i="18"/>
  <c r="AB103" i="18"/>
  <c r="D104" i="18"/>
  <c r="AA104" i="18"/>
  <c r="AB104" i="18"/>
  <c r="AA105" i="18"/>
  <c r="AB105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AA106" i="18"/>
  <c r="AB106" i="18"/>
  <c r="AA107" i="18"/>
  <c r="AB107" i="18"/>
  <c r="D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AA108" i="18"/>
  <c r="AB108" i="18"/>
  <c r="D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AA109" i="18"/>
  <c r="AB109" i="18"/>
  <c r="AA110" i="18"/>
  <c r="AB110" i="18"/>
  <c r="AA111" i="18"/>
  <c r="AB111" i="18"/>
  <c r="D112" i="18"/>
  <c r="AA112" i="18"/>
  <c r="AB112" i="18"/>
  <c r="AA113" i="18"/>
  <c r="AB113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AA114" i="18"/>
  <c r="AB114" i="18"/>
  <c r="D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AA115" i="18"/>
  <c r="AB115" i="18"/>
  <c r="AA116" i="18"/>
  <c r="AB116" i="18"/>
  <c r="AA117" i="18"/>
  <c r="AB117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AA118" i="18"/>
  <c r="AB118" i="18"/>
  <c r="AA119" i="18"/>
  <c r="AB119" i="18"/>
  <c r="A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AA120" i="18"/>
  <c r="AB120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AA121" i="18"/>
  <c r="AB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AA122" i="18"/>
  <c r="AB122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AA123" i="18"/>
  <c r="AB123" i="18"/>
  <c r="AA124" i="18"/>
  <c r="AB124" i="18"/>
  <c r="C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AA125" i="18"/>
  <c r="AB125" i="18"/>
  <c r="C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AA126" i="18"/>
  <c r="AB126" i="18"/>
  <c r="AA127" i="18"/>
  <c r="AB127" i="18"/>
  <c r="AA128" i="18"/>
  <c r="AB128" i="18"/>
  <c r="AA129" i="18"/>
  <c r="AB129" i="18"/>
  <c r="AA130" i="18"/>
  <c r="AB130" i="18"/>
  <c r="AA131" i="18"/>
  <c r="AB131" i="18"/>
  <c r="AA132" i="18"/>
  <c r="AB132" i="18"/>
  <c r="AA133" i="18"/>
  <c r="AB133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AA134" i="18"/>
  <c r="AB134" i="18"/>
  <c r="AA135" i="18"/>
  <c r="AB135" i="18"/>
  <c r="AA136" i="18"/>
  <c r="AB136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Y137" i="18"/>
  <c r="AA137" i="18"/>
  <c r="AB137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AA138" i="18"/>
  <c r="AB138" i="18"/>
  <c r="C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AA139" i="18"/>
  <c r="AB139" i="18"/>
  <c r="C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AA140" i="18"/>
  <c r="AB140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AA141" i="18"/>
  <c r="AB141" i="18"/>
  <c r="AA142" i="18"/>
  <c r="AB142" i="18"/>
  <c r="A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AA143" i="18"/>
  <c r="AB143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AA144" i="18"/>
  <c r="AB144" i="18"/>
  <c r="AA145" i="18"/>
  <c r="AB145" i="18"/>
  <c r="AA146" i="18"/>
  <c r="AB146" i="18"/>
  <c r="AA147" i="18"/>
  <c r="AB147" i="18"/>
  <c r="AA148" i="18"/>
  <c r="AB148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AA149" i="18"/>
  <c r="AB149" i="18"/>
  <c r="AA150" i="18"/>
  <c r="AB150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AA151" i="18"/>
  <c r="AB151" i="18"/>
  <c r="C154" i="18"/>
  <c r="D159" i="18"/>
  <c r="D161" i="18"/>
  <c r="D162" i="18"/>
  <c r="C8" i="73"/>
  <c r="G8" i="73"/>
  <c r="K8" i="73"/>
  <c r="O8" i="73"/>
  <c r="S8" i="73"/>
  <c r="D19" i="73"/>
  <c r="E19" i="73"/>
  <c r="F19" i="73"/>
  <c r="G19" i="73"/>
  <c r="H19" i="73"/>
  <c r="I19" i="73"/>
  <c r="J19" i="73"/>
  <c r="K19" i="73"/>
  <c r="L19" i="73"/>
  <c r="M19" i="73"/>
  <c r="N19" i="73"/>
  <c r="O19" i="73"/>
  <c r="P19" i="73"/>
  <c r="Q19" i="73"/>
  <c r="R19" i="73"/>
  <c r="S19" i="73"/>
  <c r="T19" i="73"/>
  <c r="U19" i="73"/>
  <c r="V19" i="73"/>
  <c r="C21" i="73"/>
  <c r="D21" i="73"/>
  <c r="E21" i="73"/>
  <c r="F21" i="73"/>
  <c r="G21" i="73"/>
  <c r="H21" i="73"/>
  <c r="I21" i="73"/>
  <c r="J21" i="73"/>
  <c r="K21" i="73"/>
  <c r="L21" i="73"/>
  <c r="M21" i="73"/>
  <c r="N21" i="73"/>
  <c r="O21" i="73"/>
  <c r="P21" i="73"/>
  <c r="Q21" i="73"/>
  <c r="R21" i="73"/>
  <c r="S21" i="73"/>
  <c r="T21" i="73"/>
  <c r="U21" i="73"/>
  <c r="V21" i="73"/>
  <c r="C22" i="73"/>
  <c r="D22" i="73"/>
  <c r="E22" i="73"/>
  <c r="F22" i="73"/>
  <c r="G22" i="73"/>
  <c r="H22" i="73"/>
  <c r="I22" i="73"/>
  <c r="J22" i="73"/>
  <c r="K22" i="73"/>
  <c r="L22" i="73"/>
  <c r="M22" i="73"/>
  <c r="N22" i="73"/>
  <c r="O22" i="73"/>
  <c r="P22" i="73"/>
  <c r="Q22" i="73"/>
  <c r="R22" i="73"/>
  <c r="S22" i="73"/>
  <c r="T22" i="73"/>
  <c r="U22" i="73"/>
  <c r="V22" i="73"/>
  <c r="C25" i="73"/>
  <c r="D25" i="73"/>
  <c r="E25" i="73"/>
  <c r="F25" i="73"/>
  <c r="G25" i="73"/>
  <c r="H25" i="73"/>
  <c r="I25" i="73"/>
  <c r="J25" i="73"/>
  <c r="K25" i="73"/>
  <c r="L25" i="73"/>
  <c r="M25" i="73"/>
  <c r="N25" i="73"/>
  <c r="O25" i="73"/>
  <c r="P25" i="73"/>
  <c r="Q25" i="73"/>
  <c r="R25" i="73"/>
  <c r="S25" i="73"/>
  <c r="T25" i="73"/>
  <c r="U25" i="73"/>
  <c r="V25" i="73"/>
  <c r="C26" i="73"/>
  <c r="D26" i="73"/>
  <c r="E26" i="73"/>
  <c r="F26" i="73"/>
  <c r="G26" i="73"/>
  <c r="H26" i="73"/>
  <c r="I26" i="73"/>
  <c r="J26" i="73"/>
  <c r="K26" i="73"/>
  <c r="L26" i="73"/>
  <c r="M26" i="73"/>
  <c r="N26" i="73"/>
  <c r="O26" i="73"/>
  <c r="P26" i="73"/>
  <c r="Q26" i="73"/>
  <c r="R26" i="73"/>
  <c r="S26" i="73"/>
  <c r="T26" i="73"/>
  <c r="U26" i="73"/>
  <c r="V26" i="73"/>
  <c r="C27" i="73"/>
  <c r="D27" i="73"/>
  <c r="E27" i="73"/>
  <c r="F27" i="73"/>
  <c r="G27" i="73"/>
  <c r="H27" i="73"/>
  <c r="I27" i="73"/>
  <c r="J27" i="73"/>
  <c r="K27" i="73"/>
  <c r="L27" i="73"/>
  <c r="M27" i="73"/>
  <c r="N27" i="73"/>
  <c r="O27" i="73"/>
  <c r="P27" i="73"/>
  <c r="Q27" i="73"/>
  <c r="R27" i="73"/>
  <c r="S27" i="73"/>
  <c r="T27" i="73"/>
  <c r="U27" i="73"/>
  <c r="V27" i="73"/>
  <c r="C28" i="73"/>
  <c r="D28" i="73"/>
  <c r="E28" i="73"/>
  <c r="F28" i="73"/>
  <c r="G28" i="73"/>
  <c r="H28" i="73"/>
  <c r="I28" i="73"/>
  <c r="J28" i="73"/>
  <c r="K28" i="73"/>
  <c r="L28" i="73"/>
  <c r="M28" i="73"/>
  <c r="N28" i="73"/>
  <c r="O28" i="73"/>
  <c r="P28" i="73"/>
  <c r="Q28" i="73"/>
  <c r="R28" i="73"/>
  <c r="S28" i="73"/>
  <c r="T28" i="73"/>
  <c r="U28" i="73"/>
  <c r="V28" i="73"/>
  <c r="C31" i="73"/>
  <c r="D31" i="73"/>
  <c r="E31" i="73"/>
  <c r="F31" i="73"/>
  <c r="G31" i="73"/>
  <c r="H31" i="73"/>
  <c r="I31" i="73"/>
  <c r="J31" i="73"/>
  <c r="K31" i="73"/>
  <c r="L31" i="73"/>
  <c r="M31" i="73"/>
  <c r="N31" i="73"/>
  <c r="O31" i="73"/>
  <c r="P31" i="73"/>
  <c r="Q31" i="73"/>
  <c r="R31" i="73"/>
  <c r="S31" i="73"/>
  <c r="T31" i="73"/>
  <c r="U31" i="73"/>
  <c r="V31" i="73"/>
  <c r="C32" i="73"/>
  <c r="D32" i="73"/>
  <c r="E32" i="73"/>
  <c r="F32" i="73"/>
  <c r="G32" i="73"/>
  <c r="H32" i="73"/>
  <c r="I32" i="73"/>
  <c r="J32" i="73"/>
  <c r="K32" i="73"/>
  <c r="L32" i="73"/>
  <c r="M32" i="73"/>
  <c r="N32" i="73"/>
  <c r="O32" i="73"/>
  <c r="P32" i="73"/>
  <c r="Q32" i="73"/>
  <c r="R32" i="73"/>
  <c r="S32" i="73"/>
  <c r="T32" i="73"/>
  <c r="U32" i="73"/>
  <c r="V32" i="73"/>
  <c r="C33" i="73"/>
  <c r="D33" i="73"/>
  <c r="E33" i="73"/>
  <c r="F33" i="73"/>
  <c r="G33" i="73"/>
  <c r="H33" i="73"/>
  <c r="I33" i="73"/>
  <c r="J33" i="73"/>
  <c r="K33" i="73"/>
  <c r="L33" i="73"/>
  <c r="M33" i="73"/>
  <c r="N33" i="73"/>
  <c r="O33" i="73"/>
  <c r="P33" i="73"/>
  <c r="Q33" i="73"/>
  <c r="R33" i="73"/>
  <c r="S33" i="73"/>
  <c r="T33" i="73"/>
  <c r="U33" i="73"/>
  <c r="V33" i="73"/>
  <c r="C40" i="73"/>
  <c r="C41" i="73"/>
  <c r="B42" i="73"/>
  <c r="C42" i="73"/>
  <c r="D42" i="73"/>
  <c r="E42" i="73"/>
  <c r="F42" i="73"/>
  <c r="G42" i="73"/>
  <c r="H42" i="73"/>
  <c r="I42" i="73"/>
  <c r="J42" i="73"/>
  <c r="K42" i="73"/>
  <c r="L42" i="73"/>
  <c r="M42" i="73"/>
  <c r="N42" i="73"/>
  <c r="O42" i="73"/>
  <c r="P42" i="73"/>
  <c r="Q42" i="73"/>
  <c r="R42" i="73"/>
  <c r="S42" i="73"/>
  <c r="T42" i="73"/>
  <c r="U42" i="73"/>
  <c r="V42" i="73"/>
  <c r="C45" i="73"/>
  <c r="D45" i="73"/>
  <c r="E45" i="73"/>
  <c r="F45" i="73"/>
  <c r="G45" i="73"/>
  <c r="H45" i="73"/>
  <c r="I45" i="73"/>
  <c r="J45" i="73"/>
  <c r="K45" i="73"/>
  <c r="L45" i="73"/>
  <c r="M45" i="73"/>
  <c r="N45" i="73"/>
  <c r="O45" i="73"/>
  <c r="P45" i="73"/>
  <c r="Q45" i="73"/>
  <c r="R45" i="73"/>
  <c r="S45" i="73"/>
  <c r="T45" i="73"/>
  <c r="U45" i="73"/>
  <c r="V45" i="73"/>
  <c r="C46" i="73"/>
  <c r="D46" i="73"/>
  <c r="E46" i="73"/>
  <c r="F46" i="73"/>
  <c r="G46" i="73"/>
  <c r="H46" i="73"/>
  <c r="I46" i="73"/>
  <c r="J46" i="73"/>
  <c r="K46" i="73"/>
  <c r="L46" i="73"/>
  <c r="M46" i="73"/>
  <c r="N46" i="73"/>
  <c r="O46" i="73"/>
  <c r="P46" i="73"/>
  <c r="Q46" i="73"/>
  <c r="R46" i="73"/>
  <c r="S46" i="73"/>
  <c r="T46" i="73"/>
  <c r="U46" i="73"/>
  <c r="V46" i="73"/>
  <c r="C47" i="73"/>
  <c r="D47" i="73"/>
  <c r="E47" i="73"/>
  <c r="F47" i="73"/>
  <c r="G47" i="73"/>
  <c r="H47" i="73"/>
  <c r="I47" i="73"/>
  <c r="J47" i="73"/>
  <c r="K47" i="73"/>
  <c r="L47" i="73"/>
  <c r="M47" i="73"/>
  <c r="N47" i="73"/>
  <c r="O47" i="73"/>
  <c r="P47" i="73"/>
  <c r="Q47" i="73"/>
  <c r="R47" i="73"/>
  <c r="S47" i="73"/>
  <c r="T47" i="73"/>
  <c r="U47" i="73"/>
  <c r="V47" i="73"/>
  <c r="C48" i="73"/>
  <c r="D48" i="73"/>
  <c r="E48" i="73"/>
  <c r="F48" i="73"/>
  <c r="G48" i="73"/>
  <c r="H48" i="73"/>
  <c r="I48" i="73"/>
  <c r="J48" i="73"/>
  <c r="K48" i="73"/>
  <c r="L48" i="73"/>
  <c r="M48" i="73"/>
  <c r="N48" i="73"/>
  <c r="O48" i="73"/>
  <c r="P48" i="73"/>
  <c r="Q48" i="73"/>
  <c r="R48" i="73"/>
  <c r="S48" i="73"/>
  <c r="T48" i="73"/>
  <c r="U48" i="73"/>
  <c r="V48" i="73"/>
  <c r="C49" i="73"/>
  <c r="D49" i="73"/>
  <c r="E49" i="73"/>
  <c r="F49" i="73"/>
  <c r="G49" i="73"/>
  <c r="H49" i="73"/>
  <c r="I49" i="73"/>
  <c r="J49" i="73"/>
  <c r="K49" i="73"/>
  <c r="L49" i="73"/>
  <c r="M49" i="73"/>
  <c r="N49" i="73"/>
  <c r="O49" i="73"/>
  <c r="P49" i="73"/>
  <c r="Q49" i="73"/>
  <c r="R49" i="73"/>
  <c r="S49" i="73"/>
  <c r="T49" i="73"/>
  <c r="U49" i="73"/>
  <c r="V49" i="73"/>
  <c r="D53" i="73"/>
  <c r="E53" i="73"/>
  <c r="F53" i="73"/>
  <c r="G53" i="73"/>
  <c r="H53" i="73"/>
  <c r="I53" i="73"/>
  <c r="J53" i="73"/>
  <c r="K53" i="73"/>
  <c r="L53" i="73"/>
  <c r="M53" i="73"/>
  <c r="N53" i="73"/>
  <c r="O53" i="73"/>
  <c r="P53" i="73"/>
  <c r="Q53" i="73"/>
  <c r="R53" i="73"/>
  <c r="S53" i="73"/>
  <c r="T53" i="73"/>
  <c r="U53" i="73"/>
  <c r="V53" i="73"/>
  <c r="C55" i="73"/>
  <c r="D55" i="73"/>
  <c r="E55" i="73"/>
  <c r="F55" i="73"/>
  <c r="G55" i="73"/>
  <c r="H55" i="73"/>
  <c r="I55" i="73"/>
  <c r="J55" i="73"/>
  <c r="K55" i="73"/>
  <c r="L55" i="73"/>
  <c r="M55" i="73"/>
  <c r="N55" i="73"/>
  <c r="O55" i="73"/>
  <c r="P55" i="73"/>
  <c r="Q55" i="73"/>
  <c r="R55" i="73"/>
  <c r="S55" i="73"/>
  <c r="T55" i="73"/>
  <c r="U55" i="73"/>
  <c r="V55" i="73"/>
  <c r="C56" i="73"/>
  <c r="D56" i="73"/>
  <c r="E56" i="73"/>
  <c r="F56" i="73"/>
  <c r="G56" i="73"/>
  <c r="H56" i="73"/>
  <c r="I56" i="73"/>
  <c r="J56" i="73"/>
  <c r="K56" i="73"/>
  <c r="L56" i="73"/>
  <c r="M56" i="73"/>
  <c r="N56" i="73"/>
  <c r="O56" i="73"/>
  <c r="P56" i="73"/>
  <c r="Q56" i="73"/>
  <c r="R56" i="73"/>
  <c r="S56" i="73"/>
  <c r="T56" i="73"/>
  <c r="U56" i="73"/>
  <c r="V56" i="73"/>
  <c r="C59" i="73"/>
  <c r="D59" i="73"/>
  <c r="E59" i="73"/>
  <c r="F59" i="73"/>
  <c r="G59" i="73"/>
  <c r="H59" i="73"/>
  <c r="I59" i="73"/>
  <c r="J59" i="73"/>
  <c r="K59" i="73"/>
  <c r="L59" i="73"/>
  <c r="M59" i="73"/>
  <c r="N59" i="73"/>
  <c r="O59" i="73"/>
  <c r="P59" i="73"/>
  <c r="Q59" i="73"/>
  <c r="R59" i="73"/>
  <c r="S59" i="73"/>
  <c r="T59" i="73"/>
  <c r="U59" i="73"/>
  <c r="V59" i="73"/>
  <c r="C60" i="73"/>
  <c r="D60" i="73"/>
  <c r="E60" i="73"/>
  <c r="F60" i="73"/>
  <c r="G60" i="73"/>
  <c r="H60" i="73"/>
  <c r="I60" i="73"/>
  <c r="J60" i="73"/>
  <c r="K60" i="73"/>
  <c r="L60" i="73"/>
  <c r="M60" i="73"/>
  <c r="N60" i="73"/>
  <c r="O60" i="73"/>
  <c r="P60" i="73"/>
  <c r="Q60" i="73"/>
  <c r="R60" i="73"/>
  <c r="S60" i="73"/>
  <c r="T60" i="73"/>
  <c r="U60" i="73"/>
  <c r="V60" i="73"/>
  <c r="C61" i="73"/>
  <c r="D61" i="73"/>
  <c r="E61" i="73"/>
  <c r="F61" i="73"/>
  <c r="G61" i="73"/>
  <c r="H61" i="73"/>
  <c r="I61" i="73"/>
  <c r="J61" i="73"/>
  <c r="K61" i="73"/>
  <c r="L61" i="73"/>
  <c r="M61" i="73"/>
  <c r="N61" i="73"/>
  <c r="O61" i="73"/>
  <c r="P61" i="73"/>
  <c r="Q61" i="73"/>
  <c r="R61" i="73"/>
  <c r="S61" i="73"/>
  <c r="T61" i="73"/>
  <c r="U61" i="73"/>
  <c r="V61" i="73"/>
  <c r="C62" i="73"/>
  <c r="D62" i="73"/>
  <c r="E62" i="73"/>
  <c r="F62" i="73"/>
  <c r="G62" i="73"/>
  <c r="H62" i="73"/>
  <c r="I62" i="73"/>
  <c r="J62" i="73"/>
  <c r="K62" i="73"/>
  <c r="L62" i="73"/>
  <c r="M62" i="73"/>
  <c r="N62" i="73"/>
  <c r="O62" i="73"/>
  <c r="P62" i="73"/>
  <c r="Q62" i="73"/>
  <c r="R62" i="73"/>
  <c r="S62" i="73"/>
  <c r="T62" i="73"/>
  <c r="U62" i="73"/>
  <c r="V62" i="73"/>
  <c r="C65" i="73"/>
  <c r="D65" i="73"/>
  <c r="E65" i="73"/>
  <c r="F65" i="73"/>
  <c r="G65" i="73"/>
  <c r="H65" i="73"/>
  <c r="I65" i="73"/>
  <c r="J65" i="73"/>
  <c r="K65" i="73"/>
  <c r="L65" i="73"/>
  <c r="M65" i="73"/>
  <c r="N65" i="73"/>
  <c r="O65" i="73"/>
  <c r="P65" i="73"/>
  <c r="Q65" i="73"/>
  <c r="R65" i="73"/>
  <c r="S65" i="73"/>
  <c r="T65" i="73"/>
  <c r="U65" i="73"/>
  <c r="V65" i="73"/>
  <c r="C66" i="73"/>
  <c r="D66" i="73"/>
  <c r="E66" i="73"/>
  <c r="F66" i="73"/>
  <c r="G66" i="73"/>
  <c r="H66" i="73"/>
  <c r="I66" i="73"/>
  <c r="J66" i="73"/>
  <c r="K66" i="73"/>
  <c r="L66" i="73"/>
  <c r="M66" i="73"/>
  <c r="N66" i="73"/>
  <c r="O66" i="73"/>
  <c r="P66" i="73"/>
  <c r="Q66" i="73"/>
  <c r="R66" i="73"/>
  <c r="S66" i="73"/>
  <c r="T66" i="73"/>
  <c r="U66" i="73"/>
  <c r="V66" i="73"/>
  <c r="C67" i="73"/>
  <c r="D67" i="73"/>
  <c r="E67" i="73"/>
  <c r="F67" i="73"/>
  <c r="G67" i="73"/>
  <c r="H67" i="73"/>
  <c r="I67" i="73"/>
  <c r="J67" i="73"/>
  <c r="K67" i="73"/>
  <c r="L67" i="73"/>
  <c r="M67" i="73"/>
  <c r="N67" i="73"/>
  <c r="O67" i="73"/>
  <c r="P67" i="73"/>
  <c r="Q67" i="73"/>
  <c r="R67" i="73"/>
  <c r="S67" i="73"/>
  <c r="T67" i="73"/>
  <c r="U67" i="73"/>
  <c r="V67" i="73"/>
  <c r="S71" i="73"/>
  <c r="C76" i="73"/>
  <c r="C77" i="73"/>
  <c r="B78" i="73"/>
  <c r="C78" i="73"/>
  <c r="D78" i="73"/>
  <c r="E78" i="73"/>
  <c r="F78" i="73"/>
  <c r="G78" i="73"/>
  <c r="H78" i="73"/>
  <c r="I78" i="73"/>
  <c r="J78" i="73"/>
  <c r="K78" i="73"/>
  <c r="L78" i="73"/>
  <c r="M78" i="73"/>
  <c r="N78" i="73"/>
  <c r="O78" i="73"/>
  <c r="P78" i="73"/>
  <c r="Q78" i="73"/>
  <c r="R78" i="73"/>
  <c r="S78" i="73"/>
  <c r="T78" i="73"/>
  <c r="U78" i="73"/>
  <c r="V78" i="73"/>
  <c r="C81" i="73"/>
  <c r="D81" i="73"/>
  <c r="E81" i="73"/>
  <c r="F81" i="73"/>
  <c r="G81" i="73"/>
  <c r="H81" i="73"/>
  <c r="I81" i="73"/>
  <c r="J81" i="73"/>
  <c r="K81" i="73"/>
  <c r="L81" i="73"/>
  <c r="M81" i="73"/>
  <c r="N81" i="73"/>
  <c r="O81" i="73"/>
  <c r="P81" i="73"/>
  <c r="Q81" i="73"/>
  <c r="R81" i="73"/>
  <c r="S81" i="73"/>
  <c r="T81" i="73"/>
  <c r="U81" i="73"/>
  <c r="V81" i="73"/>
  <c r="C82" i="73"/>
  <c r="D82" i="73"/>
  <c r="E82" i="73"/>
  <c r="F82" i="73"/>
  <c r="G82" i="73"/>
  <c r="H82" i="73"/>
  <c r="I82" i="73"/>
  <c r="J82" i="73"/>
  <c r="K82" i="73"/>
  <c r="L82" i="73"/>
  <c r="M82" i="73"/>
  <c r="N82" i="73"/>
  <c r="O82" i="73"/>
  <c r="P82" i="73"/>
  <c r="Q82" i="73"/>
  <c r="R82" i="73"/>
  <c r="S82" i="73"/>
  <c r="T82" i="73"/>
  <c r="U82" i="73"/>
  <c r="V82" i="73"/>
  <c r="C83" i="73"/>
  <c r="D83" i="73"/>
  <c r="E83" i="73"/>
  <c r="F83" i="73"/>
  <c r="G83" i="73"/>
  <c r="H83" i="73"/>
  <c r="I83" i="73"/>
  <c r="J83" i="73"/>
  <c r="K83" i="73"/>
  <c r="L83" i="73"/>
  <c r="M83" i="73"/>
  <c r="N83" i="73"/>
  <c r="O83" i="73"/>
  <c r="P83" i="73"/>
  <c r="Q83" i="73"/>
  <c r="R83" i="73"/>
  <c r="S83" i="73"/>
  <c r="T83" i="73"/>
  <c r="U83" i="73"/>
  <c r="V83" i="73"/>
  <c r="C84" i="73"/>
  <c r="D84" i="73"/>
  <c r="E84" i="73"/>
  <c r="F84" i="73"/>
  <c r="G84" i="73"/>
  <c r="H84" i="73"/>
  <c r="I84" i="73"/>
  <c r="J84" i="73"/>
  <c r="K84" i="73"/>
  <c r="L84" i="73"/>
  <c r="M84" i="73"/>
  <c r="N84" i="73"/>
  <c r="O84" i="73"/>
  <c r="P84" i="73"/>
  <c r="Q84" i="73"/>
  <c r="R84" i="73"/>
  <c r="S84" i="73"/>
  <c r="T84" i="73"/>
  <c r="U84" i="73"/>
  <c r="V84" i="73"/>
  <c r="C85" i="73"/>
  <c r="D85" i="73"/>
  <c r="E85" i="73"/>
  <c r="F85" i="73"/>
  <c r="G85" i="73"/>
  <c r="H85" i="73"/>
  <c r="I85" i="73"/>
  <c r="J85" i="73"/>
  <c r="K85" i="73"/>
  <c r="L85" i="73"/>
  <c r="M85" i="73"/>
  <c r="N85" i="73"/>
  <c r="O85" i="73"/>
  <c r="P85" i="73"/>
  <c r="Q85" i="73"/>
  <c r="R85" i="73"/>
  <c r="S85" i="73"/>
  <c r="T85" i="73"/>
  <c r="U85" i="73"/>
  <c r="V85" i="73"/>
  <c r="D89" i="73"/>
  <c r="E89" i="73"/>
  <c r="F89" i="73"/>
  <c r="G89" i="73"/>
  <c r="H89" i="73"/>
  <c r="I89" i="73"/>
  <c r="J89" i="73"/>
  <c r="K89" i="73"/>
  <c r="L89" i="73"/>
  <c r="M89" i="73"/>
  <c r="N89" i="73"/>
  <c r="O89" i="73"/>
  <c r="P89" i="73"/>
  <c r="Q89" i="73"/>
  <c r="R89" i="73"/>
  <c r="S89" i="73"/>
  <c r="T89" i="73"/>
  <c r="U89" i="73"/>
  <c r="V89" i="73"/>
  <c r="C91" i="73"/>
  <c r="D91" i="73"/>
  <c r="E91" i="73"/>
  <c r="F91" i="73"/>
  <c r="G91" i="73"/>
  <c r="H91" i="73"/>
  <c r="I91" i="73"/>
  <c r="J91" i="73"/>
  <c r="K91" i="73"/>
  <c r="L91" i="73"/>
  <c r="M91" i="73"/>
  <c r="N91" i="73"/>
  <c r="O91" i="73"/>
  <c r="P91" i="73"/>
  <c r="Q91" i="73"/>
  <c r="R91" i="73"/>
  <c r="S91" i="73"/>
  <c r="T91" i="73"/>
  <c r="U91" i="73"/>
  <c r="V91" i="73"/>
  <c r="C92" i="73"/>
  <c r="D92" i="73"/>
  <c r="E92" i="73"/>
  <c r="F92" i="73"/>
  <c r="G92" i="73"/>
  <c r="H92" i="73"/>
  <c r="I92" i="73"/>
  <c r="J92" i="73"/>
  <c r="K92" i="73"/>
  <c r="L92" i="73"/>
  <c r="M92" i="73"/>
  <c r="N92" i="73"/>
  <c r="O92" i="73"/>
  <c r="P92" i="73"/>
  <c r="Q92" i="73"/>
  <c r="R92" i="73"/>
  <c r="S92" i="73"/>
  <c r="T92" i="73"/>
  <c r="U92" i="73"/>
  <c r="V92" i="73"/>
  <c r="C95" i="73"/>
  <c r="D95" i="73"/>
  <c r="E95" i="73"/>
  <c r="F95" i="73"/>
  <c r="G95" i="73"/>
  <c r="H95" i="73"/>
  <c r="I95" i="73"/>
  <c r="J95" i="73"/>
  <c r="K95" i="73"/>
  <c r="L95" i="73"/>
  <c r="M95" i="73"/>
  <c r="N95" i="73"/>
  <c r="O95" i="73"/>
  <c r="P95" i="73"/>
  <c r="Q95" i="73"/>
  <c r="R95" i="73"/>
  <c r="S95" i="73"/>
  <c r="T95" i="73"/>
  <c r="U95" i="73"/>
  <c r="V95" i="73"/>
  <c r="C96" i="73"/>
  <c r="D96" i="73"/>
  <c r="E96" i="73"/>
  <c r="F96" i="73"/>
  <c r="G96" i="73"/>
  <c r="H96" i="73"/>
  <c r="I96" i="73"/>
  <c r="J96" i="73"/>
  <c r="K96" i="73"/>
  <c r="L96" i="73"/>
  <c r="M96" i="73"/>
  <c r="N96" i="73"/>
  <c r="O96" i="73"/>
  <c r="P96" i="73"/>
  <c r="Q96" i="73"/>
  <c r="R96" i="73"/>
  <c r="S96" i="73"/>
  <c r="T96" i="73"/>
  <c r="U96" i="73"/>
  <c r="V96" i="73"/>
  <c r="C97" i="73"/>
  <c r="D97" i="73"/>
  <c r="E97" i="73"/>
  <c r="F97" i="73"/>
  <c r="G97" i="73"/>
  <c r="H97" i="73"/>
  <c r="I97" i="73"/>
  <c r="J97" i="73"/>
  <c r="K97" i="73"/>
  <c r="L97" i="73"/>
  <c r="M97" i="73"/>
  <c r="N97" i="73"/>
  <c r="O97" i="73"/>
  <c r="P97" i="73"/>
  <c r="Q97" i="73"/>
  <c r="R97" i="73"/>
  <c r="S97" i="73"/>
  <c r="T97" i="73"/>
  <c r="U97" i="73"/>
  <c r="V97" i="73"/>
  <c r="C98" i="73"/>
  <c r="D98" i="73"/>
  <c r="E98" i="73"/>
  <c r="F98" i="73"/>
  <c r="G98" i="73"/>
  <c r="H98" i="73"/>
  <c r="I98" i="73"/>
  <c r="J98" i="73"/>
  <c r="K98" i="73"/>
  <c r="L98" i="73"/>
  <c r="M98" i="73"/>
  <c r="N98" i="73"/>
  <c r="O98" i="73"/>
  <c r="P98" i="73"/>
  <c r="Q98" i="73"/>
  <c r="R98" i="73"/>
  <c r="S98" i="73"/>
  <c r="T98" i="73"/>
  <c r="U98" i="73"/>
  <c r="V98" i="73"/>
  <c r="C101" i="73"/>
  <c r="D101" i="73"/>
  <c r="E101" i="73"/>
  <c r="F101" i="73"/>
  <c r="G101" i="73"/>
  <c r="H101" i="73"/>
  <c r="I101" i="73"/>
  <c r="J101" i="73"/>
  <c r="K101" i="73"/>
  <c r="L101" i="73"/>
  <c r="M101" i="73"/>
  <c r="N101" i="73"/>
  <c r="O101" i="73"/>
  <c r="P101" i="73"/>
  <c r="Q101" i="73"/>
  <c r="R101" i="73"/>
  <c r="S101" i="73"/>
  <c r="T101" i="73"/>
  <c r="U101" i="73"/>
  <c r="V101" i="73"/>
  <c r="C102" i="73"/>
  <c r="D102" i="73"/>
  <c r="E102" i="73"/>
  <c r="F102" i="73"/>
  <c r="G102" i="73"/>
  <c r="H102" i="73"/>
  <c r="I102" i="73"/>
  <c r="J102" i="73"/>
  <c r="K102" i="73"/>
  <c r="L102" i="73"/>
  <c r="M102" i="73"/>
  <c r="N102" i="73"/>
  <c r="O102" i="73"/>
  <c r="P102" i="73"/>
  <c r="Q102" i="73"/>
  <c r="R102" i="73"/>
  <c r="S102" i="73"/>
  <c r="T102" i="73"/>
  <c r="U102" i="73"/>
  <c r="V102" i="73"/>
  <c r="C103" i="73"/>
  <c r="D103" i="73"/>
  <c r="E103" i="73"/>
  <c r="F103" i="73"/>
  <c r="G103" i="73"/>
  <c r="H103" i="73"/>
  <c r="I103" i="73"/>
  <c r="J103" i="73"/>
  <c r="K103" i="73"/>
  <c r="L103" i="73"/>
  <c r="M103" i="73"/>
  <c r="N103" i="73"/>
  <c r="O103" i="73"/>
  <c r="P103" i="73"/>
  <c r="Q103" i="73"/>
  <c r="R103" i="73"/>
  <c r="S103" i="73"/>
  <c r="T103" i="73"/>
  <c r="U103" i="73"/>
  <c r="V103" i="73"/>
  <c r="C110" i="73"/>
  <c r="C111" i="73"/>
  <c r="B112" i="73"/>
  <c r="C112" i="73"/>
  <c r="D112" i="73"/>
  <c r="E112" i="73"/>
  <c r="F112" i="73"/>
  <c r="G112" i="73"/>
  <c r="H112" i="73"/>
  <c r="I112" i="73"/>
  <c r="J112" i="73"/>
  <c r="K112" i="73"/>
  <c r="L112" i="73"/>
  <c r="M112" i="73"/>
  <c r="N112" i="73"/>
  <c r="O112" i="73"/>
  <c r="P112" i="73"/>
  <c r="Q112" i="73"/>
  <c r="R112" i="73"/>
  <c r="S112" i="73"/>
  <c r="T112" i="73"/>
  <c r="U112" i="73"/>
  <c r="V112" i="73"/>
  <c r="C115" i="73"/>
  <c r="D115" i="73"/>
  <c r="E115" i="73"/>
  <c r="F115" i="73"/>
  <c r="G115" i="73"/>
  <c r="H115" i="73"/>
  <c r="I115" i="73"/>
  <c r="J115" i="73"/>
  <c r="K115" i="73"/>
  <c r="L115" i="73"/>
  <c r="M115" i="73"/>
  <c r="N115" i="73"/>
  <c r="O115" i="73"/>
  <c r="P115" i="73"/>
  <c r="Q115" i="73"/>
  <c r="R115" i="73"/>
  <c r="S115" i="73"/>
  <c r="T115" i="73"/>
  <c r="U115" i="73"/>
  <c r="V115" i="73"/>
  <c r="C116" i="73"/>
  <c r="D116" i="73"/>
  <c r="E116" i="73"/>
  <c r="F116" i="73"/>
  <c r="G116" i="73"/>
  <c r="H116" i="73"/>
  <c r="I116" i="73"/>
  <c r="J116" i="73"/>
  <c r="K116" i="73"/>
  <c r="L116" i="73"/>
  <c r="M116" i="73"/>
  <c r="N116" i="73"/>
  <c r="O116" i="73"/>
  <c r="P116" i="73"/>
  <c r="Q116" i="73"/>
  <c r="R116" i="73"/>
  <c r="S116" i="73"/>
  <c r="T116" i="73"/>
  <c r="U116" i="73"/>
  <c r="V116" i="73"/>
  <c r="C117" i="73"/>
  <c r="D117" i="73"/>
  <c r="E117" i="73"/>
  <c r="F117" i="73"/>
  <c r="G117" i="73"/>
  <c r="H117" i="73"/>
  <c r="I117" i="73"/>
  <c r="J117" i="73"/>
  <c r="K117" i="73"/>
  <c r="L117" i="73"/>
  <c r="M117" i="73"/>
  <c r="N117" i="73"/>
  <c r="O117" i="73"/>
  <c r="P117" i="73"/>
  <c r="Q117" i="73"/>
  <c r="R117" i="73"/>
  <c r="S117" i="73"/>
  <c r="T117" i="73"/>
  <c r="U117" i="73"/>
  <c r="V117" i="73"/>
  <c r="C118" i="73"/>
  <c r="D118" i="73"/>
  <c r="E118" i="73"/>
  <c r="F118" i="73"/>
  <c r="G118" i="73"/>
  <c r="H118" i="73"/>
  <c r="I118" i="73"/>
  <c r="J118" i="73"/>
  <c r="K118" i="73"/>
  <c r="L118" i="73"/>
  <c r="M118" i="73"/>
  <c r="N118" i="73"/>
  <c r="O118" i="73"/>
  <c r="P118" i="73"/>
  <c r="Q118" i="73"/>
  <c r="R118" i="73"/>
  <c r="S118" i="73"/>
  <c r="T118" i="73"/>
  <c r="U118" i="73"/>
  <c r="V118" i="73"/>
  <c r="C119" i="73"/>
  <c r="D119" i="73"/>
  <c r="E119" i="73"/>
  <c r="F119" i="73"/>
  <c r="G119" i="73"/>
  <c r="H119" i="73"/>
  <c r="I119" i="73"/>
  <c r="J119" i="73"/>
  <c r="K119" i="73"/>
  <c r="L119" i="73"/>
  <c r="M119" i="73"/>
  <c r="N119" i="73"/>
  <c r="O119" i="73"/>
  <c r="P119" i="73"/>
  <c r="Q119" i="73"/>
  <c r="R119" i="73"/>
  <c r="S119" i="73"/>
  <c r="T119" i="73"/>
  <c r="U119" i="73"/>
  <c r="V119" i="73"/>
  <c r="D123" i="73"/>
  <c r="E123" i="73"/>
  <c r="F123" i="73"/>
  <c r="G123" i="73"/>
  <c r="H123" i="73"/>
  <c r="I123" i="73"/>
  <c r="J123" i="73"/>
  <c r="K123" i="73"/>
  <c r="L123" i="73"/>
  <c r="M123" i="73"/>
  <c r="N123" i="73"/>
  <c r="O123" i="73"/>
  <c r="P123" i="73"/>
  <c r="Q123" i="73"/>
  <c r="R123" i="73"/>
  <c r="S123" i="73"/>
  <c r="T123" i="73"/>
  <c r="U123" i="73"/>
  <c r="V123" i="73"/>
  <c r="C125" i="73"/>
  <c r="D125" i="73"/>
  <c r="E125" i="73"/>
  <c r="F125" i="73"/>
  <c r="G125" i="73"/>
  <c r="H125" i="73"/>
  <c r="I125" i="73"/>
  <c r="J125" i="73"/>
  <c r="K125" i="73"/>
  <c r="L125" i="73"/>
  <c r="M125" i="73"/>
  <c r="N125" i="73"/>
  <c r="O125" i="73"/>
  <c r="P125" i="73"/>
  <c r="Q125" i="73"/>
  <c r="R125" i="73"/>
  <c r="S125" i="73"/>
  <c r="T125" i="73"/>
  <c r="U125" i="73"/>
  <c r="V125" i="73"/>
  <c r="C126" i="73"/>
  <c r="D126" i="73"/>
  <c r="E126" i="73"/>
  <c r="F126" i="73"/>
  <c r="G126" i="73"/>
  <c r="H126" i="73"/>
  <c r="I126" i="73"/>
  <c r="J126" i="73"/>
  <c r="K126" i="73"/>
  <c r="L126" i="73"/>
  <c r="M126" i="73"/>
  <c r="N126" i="73"/>
  <c r="O126" i="73"/>
  <c r="P126" i="73"/>
  <c r="Q126" i="73"/>
  <c r="R126" i="73"/>
  <c r="S126" i="73"/>
  <c r="T126" i="73"/>
  <c r="U126" i="73"/>
  <c r="V126" i="73"/>
  <c r="C129" i="73"/>
  <c r="D129" i="73"/>
  <c r="E129" i="73"/>
  <c r="F129" i="73"/>
  <c r="G129" i="73"/>
  <c r="H129" i="73"/>
  <c r="I129" i="73"/>
  <c r="J129" i="73"/>
  <c r="K129" i="73"/>
  <c r="L129" i="73"/>
  <c r="M129" i="73"/>
  <c r="N129" i="73"/>
  <c r="O129" i="73"/>
  <c r="P129" i="73"/>
  <c r="Q129" i="73"/>
  <c r="R129" i="73"/>
  <c r="S129" i="73"/>
  <c r="T129" i="73"/>
  <c r="U129" i="73"/>
  <c r="V129" i="73"/>
  <c r="C130" i="73"/>
  <c r="D130" i="73"/>
  <c r="E130" i="73"/>
  <c r="F130" i="73"/>
  <c r="G130" i="73"/>
  <c r="H130" i="73"/>
  <c r="I130" i="73"/>
  <c r="J130" i="73"/>
  <c r="K130" i="73"/>
  <c r="L130" i="73"/>
  <c r="M130" i="73"/>
  <c r="N130" i="73"/>
  <c r="O130" i="73"/>
  <c r="P130" i="73"/>
  <c r="Q130" i="73"/>
  <c r="R130" i="73"/>
  <c r="S130" i="73"/>
  <c r="T130" i="73"/>
  <c r="U130" i="73"/>
  <c r="V130" i="73"/>
  <c r="C131" i="73"/>
  <c r="D131" i="73"/>
  <c r="E131" i="73"/>
  <c r="F131" i="73"/>
  <c r="G131" i="73"/>
  <c r="H131" i="73"/>
  <c r="I131" i="73"/>
  <c r="J131" i="73"/>
  <c r="K131" i="73"/>
  <c r="L131" i="73"/>
  <c r="M131" i="73"/>
  <c r="N131" i="73"/>
  <c r="O131" i="73"/>
  <c r="P131" i="73"/>
  <c r="Q131" i="73"/>
  <c r="R131" i="73"/>
  <c r="S131" i="73"/>
  <c r="T131" i="73"/>
  <c r="U131" i="73"/>
  <c r="V131" i="73"/>
  <c r="C132" i="73"/>
  <c r="D132" i="73"/>
  <c r="E132" i="73"/>
  <c r="F132" i="73"/>
  <c r="G132" i="73"/>
  <c r="H132" i="73"/>
  <c r="I132" i="73"/>
  <c r="J132" i="73"/>
  <c r="K132" i="73"/>
  <c r="L132" i="73"/>
  <c r="M132" i="73"/>
  <c r="N132" i="73"/>
  <c r="O132" i="73"/>
  <c r="P132" i="73"/>
  <c r="Q132" i="73"/>
  <c r="R132" i="73"/>
  <c r="S132" i="73"/>
  <c r="T132" i="73"/>
  <c r="U132" i="73"/>
  <c r="V132" i="73"/>
  <c r="C135" i="73"/>
  <c r="D135" i="73"/>
  <c r="E135" i="73"/>
  <c r="F135" i="73"/>
  <c r="G135" i="73"/>
  <c r="H135" i="73"/>
  <c r="I135" i="73"/>
  <c r="J135" i="73"/>
  <c r="K135" i="73"/>
  <c r="L135" i="73"/>
  <c r="M135" i="73"/>
  <c r="N135" i="73"/>
  <c r="O135" i="73"/>
  <c r="P135" i="73"/>
  <c r="Q135" i="73"/>
  <c r="R135" i="73"/>
  <c r="S135" i="73"/>
  <c r="T135" i="73"/>
  <c r="U135" i="73"/>
  <c r="V135" i="73"/>
  <c r="C136" i="73"/>
  <c r="D136" i="73"/>
  <c r="E136" i="73"/>
  <c r="F136" i="73"/>
  <c r="G136" i="73"/>
  <c r="H136" i="73"/>
  <c r="I136" i="73"/>
  <c r="J136" i="73"/>
  <c r="K136" i="73"/>
  <c r="L136" i="73"/>
  <c r="M136" i="73"/>
  <c r="N136" i="73"/>
  <c r="O136" i="73"/>
  <c r="P136" i="73"/>
  <c r="Q136" i="73"/>
  <c r="R136" i="73"/>
  <c r="S136" i="73"/>
  <c r="T136" i="73"/>
  <c r="U136" i="73"/>
  <c r="V136" i="73"/>
  <c r="C137" i="73"/>
  <c r="D137" i="73"/>
  <c r="E137" i="73"/>
  <c r="F137" i="73"/>
  <c r="G137" i="73"/>
  <c r="H137" i="73"/>
  <c r="I137" i="73"/>
  <c r="J137" i="73"/>
  <c r="K137" i="73"/>
  <c r="L137" i="73"/>
  <c r="M137" i="73"/>
  <c r="N137" i="73"/>
  <c r="O137" i="73"/>
  <c r="P137" i="73"/>
  <c r="Q137" i="73"/>
  <c r="R137" i="73"/>
  <c r="S137" i="73"/>
  <c r="T137" i="73"/>
  <c r="U137" i="73"/>
  <c r="V137" i="73"/>
  <c r="C144" i="73"/>
  <c r="C145" i="73"/>
  <c r="B146" i="73"/>
  <c r="C146" i="73"/>
  <c r="D146" i="73"/>
  <c r="E146" i="73"/>
  <c r="F146" i="73"/>
  <c r="G146" i="73"/>
  <c r="H146" i="73"/>
  <c r="I146" i="73"/>
  <c r="J146" i="73"/>
  <c r="K146" i="73"/>
  <c r="L146" i="73"/>
  <c r="M146" i="73"/>
  <c r="N146" i="73"/>
  <c r="O146" i="73"/>
  <c r="P146" i="73"/>
  <c r="Q146" i="73"/>
  <c r="R146" i="73"/>
  <c r="S146" i="73"/>
  <c r="T146" i="73"/>
  <c r="U146" i="73"/>
  <c r="V146" i="73"/>
  <c r="C149" i="73"/>
  <c r="D149" i="73"/>
  <c r="E149" i="73"/>
  <c r="F149" i="73"/>
  <c r="G149" i="73"/>
  <c r="H149" i="73"/>
  <c r="I149" i="73"/>
  <c r="J149" i="73"/>
  <c r="K149" i="73"/>
  <c r="L149" i="73"/>
  <c r="M149" i="73"/>
  <c r="N149" i="73"/>
  <c r="O149" i="73"/>
  <c r="P149" i="73"/>
  <c r="Q149" i="73"/>
  <c r="R149" i="73"/>
  <c r="S149" i="73"/>
  <c r="T149" i="73"/>
  <c r="U149" i="73"/>
  <c r="V149" i="73"/>
  <c r="C150" i="73"/>
  <c r="D150" i="73"/>
  <c r="E150" i="73"/>
  <c r="F150" i="73"/>
  <c r="G150" i="73"/>
  <c r="H150" i="73"/>
  <c r="I150" i="73"/>
  <c r="J150" i="73"/>
  <c r="K150" i="73"/>
  <c r="L150" i="73"/>
  <c r="M150" i="73"/>
  <c r="N150" i="73"/>
  <c r="O150" i="73"/>
  <c r="P150" i="73"/>
  <c r="Q150" i="73"/>
  <c r="R150" i="73"/>
  <c r="S150" i="73"/>
  <c r="T150" i="73"/>
  <c r="U150" i="73"/>
  <c r="V150" i="73"/>
  <c r="C151" i="73"/>
  <c r="D151" i="73"/>
  <c r="E151" i="73"/>
  <c r="F151" i="73"/>
  <c r="G151" i="73"/>
  <c r="H151" i="73"/>
  <c r="I151" i="73"/>
  <c r="J151" i="73"/>
  <c r="K151" i="73"/>
  <c r="L151" i="73"/>
  <c r="M151" i="73"/>
  <c r="N151" i="73"/>
  <c r="O151" i="73"/>
  <c r="P151" i="73"/>
  <c r="Q151" i="73"/>
  <c r="R151" i="73"/>
  <c r="S151" i="73"/>
  <c r="T151" i="73"/>
  <c r="U151" i="73"/>
  <c r="V151" i="73"/>
  <c r="C152" i="73"/>
  <c r="D152" i="73"/>
  <c r="E152" i="73"/>
  <c r="F152" i="73"/>
  <c r="G152" i="73"/>
  <c r="H152" i="73"/>
  <c r="I152" i="73"/>
  <c r="J152" i="73"/>
  <c r="K152" i="73"/>
  <c r="L152" i="73"/>
  <c r="M152" i="73"/>
  <c r="N152" i="73"/>
  <c r="O152" i="73"/>
  <c r="P152" i="73"/>
  <c r="Q152" i="73"/>
  <c r="R152" i="73"/>
  <c r="S152" i="73"/>
  <c r="T152" i="73"/>
  <c r="U152" i="73"/>
  <c r="V152" i="73"/>
  <c r="C153" i="73"/>
  <c r="D153" i="73"/>
  <c r="E153" i="73"/>
  <c r="F153" i="73"/>
  <c r="G153" i="73"/>
  <c r="H153" i="73"/>
  <c r="I153" i="73"/>
  <c r="J153" i="73"/>
  <c r="K153" i="73"/>
  <c r="L153" i="73"/>
  <c r="M153" i="73"/>
  <c r="N153" i="73"/>
  <c r="O153" i="73"/>
  <c r="P153" i="73"/>
  <c r="Q153" i="73"/>
  <c r="R153" i="73"/>
  <c r="S153" i="73"/>
  <c r="T153" i="73"/>
  <c r="U153" i="73"/>
  <c r="V153" i="73"/>
  <c r="D157" i="73"/>
  <c r="E157" i="73"/>
  <c r="F157" i="73"/>
  <c r="G157" i="73"/>
  <c r="H157" i="73"/>
  <c r="I157" i="73"/>
  <c r="J157" i="73"/>
  <c r="K157" i="73"/>
  <c r="L157" i="73"/>
  <c r="M157" i="73"/>
  <c r="N157" i="73"/>
  <c r="O157" i="73"/>
  <c r="P157" i="73"/>
  <c r="Q157" i="73"/>
  <c r="R157" i="73"/>
  <c r="S157" i="73"/>
  <c r="T157" i="73"/>
  <c r="U157" i="73"/>
  <c r="V157" i="73"/>
  <c r="C159" i="73"/>
  <c r="D159" i="73"/>
  <c r="E159" i="73"/>
  <c r="F159" i="73"/>
  <c r="G159" i="73"/>
  <c r="H159" i="73"/>
  <c r="I159" i="73"/>
  <c r="J159" i="73"/>
  <c r="K159" i="73"/>
  <c r="L159" i="73"/>
  <c r="M159" i="73"/>
  <c r="N159" i="73"/>
  <c r="O159" i="73"/>
  <c r="P159" i="73"/>
  <c r="Q159" i="73"/>
  <c r="R159" i="73"/>
  <c r="S159" i="73"/>
  <c r="T159" i="73"/>
  <c r="U159" i="73"/>
  <c r="V159" i="73"/>
  <c r="C160" i="73"/>
  <c r="D160" i="73"/>
  <c r="E160" i="73"/>
  <c r="F160" i="73"/>
  <c r="G160" i="73"/>
  <c r="H160" i="73"/>
  <c r="I160" i="73"/>
  <c r="J160" i="73"/>
  <c r="K160" i="73"/>
  <c r="L160" i="73"/>
  <c r="M160" i="73"/>
  <c r="N160" i="73"/>
  <c r="O160" i="73"/>
  <c r="P160" i="73"/>
  <c r="Q160" i="73"/>
  <c r="R160" i="73"/>
  <c r="S160" i="73"/>
  <c r="T160" i="73"/>
  <c r="U160" i="73"/>
  <c r="V160" i="73"/>
  <c r="C163" i="73"/>
  <c r="D163" i="73"/>
  <c r="E163" i="73"/>
  <c r="F163" i="73"/>
  <c r="G163" i="73"/>
  <c r="H163" i="73"/>
  <c r="I163" i="73"/>
  <c r="J163" i="73"/>
  <c r="K163" i="73"/>
  <c r="L163" i="73"/>
  <c r="M163" i="73"/>
  <c r="N163" i="73"/>
  <c r="O163" i="73"/>
  <c r="P163" i="73"/>
  <c r="Q163" i="73"/>
  <c r="R163" i="73"/>
  <c r="S163" i="73"/>
  <c r="T163" i="73"/>
  <c r="U163" i="73"/>
  <c r="V163" i="73"/>
  <c r="C164" i="73"/>
  <c r="D164" i="73"/>
  <c r="E164" i="73"/>
  <c r="F164" i="73"/>
  <c r="G164" i="73"/>
  <c r="H164" i="73"/>
  <c r="I164" i="73"/>
  <c r="J164" i="73"/>
  <c r="K164" i="73"/>
  <c r="L164" i="73"/>
  <c r="M164" i="73"/>
  <c r="N164" i="73"/>
  <c r="O164" i="73"/>
  <c r="P164" i="73"/>
  <c r="Q164" i="73"/>
  <c r="R164" i="73"/>
  <c r="S164" i="73"/>
  <c r="T164" i="73"/>
  <c r="U164" i="73"/>
  <c r="V164" i="73"/>
  <c r="C165" i="73"/>
  <c r="D165" i="73"/>
  <c r="E165" i="73"/>
  <c r="F165" i="73"/>
  <c r="G165" i="73"/>
  <c r="H165" i="73"/>
  <c r="I165" i="73"/>
  <c r="J165" i="73"/>
  <c r="K165" i="73"/>
  <c r="L165" i="73"/>
  <c r="M165" i="73"/>
  <c r="N165" i="73"/>
  <c r="O165" i="73"/>
  <c r="P165" i="73"/>
  <c r="Q165" i="73"/>
  <c r="R165" i="73"/>
  <c r="S165" i="73"/>
  <c r="T165" i="73"/>
  <c r="U165" i="73"/>
  <c r="V165" i="73"/>
  <c r="C166" i="73"/>
  <c r="D166" i="73"/>
  <c r="E166" i="73"/>
  <c r="F166" i="73"/>
  <c r="G166" i="73"/>
  <c r="H166" i="73"/>
  <c r="I166" i="73"/>
  <c r="J166" i="73"/>
  <c r="K166" i="73"/>
  <c r="L166" i="73"/>
  <c r="M166" i="73"/>
  <c r="N166" i="73"/>
  <c r="O166" i="73"/>
  <c r="P166" i="73"/>
  <c r="Q166" i="73"/>
  <c r="R166" i="73"/>
  <c r="S166" i="73"/>
  <c r="T166" i="73"/>
  <c r="U166" i="73"/>
  <c r="V166" i="73"/>
  <c r="C169" i="73"/>
  <c r="D169" i="73"/>
  <c r="E169" i="73"/>
  <c r="F169" i="73"/>
  <c r="G169" i="73"/>
  <c r="H169" i="73"/>
  <c r="I169" i="73"/>
  <c r="J169" i="73"/>
  <c r="K169" i="73"/>
  <c r="L169" i="73"/>
  <c r="M169" i="73"/>
  <c r="N169" i="73"/>
  <c r="O169" i="73"/>
  <c r="P169" i="73"/>
  <c r="Q169" i="73"/>
  <c r="R169" i="73"/>
  <c r="S169" i="73"/>
  <c r="T169" i="73"/>
  <c r="U169" i="73"/>
  <c r="V169" i="73"/>
  <c r="C170" i="73"/>
  <c r="D170" i="73"/>
  <c r="E170" i="73"/>
  <c r="F170" i="73"/>
  <c r="G170" i="73"/>
  <c r="H170" i="73"/>
  <c r="I170" i="73"/>
  <c r="J170" i="73"/>
  <c r="K170" i="73"/>
  <c r="L170" i="73"/>
  <c r="M170" i="73"/>
  <c r="N170" i="73"/>
  <c r="O170" i="73"/>
  <c r="P170" i="73"/>
  <c r="Q170" i="73"/>
  <c r="R170" i="73"/>
  <c r="S170" i="73"/>
  <c r="T170" i="73"/>
  <c r="U170" i="73"/>
  <c r="V170" i="73"/>
  <c r="C171" i="73"/>
  <c r="D171" i="73"/>
  <c r="E171" i="73"/>
  <c r="F171" i="73"/>
  <c r="G171" i="73"/>
  <c r="H171" i="73"/>
  <c r="I171" i="73"/>
  <c r="J171" i="73"/>
  <c r="K171" i="73"/>
  <c r="L171" i="73"/>
  <c r="M171" i="73"/>
  <c r="N171" i="73"/>
  <c r="O171" i="73"/>
  <c r="P171" i="73"/>
  <c r="Q171" i="73"/>
  <c r="R171" i="73"/>
  <c r="S171" i="73"/>
  <c r="T171" i="73"/>
  <c r="U171" i="73"/>
  <c r="V171" i="73"/>
  <c r="C178" i="73"/>
  <c r="C179" i="73"/>
  <c r="B180" i="73"/>
  <c r="C180" i="73"/>
  <c r="D180" i="73"/>
  <c r="E180" i="73"/>
  <c r="F180" i="73"/>
  <c r="G180" i="73"/>
  <c r="H180" i="73"/>
  <c r="I180" i="73"/>
  <c r="J180" i="73"/>
  <c r="K180" i="73"/>
  <c r="L180" i="73"/>
  <c r="M180" i="73"/>
  <c r="N180" i="73"/>
  <c r="O180" i="73"/>
  <c r="P180" i="73"/>
  <c r="Q180" i="73"/>
  <c r="R180" i="73"/>
  <c r="S180" i="73"/>
  <c r="T180" i="73"/>
  <c r="U180" i="73"/>
  <c r="V180" i="73"/>
  <c r="C183" i="73"/>
  <c r="D183" i="73"/>
  <c r="E183" i="73"/>
  <c r="F183" i="73"/>
  <c r="G183" i="73"/>
  <c r="H183" i="73"/>
  <c r="I183" i="73"/>
  <c r="J183" i="73"/>
  <c r="K183" i="73"/>
  <c r="L183" i="73"/>
  <c r="M183" i="73"/>
  <c r="N183" i="73"/>
  <c r="O183" i="73"/>
  <c r="P183" i="73"/>
  <c r="Q183" i="73"/>
  <c r="R183" i="73"/>
  <c r="S183" i="73"/>
  <c r="T183" i="73"/>
  <c r="U183" i="73"/>
  <c r="V183" i="73"/>
  <c r="C184" i="73"/>
  <c r="D184" i="73"/>
  <c r="E184" i="73"/>
  <c r="F184" i="73"/>
  <c r="G184" i="73"/>
  <c r="H184" i="73"/>
  <c r="I184" i="73"/>
  <c r="J184" i="73"/>
  <c r="K184" i="73"/>
  <c r="L184" i="73"/>
  <c r="M184" i="73"/>
  <c r="N184" i="73"/>
  <c r="O184" i="73"/>
  <c r="P184" i="73"/>
  <c r="Q184" i="73"/>
  <c r="R184" i="73"/>
  <c r="S184" i="73"/>
  <c r="T184" i="73"/>
  <c r="U184" i="73"/>
  <c r="V184" i="73"/>
  <c r="C185" i="73"/>
  <c r="D185" i="73"/>
  <c r="E185" i="73"/>
  <c r="F185" i="73"/>
  <c r="G185" i="73"/>
  <c r="H185" i="73"/>
  <c r="I185" i="73"/>
  <c r="J185" i="73"/>
  <c r="K185" i="73"/>
  <c r="L185" i="73"/>
  <c r="M185" i="73"/>
  <c r="N185" i="73"/>
  <c r="O185" i="73"/>
  <c r="P185" i="73"/>
  <c r="Q185" i="73"/>
  <c r="R185" i="73"/>
  <c r="S185" i="73"/>
  <c r="T185" i="73"/>
  <c r="U185" i="73"/>
  <c r="V185" i="73"/>
  <c r="C186" i="73"/>
  <c r="D186" i="73"/>
  <c r="E186" i="73"/>
  <c r="F186" i="73"/>
  <c r="G186" i="73"/>
  <c r="H186" i="73"/>
  <c r="I186" i="73"/>
  <c r="J186" i="73"/>
  <c r="K186" i="73"/>
  <c r="L186" i="73"/>
  <c r="M186" i="73"/>
  <c r="N186" i="73"/>
  <c r="O186" i="73"/>
  <c r="P186" i="73"/>
  <c r="Q186" i="73"/>
  <c r="R186" i="73"/>
  <c r="S186" i="73"/>
  <c r="T186" i="73"/>
  <c r="U186" i="73"/>
  <c r="V186" i="73"/>
  <c r="C187" i="73"/>
  <c r="D187" i="73"/>
  <c r="E187" i="73"/>
  <c r="F187" i="73"/>
  <c r="G187" i="73"/>
  <c r="H187" i="73"/>
  <c r="I187" i="73"/>
  <c r="J187" i="73"/>
  <c r="K187" i="73"/>
  <c r="L187" i="73"/>
  <c r="M187" i="73"/>
  <c r="N187" i="73"/>
  <c r="O187" i="73"/>
  <c r="P187" i="73"/>
  <c r="Q187" i="73"/>
  <c r="R187" i="73"/>
  <c r="S187" i="73"/>
  <c r="T187" i="73"/>
  <c r="U187" i="73"/>
  <c r="V187" i="73"/>
  <c r="C13" i="78"/>
  <c r="F15" i="78"/>
  <c r="C31" i="78"/>
  <c r="D31" i="78"/>
  <c r="E31" i="78"/>
  <c r="F31" i="78"/>
  <c r="G31" i="78"/>
  <c r="I31" i="78"/>
  <c r="I33" i="78"/>
  <c r="C34" i="78"/>
  <c r="D34" i="78"/>
  <c r="E34" i="78"/>
  <c r="F34" i="78"/>
  <c r="G34" i="78"/>
  <c r="I34" i="78"/>
  <c r="C39" i="78"/>
  <c r="C41" i="78"/>
  <c r="C42" i="78"/>
  <c r="E4" i="71"/>
  <c r="F4" i="71"/>
  <c r="G4" i="71"/>
  <c r="H4" i="71"/>
  <c r="I4" i="71"/>
  <c r="J4" i="71"/>
  <c r="K4" i="71"/>
  <c r="L4" i="71"/>
  <c r="M4" i="71"/>
  <c r="N4" i="71"/>
  <c r="O4" i="71"/>
  <c r="P4" i="71"/>
  <c r="Q4" i="71"/>
  <c r="R4" i="71"/>
  <c r="S4" i="71"/>
  <c r="T4" i="71"/>
  <c r="U4" i="71"/>
  <c r="V4" i="71"/>
  <c r="W4" i="71"/>
  <c r="E6" i="71"/>
  <c r="F6" i="71"/>
  <c r="G6" i="71"/>
  <c r="H6" i="71"/>
  <c r="D8" i="71"/>
  <c r="E8" i="71"/>
  <c r="F8" i="71"/>
  <c r="D9" i="71"/>
  <c r="E9" i="71"/>
  <c r="F9" i="71"/>
  <c r="G9" i="71"/>
  <c r="H9" i="71"/>
  <c r="D10" i="71"/>
  <c r="E10" i="71"/>
  <c r="F10" i="71"/>
  <c r="G10" i="71"/>
  <c r="H10" i="71"/>
  <c r="D15" i="71"/>
  <c r="E15" i="71"/>
  <c r="F15" i="71"/>
  <c r="G15" i="71"/>
  <c r="H15" i="71"/>
  <c r="X15" i="71"/>
  <c r="E16" i="71"/>
  <c r="F16" i="71"/>
  <c r="G16" i="71"/>
  <c r="H16" i="71"/>
  <c r="X16" i="71"/>
  <c r="D17" i="71"/>
  <c r="E17" i="71"/>
  <c r="F17" i="71"/>
  <c r="X17" i="71"/>
  <c r="D18" i="71"/>
  <c r="E18" i="71"/>
  <c r="F18" i="71"/>
  <c r="G18" i="71"/>
  <c r="H18" i="71"/>
  <c r="X18" i="71"/>
  <c r="D20" i="71"/>
  <c r="E20" i="71"/>
  <c r="F20" i="71"/>
  <c r="G20" i="71"/>
  <c r="H20" i="71"/>
  <c r="X20" i="71"/>
  <c r="D21" i="71"/>
  <c r="E21" i="71"/>
  <c r="F21" i="71"/>
  <c r="G21" i="71"/>
  <c r="H21" i="71"/>
  <c r="X21" i="71"/>
  <c r="D22" i="71"/>
  <c r="E22" i="71"/>
  <c r="F22" i="71"/>
  <c r="G22" i="71"/>
  <c r="H22" i="71"/>
  <c r="X22" i="71"/>
  <c r="D26" i="71"/>
  <c r="E26" i="71"/>
  <c r="F26" i="71"/>
  <c r="G26" i="71"/>
  <c r="H26" i="71"/>
  <c r="I26" i="71"/>
  <c r="J26" i="71"/>
  <c r="K26" i="71"/>
  <c r="L26" i="71"/>
  <c r="M26" i="71"/>
  <c r="N26" i="71"/>
  <c r="O26" i="71"/>
  <c r="P26" i="71"/>
  <c r="Q26" i="71"/>
  <c r="R26" i="71"/>
  <c r="S26" i="71"/>
  <c r="T26" i="71"/>
  <c r="U26" i="71"/>
  <c r="V26" i="71"/>
  <c r="W26" i="71"/>
  <c r="E27" i="71"/>
  <c r="F27" i="71"/>
  <c r="G27" i="71"/>
  <c r="H27" i="71"/>
  <c r="I27" i="71"/>
  <c r="J27" i="71"/>
  <c r="K27" i="71"/>
  <c r="L27" i="71"/>
  <c r="M27" i="71"/>
  <c r="N27" i="71"/>
  <c r="O27" i="71"/>
  <c r="P27" i="71"/>
  <c r="Q27" i="71"/>
  <c r="R27" i="71"/>
  <c r="S27" i="71"/>
  <c r="T27" i="71"/>
  <c r="U27" i="71"/>
  <c r="V27" i="71"/>
  <c r="W27" i="71"/>
  <c r="F28" i="71"/>
  <c r="G28" i="71"/>
  <c r="H28" i="71"/>
  <c r="I28" i="71"/>
  <c r="J28" i="71"/>
  <c r="K28" i="71"/>
  <c r="L28" i="71"/>
  <c r="M28" i="71"/>
  <c r="N28" i="71"/>
  <c r="O28" i="71"/>
  <c r="P28" i="71"/>
  <c r="Q28" i="71"/>
  <c r="R28" i="71"/>
  <c r="S28" i="71"/>
  <c r="T28" i="71"/>
  <c r="U28" i="71"/>
  <c r="V28" i="71"/>
  <c r="W28" i="71"/>
  <c r="D29" i="71"/>
  <c r="E29" i="71"/>
  <c r="F29" i="71"/>
  <c r="G29" i="71"/>
  <c r="H29" i="71"/>
  <c r="I29" i="71"/>
  <c r="J29" i="71"/>
  <c r="K29" i="71"/>
  <c r="L29" i="71"/>
  <c r="M29" i="71"/>
  <c r="N29" i="71"/>
  <c r="O29" i="71"/>
  <c r="P29" i="71"/>
  <c r="Q29" i="71"/>
  <c r="R29" i="71"/>
  <c r="S29" i="71"/>
  <c r="T29" i="71"/>
  <c r="U29" i="71"/>
  <c r="V29" i="71"/>
  <c r="W29" i="71"/>
  <c r="D31" i="71"/>
  <c r="E31" i="71"/>
  <c r="F31" i="71"/>
  <c r="G31" i="71"/>
  <c r="H31" i="71"/>
  <c r="I31" i="71"/>
  <c r="J31" i="71"/>
  <c r="K31" i="71"/>
  <c r="L31" i="71"/>
  <c r="M31" i="71"/>
  <c r="N31" i="71"/>
  <c r="O31" i="71"/>
  <c r="P31" i="71"/>
  <c r="Q31" i="71"/>
  <c r="R31" i="71"/>
  <c r="S31" i="71"/>
  <c r="T31" i="71"/>
  <c r="U31" i="71"/>
  <c r="V31" i="71"/>
  <c r="W31" i="71"/>
  <c r="E32" i="71"/>
  <c r="F32" i="71"/>
  <c r="G32" i="71"/>
  <c r="H32" i="71"/>
  <c r="I32" i="71"/>
  <c r="J32" i="71"/>
  <c r="K32" i="71"/>
  <c r="L32" i="71"/>
  <c r="M32" i="71"/>
  <c r="N32" i="71"/>
  <c r="O32" i="71"/>
  <c r="P32" i="71"/>
  <c r="Q32" i="71"/>
  <c r="R32" i="71"/>
  <c r="S32" i="71"/>
  <c r="T32" i="71"/>
  <c r="U32" i="71"/>
  <c r="V32" i="71"/>
  <c r="W32" i="71"/>
  <c r="F33" i="71"/>
  <c r="G33" i="71"/>
  <c r="H33" i="71"/>
  <c r="I33" i="71"/>
  <c r="J33" i="71"/>
  <c r="K33" i="71"/>
  <c r="L33" i="71"/>
  <c r="M33" i="71"/>
  <c r="N33" i="71"/>
  <c r="O33" i="71"/>
  <c r="P33" i="71"/>
  <c r="Q33" i="71"/>
  <c r="R33" i="71"/>
  <c r="S33" i="71"/>
  <c r="T33" i="71"/>
  <c r="U33" i="71"/>
  <c r="V33" i="71"/>
  <c r="W33" i="71"/>
  <c r="G34" i="71"/>
  <c r="H34" i="71"/>
  <c r="I34" i="71"/>
  <c r="J34" i="71"/>
  <c r="K34" i="71"/>
  <c r="L34" i="71"/>
  <c r="M34" i="71"/>
  <c r="N34" i="71"/>
  <c r="O34" i="71"/>
  <c r="P34" i="71"/>
  <c r="Q34" i="71"/>
  <c r="R34" i="71"/>
  <c r="S34" i="71"/>
  <c r="T34" i="71"/>
  <c r="U34" i="71"/>
  <c r="V34" i="71"/>
  <c r="W34" i="71"/>
  <c r="H35" i="71"/>
  <c r="I35" i="71"/>
  <c r="J35" i="71"/>
  <c r="K35" i="71"/>
  <c r="L35" i="71"/>
  <c r="M35" i="71"/>
  <c r="N35" i="71"/>
  <c r="O35" i="71"/>
  <c r="P35" i="71"/>
  <c r="Q35" i="71"/>
  <c r="R35" i="71"/>
  <c r="S35" i="71"/>
  <c r="T35" i="71"/>
  <c r="U35" i="71"/>
  <c r="V35" i="71"/>
  <c r="W35" i="71"/>
  <c r="D36" i="71"/>
  <c r="E36" i="71"/>
  <c r="F36" i="71"/>
  <c r="G36" i="71"/>
  <c r="H36" i="71"/>
  <c r="I36" i="71"/>
  <c r="J36" i="71"/>
  <c r="K36" i="71"/>
  <c r="L36" i="71"/>
  <c r="M36" i="71"/>
  <c r="N36" i="71"/>
  <c r="O36" i="71"/>
  <c r="P36" i="71"/>
  <c r="Q36" i="71"/>
  <c r="R36" i="71"/>
  <c r="S36" i="71"/>
  <c r="T36" i="71"/>
  <c r="U36" i="71"/>
  <c r="V36" i="71"/>
  <c r="W36" i="71"/>
  <c r="E38" i="71"/>
  <c r="F38" i="71"/>
  <c r="G38" i="71"/>
  <c r="H38" i="71"/>
  <c r="I38" i="71"/>
  <c r="J38" i="71"/>
  <c r="K38" i="71"/>
  <c r="L38" i="71"/>
  <c r="M38" i="71"/>
  <c r="N38" i="71"/>
  <c r="O38" i="71"/>
  <c r="P38" i="71"/>
  <c r="Q38" i="71"/>
  <c r="R38" i="71"/>
  <c r="S38" i="71"/>
  <c r="T38" i="71"/>
  <c r="U38" i="71"/>
  <c r="V38" i="71"/>
  <c r="W38" i="71"/>
  <c r="D40" i="71"/>
  <c r="E40" i="71"/>
  <c r="F40" i="71"/>
  <c r="G40" i="71"/>
  <c r="H40" i="71"/>
  <c r="I40" i="71"/>
  <c r="J40" i="71"/>
  <c r="K40" i="71"/>
  <c r="L40" i="71"/>
  <c r="M40" i="71"/>
  <c r="N40" i="71"/>
  <c r="O40" i="71"/>
  <c r="P40" i="71"/>
  <c r="Q40" i="71"/>
  <c r="R40" i="71"/>
  <c r="S40" i="71"/>
  <c r="T40" i="71"/>
  <c r="U40" i="71"/>
  <c r="V40" i="71"/>
  <c r="W40" i="71"/>
  <c r="Y40" i="71"/>
  <c r="D44" i="71"/>
  <c r="E44" i="71"/>
  <c r="F44" i="71"/>
  <c r="G44" i="71"/>
  <c r="H44" i="71"/>
  <c r="I44" i="71"/>
  <c r="J44" i="71"/>
  <c r="K44" i="71"/>
  <c r="L44" i="71"/>
  <c r="M44" i="71"/>
  <c r="N44" i="71"/>
  <c r="O44" i="71"/>
  <c r="P44" i="71"/>
  <c r="Q44" i="71"/>
  <c r="R44" i="71"/>
  <c r="S44" i="71"/>
  <c r="T44" i="71"/>
  <c r="U44" i="71"/>
  <c r="V44" i="71"/>
  <c r="W44" i="71"/>
  <c r="E45" i="71"/>
  <c r="F45" i="71"/>
  <c r="G45" i="71"/>
  <c r="H45" i="71"/>
  <c r="I45" i="71"/>
  <c r="J45" i="71"/>
  <c r="K45" i="71"/>
  <c r="L45" i="71"/>
  <c r="M45" i="71"/>
  <c r="N45" i="71"/>
  <c r="O45" i="71"/>
  <c r="P45" i="71"/>
  <c r="Q45" i="71"/>
  <c r="R45" i="71"/>
  <c r="S45" i="71"/>
  <c r="T45" i="71"/>
  <c r="U45" i="71"/>
  <c r="V45" i="71"/>
  <c r="W45" i="71"/>
  <c r="F46" i="71"/>
  <c r="G46" i="71"/>
  <c r="H46" i="71"/>
  <c r="I46" i="71"/>
  <c r="J46" i="71"/>
  <c r="K46" i="71"/>
  <c r="L46" i="71"/>
  <c r="M46" i="71"/>
  <c r="N46" i="71"/>
  <c r="O46" i="71"/>
  <c r="P46" i="71"/>
  <c r="Q46" i="71"/>
  <c r="R46" i="71"/>
  <c r="S46" i="71"/>
  <c r="T46" i="71"/>
  <c r="U46" i="71"/>
  <c r="V46" i="71"/>
  <c r="W46" i="71"/>
  <c r="D47" i="71"/>
  <c r="E47" i="71"/>
  <c r="F47" i="71"/>
  <c r="G47" i="71"/>
  <c r="H47" i="71"/>
  <c r="I47" i="71"/>
  <c r="J47" i="71"/>
  <c r="K47" i="71"/>
  <c r="L47" i="71"/>
  <c r="M47" i="71"/>
  <c r="N47" i="71"/>
  <c r="O47" i="71"/>
  <c r="P47" i="71"/>
  <c r="Q47" i="71"/>
  <c r="R47" i="71"/>
  <c r="S47" i="71"/>
  <c r="T47" i="71"/>
  <c r="U47" i="71"/>
  <c r="V47" i="71"/>
  <c r="W47" i="71"/>
  <c r="E50" i="71"/>
  <c r="F50" i="71"/>
  <c r="G50" i="71"/>
  <c r="H50" i="71"/>
  <c r="I50" i="71"/>
  <c r="J50" i="71"/>
  <c r="K50" i="71"/>
  <c r="L50" i="71"/>
  <c r="M50" i="71"/>
  <c r="N50" i="71"/>
  <c r="O50" i="71"/>
  <c r="P50" i="71"/>
  <c r="Q50" i="71"/>
  <c r="R50" i="71"/>
  <c r="S50" i="71"/>
  <c r="T50" i="71"/>
  <c r="U50" i="71"/>
  <c r="V50" i="71"/>
  <c r="W50" i="71"/>
  <c r="F51" i="71"/>
  <c r="G51" i="71"/>
  <c r="H51" i="71"/>
  <c r="I51" i="71"/>
  <c r="J51" i="71"/>
  <c r="K51" i="71"/>
  <c r="L51" i="71"/>
  <c r="M51" i="71"/>
  <c r="N51" i="71"/>
  <c r="O51" i="71"/>
  <c r="P51" i="71"/>
  <c r="Q51" i="71"/>
  <c r="R51" i="71"/>
  <c r="S51" i="71"/>
  <c r="T51" i="71"/>
  <c r="U51" i="71"/>
  <c r="V51" i="71"/>
  <c r="W51" i="71"/>
  <c r="G52" i="71"/>
  <c r="H52" i="71"/>
  <c r="I52" i="71"/>
  <c r="J52" i="71"/>
  <c r="K52" i="71"/>
  <c r="L52" i="71"/>
  <c r="M52" i="71"/>
  <c r="N52" i="71"/>
  <c r="O52" i="71"/>
  <c r="P52" i="71"/>
  <c r="Q52" i="71"/>
  <c r="R52" i="71"/>
  <c r="S52" i="71"/>
  <c r="T52" i="71"/>
  <c r="U52" i="71"/>
  <c r="V52" i="71"/>
  <c r="W52" i="71"/>
  <c r="H53" i="71"/>
  <c r="I53" i="71"/>
  <c r="J53" i="71"/>
  <c r="K53" i="71"/>
  <c r="L53" i="71"/>
  <c r="M53" i="71"/>
  <c r="N53" i="71"/>
  <c r="O53" i="71"/>
  <c r="P53" i="71"/>
  <c r="Q53" i="71"/>
  <c r="R53" i="71"/>
  <c r="S53" i="71"/>
  <c r="T53" i="71"/>
  <c r="U53" i="71"/>
  <c r="V53" i="71"/>
  <c r="W53" i="71"/>
  <c r="D54" i="71"/>
  <c r="E54" i="71"/>
  <c r="F54" i="71"/>
  <c r="G54" i="71"/>
  <c r="H54" i="71"/>
  <c r="I54" i="71"/>
  <c r="J54" i="71"/>
  <c r="K54" i="71"/>
  <c r="L54" i="71"/>
  <c r="M54" i="71"/>
  <c r="N54" i="71"/>
  <c r="O54" i="71"/>
  <c r="P54" i="71"/>
  <c r="Q54" i="71"/>
  <c r="R54" i="71"/>
  <c r="S54" i="71"/>
  <c r="T54" i="71"/>
  <c r="U54" i="71"/>
  <c r="V54" i="71"/>
  <c r="W54" i="71"/>
  <c r="E56" i="71"/>
  <c r="F56" i="71"/>
  <c r="G56" i="71"/>
  <c r="H56" i="71"/>
  <c r="I56" i="71"/>
  <c r="J56" i="71"/>
  <c r="K56" i="71"/>
  <c r="L56" i="71"/>
  <c r="M56" i="71"/>
  <c r="N56" i="71"/>
  <c r="O56" i="71"/>
  <c r="P56" i="71"/>
  <c r="Q56" i="71"/>
  <c r="R56" i="71"/>
  <c r="S56" i="71"/>
  <c r="T56" i="71"/>
  <c r="U56" i="71"/>
  <c r="V56" i="71"/>
  <c r="W56" i="71"/>
  <c r="D58" i="71"/>
  <c r="E58" i="71"/>
  <c r="F58" i="71"/>
  <c r="G58" i="71"/>
  <c r="H58" i="71"/>
  <c r="I58" i="71"/>
  <c r="J58" i="71"/>
  <c r="K58" i="71"/>
  <c r="L58" i="71"/>
  <c r="M58" i="71"/>
  <c r="N58" i="71"/>
  <c r="O58" i="71"/>
  <c r="P58" i="71"/>
  <c r="Q58" i="71"/>
  <c r="R58" i="71"/>
  <c r="S58" i="71"/>
  <c r="T58" i="71"/>
  <c r="U58" i="71"/>
  <c r="V58" i="71"/>
  <c r="W58" i="71"/>
  <c r="Y58" i="71"/>
  <c r="D62" i="71"/>
  <c r="E62" i="71"/>
  <c r="F62" i="71"/>
  <c r="G62" i="71"/>
  <c r="H62" i="71"/>
  <c r="I62" i="71"/>
  <c r="J62" i="71"/>
  <c r="K62" i="71"/>
  <c r="L62" i="71"/>
  <c r="M62" i="71"/>
  <c r="N62" i="71"/>
  <c r="O62" i="71"/>
  <c r="P62" i="71"/>
  <c r="Q62" i="71"/>
  <c r="R62" i="71"/>
  <c r="S62" i="71"/>
  <c r="T62" i="71"/>
  <c r="U62" i="71"/>
  <c r="V62" i="71"/>
  <c r="W62" i="71"/>
  <c r="E63" i="71"/>
  <c r="F63" i="71"/>
  <c r="G63" i="71"/>
  <c r="H63" i="71"/>
  <c r="I63" i="71"/>
  <c r="J63" i="71"/>
  <c r="K63" i="71"/>
  <c r="L63" i="71"/>
  <c r="M63" i="71"/>
  <c r="N63" i="71"/>
  <c r="O63" i="71"/>
  <c r="P63" i="71"/>
  <c r="Q63" i="71"/>
  <c r="R63" i="71"/>
  <c r="S63" i="71"/>
  <c r="T63" i="71"/>
  <c r="U63" i="71"/>
  <c r="V63" i="71"/>
  <c r="W63" i="71"/>
  <c r="F64" i="71"/>
  <c r="G64" i="71"/>
  <c r="H64" i="71"/>
  <c r="I64" i="71"/>
  <c r="J64" i="71"/>
  <c r="K64" i="71"/>
  <c r="L64" i="71"/>
  <c r="M64" i="71"/>
  <c r="N64" i="71"/>
  <c r="O64" i="71"/>
  <c r="P64" i="71"/>
  <c r="Q64" i="71"/>
  <c r="R64" i="71"/>
  <c r="S64" i="71"/>
  <c r="T64" i="71"/>
  <c r="U64" i="71"/>
  <c r="V64" i="71"/>
  <c r="W64" i="71"/>
  <c r="D65" i="71"/>
  <c r="E65" i="71"/>
  <c r="F65" i="71"/>
  <c r="G65" i="71"/>
  <c r="H65" i="71"/>
  <c r="I65" i="71"/>
  <c r="J65" i="71"/>
  <c r="K65" i="71"/>
  <c r="L65" i="71"/>
  <c r="M65" i="71"/>
  <c r="N65" i="71"/>
  <c r="O65" i="71"/>
  <c r="P65" i="71"/>
  <c r="Q65" i="71"/>
  <c r="R65" i="71"/>
  <c r="S65" i="71"/>
  <c r="T65" i="71"/>
  <c r="U65" i="71"/>
  <c r="V65" i="71"/>
  <c r="W65" i="71"/>
  <c r="E68" i="71"/>
  <c r="F68" i="71"/>
  <c r="G68" i="71"/>
  <c r="H68" i="71"/>
  <c r="I68" i="71"/>
  <c r="J68" i="71"/>
  <c r="K68" i="71"/>
  <c r="L68" i="71"/>
  <c r="M68" i="71"/>
  <c r="N68" i="71"/>
  <c r="O68" i="71"/>
  <c r="P68" i="71"/>
  <c r="Q68" i="71"/>
  <c r="R68" i="71"/>
  <c r="S68" i="71"/>
  <c r="T68" i="71"/>
  <c r="U68" i="71"/>
  <c r="V68" i="71"/>
  <c r="W68" i="71"/>
  <c r="F69" i="71"/>
  <c r="G69" i="71"/>
  <c r="H69" i="71"/>
  <c r="I69" i="71"/>
  <c r="J69" i="71"/>
  <c r="K69" i="71"/>
  <c r="L69" i="71"/>
  <c r="M69" i="71"/>
  <c r="N69" i="71"/>
  <c r="O69" i="71"/>
  <c r="P69" i="71"/>
  <c r="Q69" i="71"/>
  <c r="R69" i="71"/>
  <c r="S69" i="71"/>
  <c r="T69" i="71"/>
  <c r="U69" i="71"/>
  <c r="V69" i="71"/>
  <c r="W69" i="71"/>
  <c r="G70" i="71"/>
  <c r="H70" i="71"/>
  <c r="I70" i="71"/>
  <c r="J70" i="71"/>
  <c r="K70" i="71"/>
  <c r="L70" i="71"/>
  <c r="M70" i="71"/>
  <c r="N70" i="71"/>
  <c r="O70" i="71"/>
  <c r="P70" i="71"/>
  <c r="Q70" i="71"/>
  <c r="R70" i="71"/>
  <c r="S70" i="71"/>
  <c r="T70" i="71"/>
  <c r="U70" i="71"/>
  <c r="V70" i="71"/>
  <c r="W70" i="71"/>
  <c r="H71" i="71"/>
  <c r="I71" i="71"/>
  <c r="J71" i="71"/>
  <c r="K71" i="71"/>
  <c r="L71" i="71"/>
  <c r="M71" i="71"/>
  <c r="N71" i="71"/>
  <c r="O71" i="71"/>
  <c r="P71" i="71"/>
  <c r="Q71" i="71"/>
  <c r="R71" i="71"/>
  <c r="S71" i="71"/>
  <c r="T71" i="71"/>
  <c r="U71" i="71"/>
  <c r="V71" i="71"/>
  <c r="W71" i="71"/>
  <c r="D72" i="71"/>
  <c r="E72" i="71"/>
  <c r="F72" i="71"/>
  <c r="G72" i="71"/>
  <c r="H72" i="71"/>
  <c r="I72" i="71"/>
  <c r="J72" i="71"/>
  <c r="K72" i="71"/>
  <c r="L72" i="71"/>
  <c r="M72" i="71"/>
  <c r="N72" i="71"/>
  <c r="O72" i="71"/>
  <c r="P72" i="71"/>
  <c r="Q72" i="71"/>
  <c r="R72" i="71"/>
  <c r="S72" i="71"/>
  <c r="T72" i="71"/>
  <c r="U72" i="71"/>
  <c r="V72" i="71"/>
  <c r="W72" i="71"/>
  <c r="E74" i="71"/>
  <c r="F74" i="71"/>
  <c r="G74" i="71"/>
  <c r="H74" i="71"/>
  <c r="I74" i="71"/>
  <c r="J74" i="71"/>
  <c r="K74" i="71"/>
  <c r="L74" i="71"/>
  <c r="M74" i="71"/>
  <c r="N74" i="71"/>
  <c r="O74" i="71"/>
  <c r="P74" i="71"/>
  <c r="Q74" i="71"/>
  <c r="R74" i="71"/>
  <c r="S74" i="71"/>
  <c r="T74" i="71"/>
  <c r="U74" i="71"/>
  <c r="V74" i="71"/>
  <c r="W74" i="71"/>
  <c r="D76" i="71"/>
  <c r="E76" i="71"/>
  <c r="F76" i="71"/>
  <c r="G76" i="71"/>
  <c r="H76" i="71"/>
  <c r="I76" i="71"/>
  <c r="J76" i="71"/>
  <c r="K76" i="71"/>
  <c r="L76" i="71"/>
  <c r="M76" i="71"/>
  <c r="N76" i="71"/>
  <c r="O76" i="71"/>
  <c r="P76" i="71"/>
  <c r="Q76" i="71"/>
  <c r="R76" i="71"/>
  <c r="S76" i="71"/>
  <c r="T76" i="71"/>
  <c r="U76" i="71"/>
  <c r="V76" i="71"/>
  <c r="W76" i="71"/>
  <c r="E94" i="71"/>
  <c r="F94" i="71"/>
  <c r="G94" i="71"/>
  <c r="H94" i="71"/>
  <c r="I94" i="71"/>
  <c r="J94" i="71"/>
  <c r="K94" i="71"/>
  <c r="L94" i="71"/>
  <c r="M94" i="71"/>
  <c r="N94" i="71"/>
  <c r="O94" i="71"/>
  <c r="P94" i="71"/>
  <c r="Q94" i="71"/>
  <c r="R94" i="71"/>
  <c r="S94" i="71"/>
  <c r="T94" i="71"/>
  <c r="U94" i="71"/>
  <c r="V94" i="71"/>
  <c r="W94" i="71"/>
  <c r="D98" i="71"/>
  <c r="E98" i="71"/>
  <c r="F98" i="71"/>
  <c r="G98" i="71"/>
  <c r="H98" i="71"/>
  <c r="I98" i="71"/>
  <c r="J98" i="71"/>
  <c r="K98" i="71"/>
  <c r="L98" i="71"/>
  <c r="M98" i="71"/>
  <c r="N98" i="71"/>
  <c r="O98" i="71"/>
  <c r="P98" i="71"/>
  <c r="Q98" i="71"/>
  <c r="R98" i="71"/>
  <c r="S98" i="71"/>
  <c r="T98" i="71"/>
  <c r="U98" i="71"/>
  <c r="V98" i="71"/>
  <c r="W98" i="71"/>
  <c r="E99" i="71"/>
  <c r="F99" i="71"/>
  <c r="G99" i="71"/>
  <c r="H99" i="71"/>
  <c r="I99" i="71"/>
  <c r="J99" i="71"/>
  <c r="K99" i="71"/>
  <c r="L99" i="71"/>
  <c r="M99" i="71"/>
  <c r="N99" i="71"/>
  <c r="O99" i="71"/>
  <c r="P99" i="71"/>
  <c r="Q99" i="71"/>
  <c r="R99" i="71"/>
  <c r="S99" i="71"/>
  <c r="T99" i="71"/>
  <c r="U99" i="71"/>
  <c r="V99" i="71"/>
  <c r="W99" i="71"/>
  <c r="F100" i="71"/>
  <c r="G100" i="71"/>
  <c r="H100" i="71"/>
  <c r="I100" i="71"/>
  <c r="J100" i="71"/>
  <c r="K100" i="71"/>
  <c r="L100" i="71"/>
  <c r="M100" i="71"/>
  <c r="N100" i="71"/>
  <c r="O100" i="71"/>
  <c r="P100" i="71"/>
  <c r="Q100" i="71"/>
  <c r="R100" i="71"/>
  <c r="S100" i="71"/>
  <c r="T100" i="71"/>
  <c r="U100" i="71"/>
  <c r="V100" i="71"/>
  <c r="W100" i="71"/>
  <c r="D101" i="71"/>
  <c r="E101" i="71"/>
  <c r="F101" i="71"/>
  <c r="G101" i="71"/>
  <c r="H101" i="71"/>
  <c r="I101" i="71"/>
  <c r="J101" i="71"/>
  <c r="K101" i="71"/>
  <c r="L101" i="71"/>
  <c r="M101" i="71"/>
  <c r="N101" i="71"/>
  <c r="O101" i="71"/>
  <c r="P101" i="71"/>
  <c r="Q101" i="71"/>
  <c r="R101" i="71"/>
  <c r="S101" i="71"/>
  <c r="T101" i="71"/>
  <c r="U101" i="71"/>
  <c r="V101" i="71"/>
  <c r="W101" i="71"/>
  <c r="E103" i="71"/>
  <c r="F103" i="71"/>
  <c r="G103" i="71"/>
  <c r="H103" i="71"/>
  <c r="I103" i="71"/>
  <c r="J103" i="71"/>
  <c r="K103" i="71"/>
  <c r="L103" i="71"/>
  <c r="M103" i="71"/>
  <c r="N103" i="71"/>
  <c r="O103" i="71"/>
  <c r="P103" i="71"/>
  <c r="Q103" i="71"/>
  <c r="R103" i="71"/>
  <c r="S103" i="71"/>
  <c r="T103" i="71"/>
  <c r="U103" i="71"/>
  <c r="V103" i="71"/>
  <c r="W103" i="71"/>
  <c r="E104" i="71"/>
  <c r="F104" i="71"/>
  <c r="G104" i="71"/>
  <c r="H104" i="71"/>
  <c r="I104" i="71"/>
  <c r="J104" i="71"/>
  <c r="K104" i="71"/>
  <c r="L104" i="71"/>
  <c r="M104" i="71"/>
  <c r="N104" i="71"/>
  <c r="O104" i="71"/>
  <c r="P104" i="71"/>
  <c r="Q104" i="71"/>
  <c r="R104" i="71"/>
  <c r="S104" i="71"/>
  <c r="T104" i="71"/>
  <c r="U104" i="71"/>
  <c r="V104" i="71"/>
  <c r="W104" i="71"/>
  <c r="F105" i="71"/>
  <c r="G105" i="71"/>
  <c r="H105" i="71"/>
  <c r="I105" i="71"/>
  <c r="J105" i="71"/>
  <c r="K105" i="71"/>
  <c r="L105" i="71"/>
  <c r="M105" i="71"/>
  <c r="N105" i="71"/>
  <c r="O105" i="71"/>
  <c r="P105" i="71"/>
  <c r="Q105" i="71"/>
  <c r="R105" i="71"/>
  <c r="S105" i="71"/>
  <c r="T105" i="71"/>
  <c r="U105" i="71"/>
  <c r="V105" i="71"/>
  <c r="W105" i="71"/>
  <c r="G106" i="71"/>
  <c r="H106" i="71"/>
  <c r="I106" i="71"/>
  <c r="J106" i="71"/>
  <c r="K106" i="71"/>
  <c r="L106" i="71"/>
  <c r="M106" i="71"/>
  <c r="N106" i="71"/>
  <c r="O106" i="71"/>
  <c r="P106" i="71"/>
  <c r="Q106" i="71"/>
  <c r="R106" i="71"/>
  <c r="S106" i="71"/>
  <c r="T106" i="71"/>
  <c r="U106" i="71"/>
  <c r="V106" i="71"/>
  <c r="W106" i="71"/>
  <c r="H107" i="71"/>
  <c r="I107" i="71"/>
  <c r="J107" i="71"/>
  <c r="K107" i="71"/>
  <c r="L107" i="71"/>
  <c r="M107" i="71"/>
  <c r="N107" i="71"/>
  <c r="O107" i="71"/>
  <c r="P107" i="71"/>
  <c r="Q107" i="71"/>
  <c r="R107" i="71"/>
  <c r="S107" i="71"/>
  <c r="T107" i="71"/>
  <c r="U107" i="71"/>
  <c r="V107" i="71"/>
  <c r="W107" i="71"/>
  <c r="D108" i="71"/>
  <c r="E108" i="71"/>
  <c r="F108" i="71"/>
  <c r="G108" i="71"/>
  <c r="H108" i="71"/>
  <c r="I108" i="71"/>
  <c r="J108" i="71"/>
  <c r="K108" i="71"/>
  <c r="L108" i="71"/>
  <c r="M108" i="71"/>
  <c r="N108" i="71"/>
  <c r="O108" i="71"/>
  <c r="P108" i="71"/>
  <c r="Q108" i="71"/>
  <c r="R108" i="71"/>
  <c r="S108" i="71"/>
  <c r="T108" i="71"/>
  <c r="U108" i="71"/>
  <c r="V108" i="71"/>
  <c r="W108" i="71"/>
  <c r="E110" i="71"/>
  <c r="F110" i="71"/>
  <c r="G110" i="71"/>
  <c r="H110" i="71"/>
  <c r="I110" i="71"/>
  <c r="J110" i="71"/>
  <c r="K110" i="71"/>
  <c r="L110" i="71"/>
  <c r="M110" i="71"/>
  <c r="N110" i="71"/>
  <c r="O110" i="71"/>
  <c r="P110" i="71"/>
  <c r="Q110" i="71"/>
  <c r="R110" i="71"/>
  <c r="S110" i="71"/>
  <c r="T110" i="71"/>
  <c r="U110" i="71"/>
  <c r="V110" i="71"/>
  <c r="W110" i="71"/>
  <c r="D112" i="71"/>
  <c r="E112" i="71"/>
  <c r="F112" i="71"/>
  <c r="G112" i="71"/>
  <c r="H112" i="71"/>
  <c r="I112" i="71"/>
  <c r="J112" i="71"/>
  <c r="K112" i="71"/>
  <c r="L112" i="71"/>
  <c r="M112" i="71"/>
  <c r="N112" i="71"/>
  <c r="O112" i="71"/>
  <c r="P112" i="71"/>
  <c r="Q112" i="71"/>
  <c r="R112" i="71"/>
  <c r="S112" i="71"/>
  <c r="T112" i="71"/>
  <c r="U112" i="71"/>
  <c r="V112" i="71"/>
  <c r="W112" i="71"/>
  <c r="D118" i="71"/>
  <c r="E118" i="71"/>
  <c r="F118" i="71"/>
  <c r="G118" i="71"/>
  <c r="H118" i="71"/>
  <c r="I118" i="71"/>
  <c r="J118" i="71"/>
  <c r="K118" i="71"/>
  <c r="L118" i="71"/>
  <c r="M118" i="71"/>
  <c r="N118" i="71"/>
  <c r="O118" i="71"/>
  <c r="P118" i="71"/>
  <c r="Q118" i="71"/>
  <c r="R118" i="71"/>
  <c r="S118" i="71"/>
  <c r="T118" i="71"/>
  <c r="U118" i="71"/>
  <c r="V118" i="71"/>
  <c r="W118" i="71"/>
  <c r="E120" i="71"/>
  <c r="F120" i="71"/>
  <c r="G120" i="71"/>
  <c r="H120" i="71"/>
  <c r="I120" i="71"/>
  <c r="J120" i="71"/>
  <c r="K120" i="71"/>
  <c r="L120" i="71"/>
  <c r="M120" i="71"/>
  <c r="N120" i="71"/>
  <c r="O120" i="71"/>
  <c r="P120" i="71"/>
  <c r="Q120" i="71"/>
  <c r="R120" i="71"/>
  <c r="S120" i="71"/>
  <c r="T120" i="71"/>
  <c r="U120" i="71"/>
  <c r="V120" i="71"/>
  <c r="W120" i="71"/>
  <c r="F122" i="71"/>
  <c r="G122" i="71"/>
  <c r="H122" i="71"/>
  <c r="I122" i="71"/>
  <c r="J122" i="71"/>
  <c r="K122" i="71"/>
  <c r="L122" i="71"/>
  <c r="M122" i="71"/>
  <c r="N122" i="71"/>
  <c r="O122" i="71"/>
  <c r="P122" i="71"/>
  <c r="Q122" i="71"/>
  <c r="R122" i="71"/>
  <c r="S122" i="71"/>
  <c r="T122" i="71"/>
  <c r="U122" i="71"/>
  <c r="V122" i="71"/>
  <c r="W122" i="71"/>
  <c r="D123" i="71"/>
  <c r="E123" i="71"/>
  <c r="F123" i="71"/>
  <c r="G123" i="71"/>
  <c r="H123" i="71"/>
  <c r="I123" i="71"/>
  <c r="J123" i="71"/>
  <c r="K123" i="71"/>
  <c r="L123" i="71"/>
  <c r="M123" i="71"/>
  <c r="N123" i="71"/>
  <c r="O123" i="71"/>
  <c r="P123" i="71"/>
  <c r="Q123" i="71"/>
  <c r="R123" i="71"/>
  <c r="S123" i="71"/>
  <c r="T123" i="71"/>
  <c r="U123" i="71"/>
  <c r="V123" i="71"/>
  <c r="W123" i="71"/>
  <c r="D126" i="71"/>
  <c r="E126" i="71"/>
  <c r="F126" i="71"/>
  <c r="G126" i="71"/>
  <c r="H126" i="71"/>
  <c r="I126" i="71"/>
  <c r="J126" i="71"/>
  <c r="K126" i="71"/>
  <c r="L126" i="71"/>
  <c r="M126" i="71"/>
  <c r="N126" i="71"/>
  <c r="O126" i="71"/>
  <c r="P126" i="71"/>
  <c r="Q126" i="71"/>
  <c r="R126" i="71"/>
  <c r="S126" i="71"/>
  <c r="T126" i="71"/>
  <c r="U126" i="71"/>
  <c r="V126" i="71"/>
  <c r="W126" i="71"/>
  <c r="E127" i="71"/>
  <c r="F127" i="71"/>
  <c r="G127" i="71"/>
  <c r="H127" i="71"/>
  <c r="I127" i="71"/>
  <c r="J127" i="71"/>
  <c r="K127" i="71"/>
  <c r="L127" i="71"/>
  <c r="M127" i="71"/>
  <c r="N127" i="71"/>
  <c r="O127" i="71"/>
  <c r="P127" i="71"/>
  <c r="Q127" i="71"/>
  <c r="R127" i="71"/>
  <c r="S127" i="71"/>
  <c r="T127" i="71"/>
  <c r="U127" i="71"/>
  <c r="V127" i="71"/>
  <c r="W127" i="71"/>
  <c r="F128" i="71"/>
  <c r="G128" i="71"/>
  <c r="H128" i="71"/>
  <c r="I128" i="71"/>
  <c r="J128" i="71"/>
  <c r="K128" i="71"/>
  <c r="L128" i="71"/>
  <c r="M128" i="71"/>
  <c r="N128" i="71"/>
  <c r="O128" i="71"/>
  <c r="P128" i="71"/>
  <c r="Q128" i="71"/>
  <c r="R128" i="71"/>
  <c r="S128" i="71"/>
  <c r="T128" i="71"/>
  <c r="U128" i="71"/>
  <c r="V128" i="71"/>
  <c r="W128" i="71"/>
  <c r="G129" i="71"/>
  <c r="H129" i="71"/>
  <c r="I129" i="71"/>
  <c r="J129" i="71"/>
  <c r="K129" i="71"/>
  <c r="L129" i="71"/>
  <c r="M129" i="71"/>
  <c r="N129" i="71"/>
  <c r="O129" i="71"/>
  <c r="P129" i="71"/>
  <c r="Q129" i="71"/>
  <c r="R129" i="71"/>
  <c r="S129" i="71"/>
  <c r="T129" i="71"/>
  <c r="U129" i="71"/>
  <c r="V129" i="71"/>
  <c r="W129" i="71"/>
  <c r="H130" i="71"/>
  <c r="I130" i="71"/>
  <c r="J130" i="71"/>
  <c r="K130" i="71"/>
  <c r="L130" i="71"/>
  <c r="M130" i="71"/>
  <c r="N130" i="71"/>
  <c r="O130" i="71"/>
  <c r="P130" i="71"/>
  <c r="Q130" i="71"/>
  <c r="R130" i="71"/>
  <c r="S130" i="71"/>
  <c r="T130" i="71"/>
  <c r="U130" i="71"/>
  <c r="V130" i="71"/>
  <c r="W130" i="71"/>
  <c r="D131" i="71"/>
  <c r="E131" i="71"/>
  <c r="F131" i="71"/>
  <c r="G131" i="71"/>
  <c r="H131" i="71"/>
  <c r="I131" i="71"/>
  <c r="J131" i="71"/>
  <c r="K131" i="71"/>
  <c r="L131" i="71"/>
  <c r="M131" i="71"/>
  <c r="N131" i="71"/>
  <c r="O131" i="71"/>
  <c r="P131" i="71"/>
  <c r="Q131" i="71"/>
  <c r="R131" i="71"/>
  <c r="S131" i="71"/>
  <c r="T131" i="71"/>
  <c r="U131" i="71"/>
  <c r="V131" i="71"/>
  <c r="W131" i="71"/>
  <c r="E134" i="71"/>
  <c r="F134" i="71"/>
  <c r="G134" i="71"/>
  <c r="H134" i="71"/>
  <c r="I134" i="71"/>
  <c r="J134" i="71"/>
  <c r="K134" i="71"/>
  <c r="L134" i="71"/>
  <c r="M134" i="71"/>
  <c r="N134" i="71"/>
  <c r="O134" i="71"/>
  <c r="P134" i="71"/>
  <c r="Q134" i="71"/>
  <c r="R134" i="71"/>
  <c r="S134" i="71"/>
  <c r="T134" i="71"/>
  <c r="U134" i="71"/>
  <c r="V134" i="71"/>
  <c r="W134" i="71"/>
  <c r="D136" i="71"/>
  <c r="E136" i="71"/>
  <c r="F136" i="71"/>
  <c r="G136" i="71"/>
  <c r="H136" i="71"/>
  <c r="I136" i="71"/>
  <c r="J136" i="71"/>
  <c r="K136" i="71"/>
  <c r="L136" i="71"/>
  <c r="M136" i="71"/>
  <c r="N136" i="71"/>
  <c r="O136" i="71"/>
  <c r="P136" i="71"/>
  <c r="Q136" i="71"/>
  <c r="R136" i="71"/>
  <c r="S136" i="71"/>
  <c r="T136" i="71"/>
  <c r="U136" i="71"/>
  <c r="V136" i="71"/>
  <c r="W136" i="71"/>
  <c r="D141" i="71"/>
  <c r="E141" i="71"/>
  <c r="F141" i="71"/>
  <c r="G141" i="71"/>
  <c r="H141" i="71"/>
  <c r="I141" i="71"/>
  <c r="J141" i="71"/>
  <c r="K141" i="71"/>
  <c r="L141" i="71"/>
  <c r="M141" i="71"/>
  <c r="N141" i="71"/>
  <c r="O141" i="71"/>
  <c r="P141" i="71"/>
  <c r="Q141" i="71"/>
  <c r="R141" i="71"/>
  <c r="S141" i="71"/>
  <c r="T141" i="71"/>
  <c r="U141" i="71"/>
  <c r="V141" i="71"/>
  <c r="W141" i="71"/>
  <c r="D142" i="71"/>
  <c r="E142" i="71"/>
  <c r="F142" i="71"/>
  <c r="G142" i="71"/>
  <c r="H142" i="71"/>
  <c r="I142" i="71"/>
  <c r="J142" i="71"/>
  <c r="K142" i="71"/>
  <c r="L142" i="71"/>
  <c r="M142" i="71"/>
  <c r="N142" i="71"/>
  <c r="O142" i="71"/>
  <c r="P142" i="71"/>
  <c r="Q142" i="71"/>
  <c r="R142" i="71"/>
  <c r="S142" i="71"/>
  <c r="T142" i="71"/>
  <c r="U142" i="71"/>
  <c r="V142" i="71"/>
  <c r="W142" i="71"/>
  <c r="D144" i="71"/>
  <c r="E144" i="71"/>
  <c r="F144" i="71"/>
  <c r="G144" i="71"/>
  <c r="H144" i="71"/>
  <c r="I144" i="71"/>
  <c r="J144" i="71"/>
  <c r="K144" i="71"/>
  <c r="L144" i="71"/>
  <c r="M144" i="71"/>
  <c r="N144" i="71"/>
  <c r="O144" i="71"/>
  <c r="P144" i="71"/>
  <c r="Q144" i="71"/>
  <c r="R144" i="71"/>
  <c r="S144" i="71"/>
  <c r="T144" i="71"/>
  <c r="U144" i="71"/>
  <c r="V144" i="71"/>
  <c r="W144" i="71"/>
  <c r="D145" i="71"/>
  <c r="E145" i="71"/>
  <c r="F145" i="71"/>
  <c r="G145" i="71"/>
  <c r="H145" i="71"/>
  <c r="I145" i="71"/>
  <c r="J145" i="71"/>
  <c r="K145" i="71"/>
  <c r="L145" i="71"/>
  <c r="M145" i="71"/>
  <c r="N145" i="71"/>
  <c r="O145" i="71"/>
  <c r="P145" i="71"/>
  <c r="Q145" i="71"/>
  <c r="R145" i="71"/>
  <c r="S145" i="71"/>
  <c r="T145" i="71"/>
  <c r="U145" i="71"/>
  <c r="V145" i="71"/>
  <c r="W145" i="71"/>
  <c r="D147" i="71"/>
  <c r="E147" i="71"/>
  <c r="F147" i="71"/>
  <c r="G147" i="71"/>
  <c r="H147" i="71"/>
  <c r="I147" i="71"/>
  <c r="J147" i="71"/>
  <c r="K147" i="71"/>
  <c r="L147" i="71"/>
  <c r="M147" i="71"/>
  <c r="N147" i="71"/>
  <c r="O147" i="71"/>
  <c r="P147" i="71"/>
  <c r="Q147" i="71"/>
  <c r="R147" i="71"/>
  <c r="S147" i="71"/>
  <c r="T147" i="71"/>
  <c r="U147" i="71"/>
  <c r="V147" i="71"/>
  <c r="W147" i="71"/>
  <c r="D148" i="71"/>
  <c r="E148" i="71"/>
  <c r="F148" i="71"/>
  <c r="G148" i="71"/>
  <c r="H148" i="71"/>
  <c r="I148" i="71"/>
  <c r="J148" i="71"/>
  <c r="K148" i="71"/>
  <c r="L148" i="71"/>
  <c r="M148" i="71"/>
  <c r="N148" i="71"/>
  <c r="O148" i="71"/>
  <c r="P148" i="71"/>
  <c r="Q148" i="71"/>
  <c r="R148" i="71"/>
  <c r="S148" i="71"/>
  <c r="T148" i="71"/>
  <c r="U148" i="71"/>
  <c r="V148" i="71"/>
  <c r="W148" i="71"/>
  <c r="E151" i="71"/>
  <c r="F151" i="71"/>
  <c r="G151" i="71"/>
  <c r="H151" i="71"/>
  <c r="I151" i="71"/>
  <c r="J151" i="71"/>
  <c r="K151" i="71"/>
  <c r="L151" i="71"/>
  <c r="M151" i="71"/>
  <c r="N151" i="71"/>
  <c r="O151" i="71"/>
  <c r="P151" i="71"/>
  <c r="Q151" i="71"/>
  <c r="R151" i="71"/>
  <c r="S151" i="71"/>
  <c r="T151" i="71"/>
  <c r="U151" i="71"/>
  <c r="V151" i="71"/>
  <c r="W151" i="71"/>
  <c r="D155" i="71"/>
  <c r="E155" i="71"/>
  <c r="F155" i="71"/>
  <c r="G155" i="71"/>
  <c r="H155" i="71"/>
  <c r="I155" i="71"/>
  <c r="J155" i="71"/>
  <c r="K155" i="71"/>
  <c r="L155" i="71"/>
  <c r="M155" i="71"/>
  <c r="N155" i="71"/>
  <c r="O155" i="71"/>
  <c r="P155" i="71"/>
  <c r="Q155" i="71"/>
  <c r="R155" i="71"/>
  <c r="S155" i="71"/>
  <c r="T155" i="71"/>
  <c r="U155" i="71"/>
  <c r="V155" i="71"/>
  <c r="W155" i="71"/>
  <c r="E156" i="71"/>
  <c r="F156" i="71"/>
  <c r="G156" i="71"/>
  <c r="H156" i="71"/>
  <c r="I156" i="71"/>
  <c r="J156" i="71"/>
  <c r="K156" i="71"/>
  <c r="L156" i="71"/>
  <c r="M156" i="71"/>
  <c r="N156" i="71"/>
  <c r="O156" i="71"/>
  <c r="P156" i="71"/>
  <c r="Q156" i="71"/>
  <c r="R156" i="71"/>
  <c r="S156" i="71"/>
  <c r="T156" i="71"/>
  <c r="U156" i="71"/>
  <c r="V156" i="71"/>
  <c r="W156" i="71"/>
  <c r="F157" i="71"/>
  <c r="G157" i="71"/>
  <c r="H157" i="71"/>
  <c r="I157" i="71"/>
  <c r="J157" i="71"/>
  <c r="K157" i="71"/>
  <c r="L157" i="71"/>
  <c r="M157" i="71"/>
  <c r="N157" i="71"/>
  <c r="O157" i="71"/>
  <c r="P157" i="71"/>
  <c r="Q157" i="71"/>
  <c r="R157" i="71"/>
  <c r="S157" i="71"/>
  <c r="T157" i="71"/>
  <c r="U157" i="71"/>
  <c r="V157" i="71"/>
  <c r="W157" i="71"/>
  <c r="D158" i="71"/>
  <c r="E158" i="71"/>
  <c r="F158" i="71"/>
  <c r="G158" i="71"/>
  <c r="H158" i="71"/>
  <c r="I158" i="71"/>
  <c r="J158" i="71"/>
  <c r="K158" i="71"/>
  <c r="L158" i="71"/>
  <c r="M158" i="71"/>
  <c r="N158" i="71"/>
  <c r="O158" i="71"/>
  <c r="P158" i="71"/>
  <c r="Q158" i="71"/>
  <c r="R158" i="71"/>
  <c r="S158" i="71"/>
  <c r="T158" i="71"/>
  <c r="U158" i="71"/>
  <c r="V158" i="71"/>
  <c r="W158" i="71"/>
  <c r="D160" i="71"/>
  <c r="E160" i="71"/>
  <c r="F160" i="71"/>
  <c r="G160" i="71"/>
  <c r="H160" i="71"/>
  <c r="I160" i="71"/>
  <c r="J160" i="71"/>
  <c r="K160" i="71"/>
  <c r="L160" i="71"/>
  <c r="M160" i="71"/>
  <c r="N160" i="71"/>
  <c r="O160" i="71"/>
  <c r="P160" i="71"/>
  <c r="Q160" i="71"/>
  <c r="R160" i="71"/>
  <c r="S160" i="71"/>
  <c r="T160" i="71"/>
  <c r="U160" i="71"/>
  <c r="V160" i="71"/>
  <c r="W160" i="71"/>
  <c r="E161" i="71"/>
  <c r="F161" i="71"/>
  <c r="G161" i="71"/>
  <c r="H161" i="71"/>
  <c r="I161" i="71"/>
  <c r="J161" i="71"/>
  <c r="K161" i="71"/>
  <c r="L161" i="71"/>
  <c r="M161" i="71"/>
  <c r="N161" i="71"/>
  <c r="O161" i="71"/>
  <c r="P161" i="71"/>
  <c r="Q161" i="71"/>
  <c r="R161" i="71"/>
  <c r="S161" i="71"/>
  <c r="T161" i="71"/>
  <c r="U161" i="71"/>
  <c r="V161" i="71"/>
  <c r="W161" i="71"/>
  <c r="F162" i="71"/>
  <c r="G162" i="71"/>
  <c r="H162" i="71"/>
  <c r="I162" i="71"/>
  <c r="J162" i="71"/>
  <c r="K162" i="71"/>
  <c r="L162" i="71"/>
  <c r="M162" i="71"/>
  <c r="N162" i="71"/>
  <c r="O162" i="71"/>
  <c r="P162" i="71"/>
  <c r="Q162" i="71"/>
  <c r="R162" i="71"/>
  <c r="S162" i="71"/>
  <c r="T162" i="71"/>
  <c r="U162" i="71"/>
  <c r="V162" i="71"/>
  <c r="W162" i="71"/>
  <c r="G163" i="71"/>
  <c r="H163" i="71"/>
  <c r="I163" i="71"/>
  <c r="J163" i="71"/>
  <c r="K163" i="71"/>
  <c r="L163" i="71"/>
  <c r="M163" i="71"/>
  <c r="N163" i="71"/>
  <c r="O163" i="71"/>
  <c r="P163" i="71"/>
  <c r="Q163" i="71"/>
  <c r="R163" i="71"/>
  <c r="S163" i="71"/>
  <c r="T163" i="71"/>
  <c r="U163" i="71"/>
  <c r="V163" i="71"/>
  <c r="W163" i="71"/>
  <c r="H164" i="71"/>
  <c r="I164" i="71"/>
  <c r="J164" i="71"/>
  <c r="K164" i="71"/>
  <c r="L164" i="71"/>
  <c r="M164" i="71"/>
  <c r="N164" i="71"/>
  <c r="O164" i="71"/>
  <c r="P164" i="71"/>
  <c r="Q164" i="71"/>
  <c r="R164" i="71"/>
  <c r="S164" i="71"/>
  <c r="T164" i="71"/>
  <c r="U164" i="71"/>
  <c r="V164" i="71"/>
  <c r="W164" i="71"/>
  <c r="D165" i="71"/>
  <c r="E165" i="71"/>
  <c r="F165" i="71"/>
  <c r="G165" i="71"/>
  <c r="H165" i="71"/>
  <c r="I165" i="71"/>
  <c r="J165" i="71"/>
  <c r="K165" i="71"/>
  <c r="L165" i="71"/>
  <c r="M165" i="71"/>
  <c r="N165" i="71"/>
  <c r="O165" i="71"/>
  <c r="P165" i="71"/>
  <c r="Q165" i="71"/>
  <c r="R165" i="71"/>
  <c r="S165" i="71"/>
  <c r="T165" i="71"/>
  <c r="U165" i="71"/>
  <c r="V165" i="71"/>
  <c r="W165" i="71"/>
  <c r="E167" i="71"/>
  <c r="F167" i="71"/>
  <c r="G167" i="71"/>
  <c r="H167" i="71"/>
  <c r="I167" i="71"/>
  <c r="J167" i="71"/>
  <c r="K167" i="71"/>
  <c r="L167" i="71"/>
  <c r="M167" i="71"/>
  <c r="N167" i="71"/>
  <c r="O167" i="71"/>
  <c r="P167" i="71"/>
  <c r="Q167" i="71"/>
  <c r="R167" i="71"/>
  <c r="S167" i="71"/>
  <c r="T167" i="71"/>
  <c r="U167" i="71"/>
  <c r="V167" i="71"/>
  <c r="W167" i="71"/>
  <c r="D169" i="71"/>
  <c r="E169" i="71"/>
  <c r="F169" i="71"/>
  <c r="G169" i="71"/>
  <c r="H169" i="71"/>
  <c r="I169" i="71"/>
  <c r="J169" i="71"/>
  <c r="K169" i="71"/>
  <c r="L169" i="71"/>
  <c r="M169" i="71"/>
  <c r="N169" i="71"/>
  <c r="O169" i="71"/>
  <c r="P169" i="71"/>
  <c r="Q169" i="71"/>
  <c r="R169" i="71"/>
  <c r="S169" i="71"/>
  <c r="T169" i="71"/>
  <c r="U169" i="71"/>
  <c r="V169" i="71"/>
  <c r="W169" i="71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AA10" i="12"/>
  <c r="AB10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AA11" i="12"/>
  <c r="AB11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AA12" i="12"/>
  <c r="AB12" i="12"/>
  <c r="AA13" i="12"/>
  <c r="AB13" i="12"/>
  <c r="AA14" i="12"/>
  <c r="AB14" i="12"/>
  <c r="AA15" i="12"/>
  <c r="AB15" i="12"/>
  <c r="AA16" i="12"/>
  <c r="AB16" i="12"/>
  <c r="AA17" i="12"/>
  <c r="AB17" i="12"/>
  <c r="AA18" i="12"/>
  <c r="AB18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AA19" i="12"/>
  <c r="AB19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AA20" i="12"/>
  <c r="AB20" i="12"/>
  <c r="AA21" i="12"/>
  <c r="AB21" i="12"/>
  <c r="AA22" i="12"/>
  <c r="AB22" i="12"/>
  <c r="AA23" i="12"/>
  <c r="AB23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AA24" i="12"/>
  <c r="AB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AA25" i="12"/>
  <c r="AB25" i="12"/>
  <c r="AA26" i="12"/>
  <c r="AB26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AA27" i="12"/>
  <c r="AB27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AA28" i="12"/>
  <c r="AB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AA29" i="12"/>
  <c r="AB29" i="12"/>
  <c r="AA30" i="12"/>
  <c r="AB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AA31" i="12"/>
  <c r="AB31" i="12"/>
  <c r="AA32" i="12"/>
  <c r="AB32" i="12"/>
  <c r="AA33" i="12"/>
  <c r="AB33" i="12"/>
  <c r="AA34" i="12"/>
  <c r="AB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AA35" i="12"/>
  <c r="AB35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AA36" i="12"/>
  <c r="AB36" i="12"/>
  <c r="AA37" i="12"/>
  <c r="AB37" i="12"/>
  <c r="AA38" i="12"/>
  <c r="AB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AA39" i="12"/>
  <c r="AB39" i="12"/>
  <c r="AA40" i="12"/>
  <c r="AB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AA41" i="12"/>
  <c r="AB41" i="12"/>
  <c r="AA42" i="12"/>
  <c r="AB42" i="12"/>
  <c r="AA43" i="12"/>
  <c r="AB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AA44" i="12"/>
  <c r="AB44" i="12"/>
  <c r="AA45" i="12"/>
  <c r="AB45" i="12"/>
  <c r="AA46" i="12"/>
  <c r="AB46" i="12"/>
  <c r="AA47" i="12"/>
  <c r="AB47" i="12"/>
  <c r="AA48" i="12"/>
  <c r="AB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AA49" i="12"/>
  <c r="AB49" i="12"/>
  <c r="AA50" i="12"/>
  <c r="AB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AA51" i="12"/>
  <c r="AB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AA52" i="12"/>
  <c r="AB52" i="12"/>
  <c r="AA53" i="12"/>
  <c r="AB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AA54" i="12"/>
  <c r="AB54" i="12"/>
  <c r="B55" i="12"/>
  <c r="AA55" i="12"/>
  <c r="AB55" i="12"/>
  <c r="AA56" i="12"/>
  <c r="AB56" i="12"/>
  <c r="AA57" i="12"/>
  <c r="AB57" i="12"/>
  <c r="AA58" i="12"/>
  <c r="AB58" i="12"/>
  <c r="AA59" i="12"/>
  <c r="AB59" i="12"/>
  <c r="AA60" i="12"/>
  <c r="AB60" i="12"/>
  <c r="AA61" i="12"/>
  <c r="AB61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AA62" i="12"/>
  <c r="AB62" i="12"/>
  <c r="AA63" i="12"/>
  <c r="AB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AA64" i="12"/>
  <c r="AB64" i="12"/>
  <c r="AA65" i="12"/>
  <c r="AB65" i="12"/>
  <c r="AA66" i="12"/>
  <c r="AB66" i="12"/>
  <c r="AA67" i="12"/>
  <c r="AB67" i="12"/>
  <c r="AA68" i="12"/>
  <c r="AB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AA69" i="12"/>
  <c r="AB69" i="12"/>
  <c r="AA70" i="12"/>
  <c r="AB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AA71" i="12"/>
  <c r="AB71" i="12"/>
  <c r="AA72" i="12"/>
  <c r="AB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AA73" i="12"/>
  <c r="AB73" i="12"/>
  <c r="AA74" i="12"/>
  <c r="AB74" i="12"/>
  <c r="AA75" i="12"/>
  <c r="AB75" i="12"/>
  <c r="C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AA76" i="12"/>
  <c r="AB76" i="12"/>
  <c r="C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AA77" i="12"/>
  <c r="AB77" i="12"/>
  <c r="AA78" i="12"/>
  <c r="AB78" i="12"/>
  <c r="AA79" i="12"/>
  <c r="AB79" i="12"/>
  <c r="AA80" i="12"/>
  <c r="AB80" i="12"/>
  <c r="AA81" i="12"/>
  <c r="AB81" i="12"/>
  <c r="AA82" i="12"/>
  <c r="AB82" i="12"/>
  <c r="AA83" i="12"/>
  <c r="AB83" i="12"/>
  <c r="AA84" i="12"/>
  <c r="AB84" i="12"/>
  <c r="AA85" i="12"/>
  <c r="AB85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AA86" i="12"/>
  <c r="AB86" i="12"/>
  <c r="AA87" i="12"/>
  <c r="AB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AA88" i="12"/>
  <c r="AB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AA89" i="12"/>
  <c r="AB89" i="12"/>
  <c r="V90" i="12"/>
  <c r="AA90" i="12"/>
  <c r="AB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AA91" i="12"/>
  <c r="AB91" i="12"/>
  <c r="AA92" i="12"/>
  <c r="AB92" i="12"/>
  <c r="AA93" i="12"/>
  <c r="AB93" i="12"/>
  <c r="E94" i="12"/>
  <c r="Y94" i="12"/>
  <c r="AA94" i="12"/>
  <c r="AB94" i="12"/>
  <c r="AA95" i="12"/>
  <c r="AB95" i="12"/>
  <c r="Y96" i="12"/>
  <c r="AA96" i="12"/>
  <c r="AB96" i="12"/>
  <c r="AA97" i="12"/>
  <c r="AB97" i="12"/>
  <c r="Y98" i="12"/>
  <c r="AA98" i="12"/>
  <c r="AB98" i="12"/>
  <c r="AA99" i="12"/>
  <c r="AB99" i="12"/>
  <c r="AA100" i="12"/>
  <c r="AB100" i="12"/>
  <c r="D101" i="12"/>
  <c r="AA101" i="12"/>
  <c r="AB101" i="12"/>
  <c r="D102" i="12"/>
  <c r="AA102" i="12"/>
  <c r="AB102" i="12"/>
  <c r="AA103" i="12"/>
  <c r="AB103" i="12"/>
  <c r="D104" i="12"/>
  <c r="AA104" i="12"/>
  <c r="AB104" i="12"/>
  <c r="AA105" i="12"/>
  <c r="AB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AA106" i="12"/>
  <c r="AB106" i="12"/>
  <c r="AA107" i="12"/>
  <c r="AB107" i="12"/>
  <c r="D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AA108" i="12"/>
  <c r="AB108" i="12"/>
  <c r="D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AA109" i="12"/>
  <c r="AB109" i="12"/>
  <c r="AA110" i="12"/>
  <c r="AB110" i="12"/>
  <c r="AA111" i="12"/>
  <c r="AB111" i="12"/>
  <c r="D112" i="12"/>
  <c r="AA112" i="12"/>
  <c r="AB112" i="12"/>
  <c r="AA113" i="12"/>
  <c r="AB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AA114" i="12"/>
  <c r="AB114" i="12"/>
  <c r="D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AA115" i="12"/>
  <c r="AB115" i="12"/>
  <c r="AA116" i="12"/>
  <c r="AB116" i="12"/>
  <c r="AA117" i="12"/>
  <c r="AB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AA118" i="12"/>
  <c r="AB118" i="12"/>
  <c r="AA119" i="12"/>
  <c r="AB119" i="12"/>
  <c r="A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AA120" i="12"/>
  <c r="AB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AA121" i="12"/>
  <c r="AB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AA122" i="12"/>
  <c r="AB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AA123" i="12"/>
  <c r="AB123" i="12"/>
  <c r="AA124" i="12"/>
  <c r="AB124" i="12"/>
  <c r="C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AA125" i="12"/>
  <c r="AB125" i="12"/>
  <c r="C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AA126" i="12"/>
  <c r="AB126" i="12"/>
  <c r="AA127" i="12"/>
  <c r="AB127" i="12"/>
  <c r="AA128" i="12"/>
  <c r="AB128" i="12"/>
  <c r="AA129" i="12"/>
  <c r="AB129" i="12"/>
  <c r="AA130" i="12"/>
  <c r="AB130" i="12"/>
  <c r="AA131" i="12"/>
  <c r="AB131" i="12"/>
  <c r="AA132" i="12"/>
  <c r="AB132" i="12"/>
  <c r="AA133" i="12"/>
  <c r="AB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AA134" i="12"/>
  <c r="AB134" i="12"/>
  <c r="AA135" i="12"/>
  <c r="AB135" i="12"/>
  <c r="AA136" i="12"/>
  <c r="AB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AA137" i="12"/>
  <c r="AB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AA138" i="12"/>
  <c r="AB138" i="12"/>
  <c r="C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AA139" i="12"/>
  <c r="AB139" i="12"/>
  <c r="C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AA140" i="12"/>
  <c r="AB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AA141" i="12"/>
  <c r="AB141" i="12"/>
  <c r="AA142" i="12"/>
  <c r="AB142" i="12"/>
  <c r="A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AA143" i="12"/>
  <c r="AB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AA144" i="12"/>
  <c r="AB144" i="12"/>
  <c r="AA145" i="12"/>
  <c r="AB145" i="12"/>
  <c r="AA146" i="12"/>
  <c r="AB146" i="12"/>
  <c r="AA147" i="12"/>
  <c r="AB147" i="12"/>
  <c r="AA148" i="12"/>
  <c r="AB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AA149" i="12"/>
  <c r="AB149" i="12"/>
  <c r="AA150" i="12"/>
  <c r="AB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AA151" i="12"/>
  <c r="AB151" i="12"/>
  <c r="C154" i="12"/>
  <c r="C155" i="12"/>
  <c r="D159" i="12"/>
  <c r="F160" i="12"/>
  <c r="D161" i="12"/>
  <c r="D162" i="1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F10" i="22"/>
  <c r="G10" i="22"/>
  <c r="H10" i="22"/>
  <c r="I10" i="22"/>
  <c r="J10" i="22"/>
  <c r="AA10" i="22"/>
  <c r="AB10" i="22"/>
  <c r="F11" i="22"/>
  <c r="G11" i="22"/>
  <c r="H11" i="22"/>
  <c r="I11" i="22"/>
  <c r="J11" i="22"/>
  <c r="AA11" i="22"/>
  <c r="AB11" i="22"/>
  <c r="AA12" i="22"/>
  <c r="AB12" i="22"/>
  <c r="AA13" i="22"/>
  <c r="AB13" i="22"/>
  <c r="AA14" i="22"/>
  <c r="AB14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AA15" i="22"/>
  <c r="AB15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AA16" i="22"/>
  <c r="AB16" i="22"/>
  <c r="AA17" i="22"/>
  <c r="AB17" i="22"/>
  <c r="AA18" i="22"/>
  <c r="AB18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AA19" i="22"/>
  <c r="AB19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AA20" i="22"/>
  <c r="AB20" i="22"/>
  <c r="AA21" i="22"/>
  <c r="AB21" i="22"/>
  <c r="AA22" i="22"/>
  <c r="AB22" i="22"/>
  <c r="AA23" i="22"/>
  <c r="AB23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AA24" i="22"/>
  <c r="AB24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AA25" i="22"/>
  <c r="AB25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AA26" i="22"/>
  <c r="AB26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AA27" i="22"/>
  <c r="AB27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AA28" i="22"/>
  <c r="AB28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AA29" i="22"/>
  <c r="AB29" i="22"/>
  <c r="AA30" i="22"/>
  <c r="AB30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AA31" i="22"/>
  <c r="AB31" i="22"/>
  <c r="AA32" i="22"/>
  <c r="AB32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AA33" i="22"/>
  <c r="AB33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AA34" i="22"/>
  <c r="AB34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AA35" i="22"/>
  <c r="AB35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AA36" i="22"/>
  <c r="AB36" i="22"/>
  <c r="AA37" i="22"/>
  <c r="AB37" i="22"/>
  <c r="AA38" i="22"/>
  <c r="AB38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AA39" i="22"/>
  <c r="AB39" i="22"/>
  <c r="AA40" i="22"/>
  <c r="AB40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41" i="22"/>
  <c r="AA41" i="22"/>
  <c r="AB41" i="22"/>
  <c r="AA42" i="22"/>
  <c r="AB42" i="22"/>
  <c r="AA43" i="22"/>
  <c r="AB43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44" i="22"/>
  <c r="AA44" i="22"/>
  <c r="AB44" i="22"/>
  <c r="AA45" i="22"/>
  <c r="AB45" i="22"/>
  <c r="AA46" i="22"/>
  <c r="AB46" i="22"/>
  <c r="AA47" i="22"/>
  <c r="AB47" i="22"/>
  <c r="AA48" i="22"/>
  <c r="AB48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AA49" i="22"/>
  <c r="AB49" i="22"/>
  <c r="AA50" i="22"/>
  <c r="AB50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AA51" i="22"/>
  <c r="AB51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AA52" i="22"/>
  <c r="AB52" i="22"/>
  <c r="AA53" i="22"/>
  <c r="AB53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AA54" i="22"/>
  <c r="AB54" i="22"/>
  <c r="AA55" i="22"/>
  <c r="AB55" i="22"/>
  <c r="AA56" i="22"/>
  <c r="AB56" i="22"/>
  <c r="AA57" i="22"/>
  <c r="AB57" i="22"/>
  <c r="AA58" i="22"/>
  <c r="AB58" i="22"/>
  <c r="AA59" i="22"/>
  <c r="AB59" i="22"/>
  <c r="AA60" i="22"/>
  <c r="AB60" i="22"/>
  <c r="AA61" i="22"/>
  <c r="AB61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AA62" i="22"/>
  <c r="AB62" i="22"/>
  <c r="AA63" i="22"/>
  <c r="AB63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AA64" i="22"/>
  <c r="AB64" i="22"/>
  <c r="AA65" i="22"/>
  <c r="AB65" i="22"/>
  <c r="AA66" i="22"/>
  <c r="AB66" i="22"/>
  <c r="AA67" i="22"/>
  <c r="AB67" i="22"/>
  <c r="AA68" i="22"/>
  <c r="AB68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W69" i="22"/>
  <c r="X69" i="22"/>
  <c r="Y69" i="22"/>
  <c r="AA69" i="22"/>
  <c r="AB69" i="22"/>
  <c r="AA70" i="22"/>
  <c r="AB70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W71" i="22"/>
  <c r="X71" i="22"/>
  <c r="Y71" i="22"/>
  <c r="AA71" i="22"/>
  <c r="AB71" i="22"/>
  <c r="AA72" i="22"/>
  <c r="AB72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AA73" i="22"/>
  <c r="AB73" i="22"/>
  <c r="AA74" i="22"/>
  <c r="AB74" i="22"/>
  <c r="AA75" i="22"/>
  <c r="AB75" i="22"/>
  <c r="C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AA76" i="22"/>
  <c r="AB76" i="22"/>
  <c r="C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AA77" i="22"/>
  <c r="AB77" i="22"/>
  <c r="AA78" i="22"/>
  <c r="AB78" i="22"/>
  <c r="AA79" i="22"/>
  <c r="AB79" i="22"/>
  <c r="AA80" i="22"/>
  <c r="AB80" i="22"/>
  <c r="AA81" i="22"/>
  <c r="AB81" i="22"/>
  <c r="AA82" i="22"/>
  <c r="AB82" i="22"/>
  <c r="AA83" i="22"/>
  <c r="AB83" i="22"/>
  <c r="AA84" i="22"/>
  <c r="AB84" i="22"/>
  <c r="AA85" i="22"/>
  <c r="AB85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AA86" i="22"/>
  <c r="AB86" i="22"/>
  <c r="AA87" i="22"/>
  <c r="AB87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AA88" i="22"/>
  <c r="AB88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AA89" i="22"/>
  <c r="AB89" i="22"/>
  <c r="Y90" i="22"/>
  <c r="AA90" i="22"/>
  <c r="AB90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X91" i="22"/>
  <c r="Y91" i="22"/>
  <c r="AA91" i="22"/>
  <c r="AB91" i="22"/>
  <c r="AA92" i="22"/>
  <c r="AB92" i="22"/>
  <c r="AA93" i="22"/>
  <c r="AB93" i="22"/>
  <c r="E94" i="22"/>
  <c r="Y94" i="22"/>
  <c r="AA94" i="22"/>
  <c r="AB94" i="22"/>
  <c r="AA95" i="22"/>
  <c r="AB95" i="22"/>
  <c r="Y96" i="22"/>
  <c r="AA96" i="22"/>
  <c r="AB96" i="22"/>
  <c r="AA97" i="22"/>
  <c r="AB97" i="22"/>
  <c r="Y98" i="22"/>
  <c r="AA98" i="22"/>
  <c r="AB98" i="22"/>
  <c r="AA99" i="22"/>
  <c r="AB99" i="22"/>
  <c r="AA100" i="22"/>
  <c r="AB100" i="22"/>
  <c r="D101" i="22"/>
  <c r="AA101" i="22"/>
  <c r="AB101" i="22"/>
  <c r="D102" i="22"/>
  <c r="AA102" i="22"/>
  <c r="AB102" i="22"/>
  <c r="AA103" i="22"/>
  <c r="AB103" i="22"/>
  <c r="D104" i="22"/>
  <c r="AA104" i="22"/>
  <c r="AB104" i="22"/>
  <c r="AA105" i="22"/>
  <c r="AB105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X106" i="22"/>
  <c r="Y106" i="22"/>
  <c r="AA106" i="22"/>
  <c r="AB106" i="22"/>
  <c r="AA107" i="22"/>
  <c r="AB107" i="22"/>
  <c r="D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X108" i="22"/>
  <c r="Y108" i="22"/>
  <c r="AA108" i="22"/>
  <c r="AB108" i="22"/>
  <c r="D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X109" i="22"/>
  <c r="Y109" i="22"/>
  <c r="AA109" i="22"/>
  <c r="AB109" i="22"/>
  <c r="AA110" i="22"/>
  <c r="AB110" i="22"/>
  <c r="AA111" i="22"/>
  <c r="AB111" i="22"/>
  <c r="D112" i="22"/>
  <c r="AA112" i="22"/>
  <c r="AB112" i="22"/>
  <c r="AA113" i="22"/>
  <c r="AB113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X114" i="22"/>
  <c r="Y114" i="22"/>
  <c r="AA114" i="22"/>
  <c r="AB114" i="22"/>
  <c r="D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X115" i="22"/>
  <c r="Y115" i="22"/>
  <c r="AA115" i="22"/>
  <c r="AB115" i="22"/>
  <c r="AA116" i="22"/>
  <c r="AB116" i="22"/>
  <c r="AA117" i="22"/>
  <c r="AB117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X118" i="22"/>
  <c r="Y118" i="22"/>
  <c r="AA118" i="22"/>
  <c r="AB118" i="22"/>
  <c r="AA119" i="22"/>
  <c r="AB119" i="22"/>
  <c r="A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X120" i="22"/>
  <c r="Y120" i="22"/>
  <c r="AA120" i="22"/>
  <c r="AB120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X121" i="22"/>
  <c r="Y121" i="22"/>
  <c r="AA121" i="22"/>
  <c r="AB121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AA122" i="22"/>
  <c r="AB122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X123" i="22"/>
  <c r="Y123" i="22"/>
  <c r="AA123" i="22"/>
  <c r="AB123" i="22"/>
  <c r="AA124" i="22"/>
  <c r="AB124" i="22"/>
  <c r="C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X125" i="22"/>
  <c r="Y125" i="22"/>
  <c r="AA125" i="22"/>
  <c r="AB125" i="22"/>
  <c r="C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X126" i="22"/>
  <c r="Y126" i="22"/>
  <c r="AA126" i="22"/>
  <c r="AB126" i="22"/>
  <c r="AA127" i="22"/>
  <c r="AB127" i="22"/>
  <c r="AA128" i="22"/>
  <c r="AB128" i="22"/>
  <c r="AA129" i="22"/>
  <c r="AB129" i="22"/>
  <c r="AA130" i="22"/>
  <c r="AB130" i="22"/>
  <c r="AA131" i="22"/>
  <c r="AB131" i="22"/>
  <c r="AA132" i="22"/>
  <c r="AB132" i="22"/>
  <c r="AA133" i="22"/>
  <c r="AB133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X134" i="22"/>
  <c r="Y134" i="22"/>
  <c r="AA134" i="22"/>
  <c r="AB134" i="22"/>
  <c r="AA135" i="22"/>
  <c r="AB135" i="22"/>
  <c r="AA136" i="22"/>
  <c r="AB136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X137" i="22"/>
  <c r="Y137" i="22"/>
  <c r="AA137" i="22"/>
  <c r="AB137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X138" i="22"/>
  <c r="Y138" i="22"/>
  <c r="AA138" i="22"/>
  <c r="AB138" i="22"/>
  <c r="C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X139" i="22"/>
  <c r="Y139" i="22"/>
  <c r="AA139" i="22"/>
  <c r="AB139" i="22"/>
  <c r="C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X140" i="22"/>
  <c r="Y140" i="22"/>
  <c r="AA140" i="22"/>
  <c r="AB140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X141" i="22"/>
  <c r="Y141" i="22"/>
  <c r="AA141" i="22"/>
  <c r="AB141" i="22"/>
  <c r="AA142" i="22"/>
  <c r="AB142" i="22"/>
  <c r="A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X143" i="22"/>
  <c r="Y143" i="22"/>
  <c r="AA143" i="22"/>
  <c r="AB143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X144" i="22"/>
  <c r="Y144" i="22"/>
  <c r="AA144" i="22"/>
  <c r="AB144" i="22"/>
  <c r="AA145" i="22"/>
  <c r="AB145" i="22"/>
  <c r="AA146" i="22"/>
  <c r="AB146" i="22"/>
  <c r="AA147" i="22"/>
  <c r="AB147" i="22"/>
  <c r="AA148" i="22"/>
  <c r="AB148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X149" i="22"/>
  <c r="Y149" i="22"/>
  <c r="AA149" i="22"/>
  <c r="AB149" i="22"/>
  <c r="AA150" i="22"/>
  <c r="AB150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X151" i="22"/>
  <c r="Y151" i="22"/>
  <c r="AA151" i="22"/>
  <c r="AB151" i="22"/>
  <c r="C154" i="22"/>
  <c r="C155" i="22"/>
  <c r="D159" i="22"/>
  <c r="F160" i="22"/>
  <c r="D161" i="22"/>
  <c r="D162" i="22"/>
  <c r="C10" i="70"/>
  <c r="E10" i="70"/>
  <c r="C15" i="70"/>
  <c r="E15" i="70"/>
  <c r="C17" i="70"/>
  <c r="E17" i="70"/>
  <c r="K8" i="56"/>
  <c r="K9" i="56"/>
  <c r="K10" i="56"/>
  <c r="K11" i="56"/>
  <c r="K12" i="56"/>
  <c r="D17" i="56"/>
  <c r="E17" i="56"/>
  <c r="G17" i="56"/>
  <c r="H17" i="56"/>
  <c r="I17" i="56"/>
  <c r="C18" i="56"/>
  <c r="D18" i="56"/>
  <c r="E18" i="56"/>
  <c r="G18" i="56"/>
  <c r="H18" i="56"/>
  <c r="I18" i="56"/>
  <c r="C19" i="56"/>
  <c r="D19" i="56"/>
  <c r="E19" i="56"/>
  <c r="G19" i="56"/>
  <c r="H19" i="56"/>
  <c r="I19" i="56"/>
  <c r="D26" i="56"/>
  <c r="E26" i="56"/>
  <c r="G26" i="56"/>
  <c r="H26" i="56"/>
  <c r="I26" i="56"/>
  <c r="C30" i="56"/>
  <c r="D30" i="56"/>
  <c r="E30" i="56"/>
  <c r="G30" i="56"/>
  <c r="H30" i="56"/>
  <c r="I30" i="56"/>
  <c r="C31" i="56"/>
  <c r="D31" i="56"/>
  <c r="E31" i="56"/>
  <c r="G31" i="56"/>
  <c r="H31" i="56"/>
  <c r="I31" i="56"/>
  <c r="C33" i="56"/>
  <c r="D33" i="56"/>
  <c r="E33" i="56"/>
  <c r="G33" i="56"/>
  <c r="H33" i="56"/>
  <c r="I33" i="56"/>
  <c r="C5" i="77"/>
  <c r="D5" i="77"/>
  <c r="E5" i="77"/>
  <c r="F5" i="77"/>
  <c r="G5" i="77"/>
  <c r="H5" i="77"/>
  <c r="I5" i="77"/>
  <c r="J5" i="77"/>
  <c r="K5" i="77"/>
  <c r="L5" i="77"/>
  <c r="M5" i="77"/>
  <c r="N5" i="77"/>
  <c r="O5" i="77"/>
  <c r="P5" i="77"/>
  <c r="Q5" i="77"/>
  <c r="R5" i="77"/>
  <c r="S5" i="77"/>
  <c r="T5" i="77"/>
  <c r="U5" i="77"/>
  <c r="B11" i="77"/>
  <c r="C11" i="77"/>
  <c r="D11" i="77"/>
  <c r="E11" i="77"/>
  <c r="F11" i="77"/>
  <c r="G11" i="77"/>
  <c r="H11" i="77"/>
  <c r="I11" i="77"/>
  <c r="J11" i="77"/>
  <c r="K11" i="77"/>
  <c r="L11" i="77"/>
  <c r="M11" i="77"/>
  <c r="N11" i="77"/>
  <c r="O11" i="77"/>
  <c r="P11" i="77"/>
  <c r="Q11" i="77"/>
  <c r="R11" i="77"/>
  <c r="S11" i="77"/>
  <c r="T11" i="77"/>
  <c r="U11" i="77"/>
  <c r="B14" i="77"/>
  <c r="C14" i="77"/>
  <c r="D14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B15" i="77"/>
  <c r="C15" i="77"/>
  <c r="D15" i="77"/>
  <c r="E15" i="77"/>
  <c r="F15" i="77"/>
  <c r="G15" i="77"/>
  <c r="H15" i="77"/>
  <c r="I15" i="77"/>
  <c r="J15" i="77"/>
  <c r="K15" i="77"/>
  <c r="L15" i="77"/>
  <c r="M15" i="77"/>
  <c r="N15" i="77"/>
  <c r="O15" i="77"/>
  <c r="P15" i="77"/>
  <c r="Q15" i="77"/>
  <c r="R15" i="77"/>
  <c r="S15" i="77"/>
  <c r="T15" i="77"/>
  <c r="U15" i="77"/>
  <c r="B16" i="77"/>
  <c r="C16" i="77"/>
  <c r="D16" i="77"/>
  <c r="E16" i="77"/>
  <c r="F16" i="77"/>
  <c r="G16" i="77"/>
  <c r="H16" i="77"/>
  <c r="I16" i="77"/>
  <c r="J16" i="77"/>
  <c r="K16" i="77"/>
  <c r="L16" i="77"/>
  <c r="M16" i="77"/>
  <c r="N16" i="77"/>
  <c r="O16" i="77"/>
  <c r="P16" i="77"/>
  <c r="Q16" i="77"/>
  <c r="R16" i="77"/>
  <c r="S16" i="77"/>
  <c r="T16" i="77"/>
  <c r="U16" i="77"/>
  <c r="B18" i="77"/>
  <c r="C18" i="77"/>
  <c r="D18" i="77"/>
  <c r="E18" i="77"/>
  <c r="F18" i="77"/>
  <c r="G18" i="77"/>
  <c r="H18" i="77"/>
  <c r="I18" i="77"/>
  <c r="J18" i="77"/>
  <c r="K18" i="77"/>
  <c r="L18" i="77"/>
  <c r="M18" i="77"/>
  <c r="N18" i="77"/>
  <c r="O18" i="77"/>
  <c r="P18" i="77"/>
  <c r="Q18" i="77"/>
  <c r="R18" i="77"/>
  <c r="S18" i="77"/>
  <c r="T18" i="77"/>
  <c r="U18" i="77"/>
  <c r="B23" i="77"/>
  <c r="C23" i="77"/>
  <c r="D23" i="77"/>
  <c r="E23" i="77"/>
  <c r="F23" i="77"/>
  <c r="G23" i="77"/>
  <c r="H23" i="77"/>
  <c r="I23" i="77"/>
  <c r="J23" i="77"/>
  <c r="K23" i="77"/>
  <c r="L23" i="77"/>
  <c r="M23" i="77"/>
  <c r="N23" i="77"/>
  <c r="O23" i="77"/>
  <c r="P23" i="77"/>
  <c r="Q23" i="77"/>
  <c r="R23" i="77"/>
  <c r="S23" i="77"/>
  <c r="T23" i="77"/>
  <c r="U23" i="77"/>
  <c r="B24" i="77"/>
  <c r="C24" i="77"/>
  <c r="D24" i="77"/>
  <c r="E24" i="77"/>
  <c r="F24" i="77"/>
  <c r="G24" i="77"/>
  <c r="H24" i="77"/>
  <c r="I24" i="77"/>
  <c r="J24" i="77"/>
  <c r="K24" i="77"/>
  <c r="L24" i="77"/>
  <c r="M24" i="77"/>
  <c r="N24" i="77"/>
  <c r="O24" i="77"/>
  <c r="P24" i="77"/>
  <c r="Q24" i="77"/>
  <c r="R24" i="77"/>
  <c r="S24" i="77"/>
  <c r="T24" i="77"/>
  <c r="U24" i="77"/>
  <c r="B25" i="77"/>
  <c r="C25" i="77"/>
  <c r="D25" i="77"/>
  <c r="E25" i="77"/>
  <c r="F25" i="77"/>
  <c r="G25" i="77"/>
  <c r="H25" i="77"/>
  <c r="I25" i="77"/>
  <c r="J25" i="77"/>
  <c r="K25" i="77"/>
  <c r="L25" i="77"/>
  <c r="M25" i="77"/>
  <c r="N25" i="77"/>
  <c r="O25" i="77"/>
  <c r="P25" i="77"/>
  <c r="Q25" i="77"/>
  <c r="R25" i="77"/>
  <c r="S25" i="77"/>
  <c r="T25" i="77"/>
  <c r="U25" i="77"/>
  <c r="B26" i="77"/>
  <c r="C26" i="77"/>
  <c r="D26" i="77"/>
  <c r="E26" i="77"/>
  <c r="F26" i="77"/>
  <c r="G26" i="77"/>
  <c r="H26" i="77"/>
  <c r="I26" i="77"/>
  <c r="J26" i="77"/>
  <c r="K26" i="77"/>
  <c r="L26" i="77"/>
  <c r="M26" i="77"/>
  <c r="N26" i="77"/>
  <c r="O26" i="77"/>
  <c r="P26" i="77"/>
  <c r="Q26" i="77"/>
  <c r="R26" i="77"/>
  <c r="S26" i="77"/>
  <c r="T26" i="77"/>
  <c r="U26" i="77"/>
  <c r="B27" i="77"/>
  <c r="C27" i="77"/>
  <c r="D27" i="77"/>
  <c r="E27" i="77"/>
  <c r="F27" i="77"/>
  <c r="G27" i="77"/>
  <c r="H27" i="77"/>
  <c r="I27" i="77"/>
  <c r="J27" i="77"/>
  <c r="K27" i="77"/>
  <c r="L27" i="77"/>
  <c r="M27" i="77"/>
  <c r="N27" i="77"/>
  <c r="O27" i="77"/>
  <c r="P27" i="77"/>
  <c r="Q27" i="77"/>
  <c r="R27" i="77"/>
  <c r="S27" i="77"/>
  <c r="T27" i="77"/>
  <c r="U27" i="77"/>
  <c r="B30" i="77"/>
  <c r="C30" i="77"/>
  <c r="D30" i="77"/>
  <c r="E30" i="77"/>
  <c r="F30" i="77"/>
  <c r="G30" i="77"/>
  <c r="H30" i="77"/>
  <c r="I30" i="77"/>
  <c r="J30" i="77"/>
  <c r="K30" i="77"/>
  <c r="L30" i="77"/>
  <c r="M30" i="77"/>
  <c r="N30" i="77"/>
  <c r="O30" i="77"/>
  <c r="P30" i="77"/>
  <c r="Q30" i="77"/>
  <c r="R30" i="77"/>
  <c r="S30" i="77"/>
  <c r="T30" i="77"/>
  <c r="U30" i="77"/>
  <c r="B31" i="77"/>
  <c r="C31" i="77"/>
  <c r="D31" i="77"/>
  <c r="E31" i="77"/>
  <c r="F31" i="77"/>
  <c r="G31" i="77"/>
  <c r="H31" i="77"/>
  <c r="I31" i="77"/>
  <c r="J31" i="77"/>
  <c r="K31" i="77"/>
  <c r="L31" i="77"/>
  <c r="M31" i="77"/>
  <c r="N31" i="77"/>
  <c r="O31" i="77"/>
  <c r="P31" i="77"/>
  <c r="Q31" i="77"/>
  <c r="R31" i="77"/>
  <c r="S31" i="77"/>
  <c r="T31" i="77"/>
  <c r="U31" i="77"/>
  <c r="B32" i="77"/>
  <c r="C32" i="77"/>
  <c r="D32" i="77"/>
  <c r="E32" i="77"/>
  <c r="F32" i="77"/>
  <c r="G32" i="77"/>
  <c r="H32" i="77"/>
  <c r="I32" i="77"/>
  <c r="J32" i="77"/>
  <c r="K32" i="77"/>
  <c r="L32" i="77"/>
  <c r="M32" i="77"/>
  <c r="N32" i="77"/>
  <c r="O32" i="77"/>
  <c r="P32" i="77"/>
  <c r="Q32" i="77"/>
  <c r="R32" i="77"/>
  <c r="S32" i="77"/>
  <c r="T32" i="77"/>
  <c r="U32" i="77"/>
  <c r="B34" i="77"/>
  <c r="C34" i="77"/>
  <c r="D34" i="77"/>
  <c r="E34" i="77"/>
  <c r="F34" i="77"/>
  <c r="G34" i="77"/>
  <c r="H34" i="77"/>
  <c r="I34" i="77"/>
  <c r="J34" i="77"/>
  <c r="K34" i="77"/>
  <c r="L34" i="77"/>
  <c r="M34" i="77"/>
  <c r="N34" i="77"/>
  <c r="O34" i="77"/>
  <c r="P34" i="77"/>
  <c r="Q34" i="77"/>
  <c r="R34" i="77"/>
  <c r="S34" i="77"/>
  <c r="T34" i="77"/>
  <c r="U34" i="77"/>
  <c r="B36" i="77"/>
  <c r="C36" i="77"/>
  <c r="D36" i="77"/>
  <c r="E36" i="77"/>
  <c r="F36" i="77"/>
  <c r="G36" i="77"/>
  <c r="H36" i="77"/>
  <c r="I36" i="77"/>
  <c r="J36" i="77"/>
  <c r="K36" i="77"/>
  <c r="L36" i="77"/>
  <c r="M36" i="77"/>
  <c r="N36" i="77"/>
  <c r="O36" i="77"/>
  <c r="P36" i="77"/>
  <c r="Q36" i="77"/>
  <c r="R36" i="77"/>
  <c r="S36" i="77"/>
  <c r="T36" i="77"/>
  <c r="U36" i="77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B8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C13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C14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C15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B17" i="60"/>
  <c r="C17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C19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C20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B22" i="60"/>
  <c r="C22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B29" i="60"/>
  <c r="B30" i="60"/>
  <c r="C30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V31" i="60"/>
  <c r="B32" i="60"/>
  <c r="C32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B33" i="60"/>
  <c r="C5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B8" i="59"/>
  <c r="C8" i="59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B11" i="59"/>
  <c r="C12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C13" i="59"/>
  <c r="D13" i="59"/>
  <c r="E13" i="59"/>
  <c r="F13" i="59"/>
  <c r="G13" i="59"/>
  <c r="H13" i="59"/>
  <c r="I13" i="59"/>
  <c r="J13" i="59"/>
  <c r="K13" i="59"/>
  <c r="L13" i="59"/>
  <c r="M13" i="59"/>
  <c r="N13" i="59"/>
  <c r="O13" i="59"/>
  <c r="P13" i="59"/>
  <c r="Q13" i="59"/>
  <c r="R13" i="59"/>
  <c r="S13" i="59"/>
  <c r="T13" i="59"/>
  <c r="U13" i="59"/>
  <c r="B14" i="59"/>
  <c r="C14" i="59"/>
  <c r="D14" i="59"/>
  <c r="E14" i="59"/>
  <c r="F14" i="59"/>
  <c r="G14" i="59"/>
  <c r="H14" i="59"/>
  <c r="I14" i="59"/>
  <c r="J14" i="59"/>
  <c r="K14" i="59"/>
  <c r="L14" i="59"/>
  <c r="M14" i="59"/>
  <c r="N14" i="59"/>
  <c r="O14" i="59"/>
  <c r="P14" i="59"/>
  <c r="Q14" i="59"/>
  <c r="R14" i="59"/>
  <c r="S14" i="59"/>
  <c r="T14" i="59"/>
  <c r="U14" i="59"/>
  <c r="W14" i="59"/>
  <c r="X14" i="59"/>
  <c r="B17" i="59"/>
  <c r="C17" i="59"/>
  <c r="D17" i="59"/>
  <c r="E17" i="59"/>
  <c r="F17" i="59"/>
  <c r="G17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B19" i="59"/>
  <c r="C19" i="59"/>
  <c r="D19" i="59"/>
  <c r="E19" i="59"/>
  <c r="F19" i="59"/>
  <c r="G19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B20" i="59"/>
  <c r="C20" i="59"/>
  <c r="D20" i="59"/>
  <c r="E20" i="59"/>
  <c r="F20" i="59"/>
  <c r="G20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B21" i="59"/>
  <c r="C21" i="59"/>
  <c r="D21" i="59"/>
  <c r="E21" i="59"/>
  <c r="F21" i="59"/>
  <c r="G21" i="59"/>
  <c r="H21" i="59"/>
  <c r="I21" i="59"/>
  <c r="J21" i="59"/>
  <c r="K21" i="59"/>
  <c r="L21" i="59"/>
  <c r="M21" i="59"/>
  <c r="N21" i="59"/>
  <c r="O21" i="59"/>
  <c r="P21" i="59"/>
  <c r="Q21" i="59"/>
  <c r="R21" i="59"/>
  <c r="S21" i="59"/>
  <c r="T21" i="59"/>
  <c r="U21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B31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W34" i="59"/>
  <c r="X34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P37" i="59"/>
  <c r="Q37" i="59"/>
  <c r="R37" i="59"/>
  <c r="S37" i="59"/>
  <c r="T37" i="59"/>
  <c r="U37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P46" i="59"/>
  <c r="Q46" i="59"/>
  <c r="R46" i="59"/>
  <c r="S46" i="59"/>
  <c r="T46" i="59"/>
  <c r="U46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B51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P53" i="59"/>
  <c r="Q53" i="59"/>
  <c r="R53" i="59"/>
  <c r="S53" i="59"/>
  <c r="T53" i="59"/>
  <c r="U53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P54" i="59"/>
  <c r="Q54" i="59"/>
  <c r="R54" i="59"/>
  <c r="S54" i="59"/>
  <c r="T54" i="59"/>
  <c r="U54" i="59"/>
  <c r="W54" i="59"/>
  <c r="X54" i="59"/>
  <c r="B57" i="59"/>
  <c r="C57" i="59"/>
  <c r="D57" i="59"/>
  <c r="E57" i="59"/>
  <c r="F57" i="59"/>
  <c r="G57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B59" i="59"/>
  <c r="C59" i="59"/>
  <c r="D59" i="59"/>
  <c r="E59" i="59"/>
  <c r="F59" i="59"/>
  <c r="G59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B60" i="59"/>
  <c r="C60" i="59"/>
  <c r="D60" i="59"/>
  <c r="E60" i="59"/>
  <c r="F60" i="59"/>
  <c r="G60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B61" i="59"/>
  <c r="C61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B64" i="59"/>
  <c r="C64" i="59"/>
  <c r="D64" i="59"/>
  <c r="E64" i="59"/>
  <c r="F64" i="59"/>
  <c r="G64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B66" i="59"/>
  <c r="C66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B67" i="59"/>
  <c r="C67" i="59"/>
  <c r="D67" i="59"/>
  <c r="E67" i="59"/>
  <c r="F67" i="59"/>
  <c r="G67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B68" i="59"/>
  <c r="C68" i="59"/>
  <c r="D68" i="59"/>
  <c r="E68" i="59"/>
  <c r="F68" i="59"/>
  <c r="G68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B72" i="59"/>
  <c r="C72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B73" i="59"/>
  <c r="C73" i="59"/>
  <c r="D73" i="59"/>
  <c r="E73" i="59"/>
  <c r="F73" i="59"/>
  <c r="G73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B75" i="59"/>
  <c r="C75" i="59"/>
  <c r="D75" i="59"/>
  <c r="E75" i="59"/>
  <c r="F75" i="59"/>
  <c r="G75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B76" i="59"/>
  <c r="C76" i="59"/>
  <c r="D76" i="59"/>
  <c r="E76" i="59"/>
  <c r="F76" i="59"/>
  <c r="G76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B77" i="59"/>
  <c r="C77" i="59"/>
  <c r="D77" i="59"/>
  <c r="E77" i="59"/>
  <c r="F77" i="59"/>
  <c r="G77" i="59"/>
  <c r="H77" i="59"/>
  <c r="I77" i="59"/>
  <c r="J77" i="59"/>
  <c r="K77" i="59"/>
  <c r="L77" i="59"/>
  <c r="M77" i="59"/>
  <c r="N77" i="59"/>
  <c r="O77" i="59"/>
  <c r="P77" i="59"/>
  <c r="Q77" i="59"/>
  <c r="R77" i="59"/>
  <c r="S77" i="59"/>
  <c r="T77" i="59"/>
  <c r="U77" i="59"/>
  <c r="B79" i="59"/>
  <c r="C79" i="59"/>
  <c r="D79" i="59"/>
  <c r="E79" i="59"/>
  <c r="F79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D84" i="59"/>
  <c r="G84" i="59"/>
  <c r="D85" i="59"/>
  <c r="G85" i="59"/>
  <c r="B91" i="59"/>
  <c r="C91" i="59"/>
  <c r="D91" i="59"/>
  <c r="E91" i="59"/>
  <c r="F91" i="59"/>
  <c r="G91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E95" i="59"/>
  <c r="J95" i="59"/>
  <c r="O95" i="59"/>
  <c r="E96" i="59"/>
  <c r="J96" i="59"/>
  <c r="O96" i="59"/>
  <c r="E97" i="59"/>
  <c r="J97" i="59"/>
  <c r="O97" i="59"/>
  <c r="E98" i="59"/>
  <c r="J98" i="59"/>
  <c r="O98" i="59"/>
  <c r="E99" i="59"/>
  <c r="J99" i="59"/>
  <c r="O99" i="59"/>
  <c r="E100" i="59"/>
  <c r="J100" i="59"/>
  <c r="O100" i="59"/>
  <c r="B105" i="59"/>
  <c r="C105" i="59"/>
  <c r="D105" i="59"/>
  <c r="E105" i="59"/>
  <c r="F105" i="59"/>
  <c r="G105" i="59"/>
  <c r="H105" i="59"/>
  <c r="I105" i="59"/>
  <c r="J105" i="59"/>
  <c r="K105" i="59"/>
  <c r="L105" i="59"/>
  <c r="M105" i="59"/>
  <c r="N105" i="59"/>
  <c r="O105" i="59"/>
  <c r="P105" i="59"/>
  <c r="Q105" i="59"/>
  <c r="R105" i="59"/>
  <c r="S105" i="59"/>
  <c r="T105" i="59"/>
  <c r="U105" i="59"/>
  <c r="B106" i="59"/>
  <c r="C106" i="59"/>
  <c r="D106" i="59"/>
  <c r="E106" i="59"/>
  <c r="F106" i="59"/>
  <c r="G106" i="59"/>
  <c r="H106" i="59"/>
  <c r="I106" i="59"/>
  <c r="J106" i="59"/>
  <c r="K106" i="59"/>
  <c r="L106" i="59"/>
  <c r="M106" i="59"/>
  <c r="N106" i="59"/>
  <c r="O106" i="59"/>
  <c r="P106" i="59"/>
  <c r="Q106" i="59"/>
  <c r="R106" i="59"/>
  <c r="S106" i="59"/>
  <c r="T106" i="59"/>
  <c r="U106" i="59"/>
  <c r="B109" i="59"/>
  <c r="B110" i="59"/>
  <c r="B111" i="59"/>
  <c r="B120" i="59"/>
  <c r="C120" i="59"/>
  <c r="D120" i="59"/>
  <c r="E120" i="59"/>
  <c r="F120" i="59"/>
  <c r="G120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B121" i="59"/>
  <c r="C121" i="59"/>
  <c r="E5" i="61"/>
  <c r="F5" i="61"/>
  <c r="G5" i="61"/>
  <c r="H5" i="61"/>
  <c r="I5" i="61"/>
  <c r="J5" i="61"/>
  <c r="K5" i="61"/>
  <c r="L5" i="61"/>
  <c r="M5" i="61"/>
  <c r="N5" i="61"/>
  <c r="O5" i="61"/>
  <c r="P5" i="61"/>
  <c r="Q5" i="61"/>
  <c r="R5" i="61"/>
  <c r="S5" i="61"/>
  <c r="T5" i="61"/>
  <c r="U5" i="61"/>
  <c r="V5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B12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B13" i="61"/>
  <c r="C13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B14" i="61"/>
  <c r="C14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B20" i="61"/>
  <c r="C20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B21" i="61"/>
  <c r="C21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B22" i="61"/>
  <c r="C22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B28" i="61"/>
  <c r="C28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B29" i="61"/>
  <c r="C29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B30" i="61"/>
  <c r="C30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B37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B38" i="61"/>
  <c r="C38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B44" i="61"/>
  <c r="C44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B45" i="61"/>
  <c r="C45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B46" i="61"/>
  <c r="C46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B52" i="61"/>
  <c r="C52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B53" i="61"/>
  <c r="C53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B54" i="61"/>
  <c r="C54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B57" i="61"/>
  <c r="C57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B58" i="61"/>
  <c r="C58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B59" i="61"/>
  <c r="C59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Z62" i="61"/>
  <c r="B67" i="61"/>
  <c r="C67" i="61"/>
  <c r="D67" i="61"/>
  <c r="E67" i="61"/>
  <c r="F67" i="61"/>
  <c r="G67" i="61"/>
  <c r="H67" i="61"/>
  <c r="I67" i="61"/>
  <c r="J67" i="61"/>
  <c r="K67" i="61"/>
  <c r="L67" i="61"/>
  <c r="M67" i="61"/>
  <c r="N67" i="61"/>
  <c r="O67" i="61"/>
  <c r="P67" i="61"/>
  <c r="Q67" i="61"/>
  <c r="R67" i="61"/>
  <c r="S67" i="61"/>
  <c r="T67" i="61"/>
  <c r="U67" i="61"/>
  <c r="V67" i="61"/>
  <c r="B68" i="61"/>
  <c r="C68" i="61"/>
  <c r="D68" i="61"/>
  <c r="E68" i="61"/>
  <c r="F68" i="61"/>
  <c r="G68" i="61"/>
  <c r="H68" i="61"/>
  <c r="I68" i="61"/>
  <c r="J68" i="61"/>
  <c r="K68" i="61"/>
  <c r="L68" i="61"/>
  <c r="M68" i="61"/>
  <c r="N68" i="61"/>
  <c r="O68" i="61"/>
  <c r="P68" i="61"/>
  <c r="Q68" i="61"/>
  <c r="R68" i="61"/>
  <c r="B69" i="61"/>
  <c r="C69" i="61"/>
  <c r="D69" i="61"/>
  <c r="E69" i="61"/>
  <c r="F69" i="61"/>
  <c r="G69" i="61"/>
  <c r="H69" i="61"/>
  <c r="I69" i="61"/>
  <c r="J69" i="61"/>
  <c r="K69" i="61"/>
  <c r="L69" i="61"/>
  <c r="M69" i="61"/>
  <c r="N69" i="61"/>
  <c r="O69" i="61"/>
  <c r="P69" i="61"/>
  <c r="Q69" i="61"/>
  <c r="R69" i="61"/>
  <c r="S69" i="61"/>
  <c r="T69" i="61"/>
  <c r="U69" i="61"/>
  <c r="V69" i="61"/>
  <c r="B70" i="61"/>
  <c r="C70" i="61"/>
  <c r="D70" i="61"/>
  <c r="E70" i="61"/>
  <c r="F70" i="61"/>
  <c r="G70" i="61"/>
  <c r="H70" i="61"/>
  <c r="I70" i="61"/>
  <c r="J70" i="61"/>
  <c r="K70" i="61"/>
  <c r="L70" i="61"/>
  <c r="M70" i="61"/>
  <c r="N70" i="61"/>
  <c r="O70" i="61"/>
  <c r="P70" i="61"/>
  <c r="Q70" i="61"/>
  <c r="R70" i="61"/>
  <c r="S70" i="61"/>
  <c r="T70" i="61"/>
  <c r="U70" i="61"/>
  <c r="V70" i="61"/>
  <c r="B73" i="61"/>
  <c r="C73" i="61"/>
  <c r="D73" i="61"/>
  <c r="E73" i="61"/>
  <c r="F73" i="61"/>
  <c r="G73" i="61"/>
  <c r="H73" i="61"/>
  <c r="I73" i="61"/>
  <c r="J73" i="61"/>
  <c r="K73" i="61"/>
  <c r="L73" i="61"/>
  <c r="M73" i="61"/>
  <c r="N73" i="61"/>
  <c r="O73" i="61"/>
  <c r="P73" i="61"/>
  <c r="Q73" i="61"/>
  <c r="R73" i="61"/>
  <c r="S73" i="61"/>
  <c r="T73" i="61"/>
  <c r="U73" i="61"/>
  <c r="V73" i="61"/>
  <c r="B74" i="61"/>
  <c r="C74" i="61"/>
  <c r="D74" i="61"/>
  <c r="E74" i="61"/>
  <c r="F74" i="61"/>
  <c r="G74" i="61"/>
  <c r="H74" i="61"/>
  <c r="I74" i="61"/>
  <c r="J74" i="61"/>
  <c r="K74" i="61"/>
  <c r="L74" i="61"/>
  <c r="M74" i="61"/>
  <c r="N74" i="61"/>
  <c r="O74" i="61"/>
  <c r="P74" i="61"/>
  <c r="Q74" i="61"/>
  <c r="R74" i="61"/>
  <c r="B75" i="61"/>
  <c r="C75" i="61"/>
  <c r="D75" i="61"/>
  <c r="E75" i="61"/>
  <c r="F75" i="61"/>
  <c r="G75" i="61"/>
  <c r="H75" i="61"/>
  <c r="I75" i="61"/>
  <c r="J75" i="61"/>
  <c r="K75" i="61"/>
  <c r="L75" i="61"/>
  <c r="M75" i="61"/>
  <c r="N75" i="61"/>
  <c r="O75" i="61"/>
  <c r="P75" i="61"/>
  <c r="Q75" i="61"/>
  <c r="R75" i="61"/>
  <c r="S75" i="61"/>
  <c r="T75" i="61"/>
  <c r="U75" i="61"/>
  <c r="V75" i="61"/>
  <c r="B76" i="61"/>
  <c r="C76" i="61"/>
  <c r="D76" i="61"/>
  <c r="E76" i="61"/>
  <c r="F76" i="61"/>
  <c r="G76" i="61"/>
  <c r="H76" i="61"/>
  <c r="I76" i="61"/>
  <c r="J76" i="61"/>
  <c r="K76" i="61"/>
  <c r="L76" i="61"/>
  <c r="M76" i="61"/>
  <c r="N76" i="61"/>
  <c r="O76" i="61"/>
  <c r="P76" i="61"/>
  <c r="Q76" i="61"/>
  <c r="R76" i="61"/>
  <c r="S76" i="61"/>
  <c r="T76" i="61"/>
  <c r="U76" i="61"/>
  <c r="V76" i="61"/>
  <c r="B79" i="61"/>
  <c r="C79" i="61"/>
  <c r="D79" i="61"/>
  <c r="E79" i="61"/>
  <c r="F79" i="61"/>
  <c r="G79" i="61"/>
  <c r="H79" i="61"/>
  <c r="I79" i="61"/>
  <c r="J79" i="61"/>
  <c r="K79" i="61"/>
  <c r="L79" i="61"/>
  <c r="M79" i="61"/>
  <c r="N79" i="61"/>
  <c r="O79" i="61"/>
  <c r="P79" i="61"/>
  <c r="Q79" i="61"/>
  <c r="R79" i="61"/>
  <c r="S79" i="61"/>
  <c r="T79" i="61"/>
  <c r="U79" i="61"/>
  <c r="V79" i="61"/>
  <c r="B80" i="61"/>
  <c r="C80" i="61"/>
  <c r="D80" i="61"/>
  <c r="E80" i="61"/>
  <c r="F80" i="61"/>
  <c r="G80" i="61"/>
  <c r="H80" i="61"/>
  <c r="I80" i="61"/>
  <c r="J80" i="61"/>
  <c r="K80" i="61"/>
  <c r="L80" i="61"/>
  <c r="M80" i="61"/>
  <c r="N80" i="61"/>
  <c r="O80" i="61"/>
  <c r="P80" i="61"/>
  <c r="Q80" i="61"/>
  <c r="R80" i="61"/>
  <c r="B81" i="61"/>
  <c r="C81" i="61"/>
  <c r="D81" i="61"/>
  <c r="E81" i="61"/>
  <c r="F81" i="61"/>
  <c r="G81" i="61"/>
  <c r="H81" i="61"/>
  <c r="I81" i="61"/>
  <c r="J81" i="61"/>
  <c r="K81" i="61"/>
  <c r="L81" i="61"/>
  <c r="M81" i="61"/>
  <c r="N81" i="61"/>
  <c r="O81" i="61"/>
  <c r="P81" i="61"/>
  <c r="Q81" i="61"/>
  <c r="R81" i="61"/>
  <c r="S81" i="61"/>
  <c r="T81" i="61"/>
  <c r="U81" i="61"/>
  <c r="V81" i="61"/>
  <c r="B82" i="61"/>
  <c r="C82" i="61"/>
  <c r="D82" i="61"/>
  <c r="E82" i="61"/>
  <c r="F82" i="61"/>
  <c r="G82" i="61"/>
  <c r="H82" i="61"/>
  <c r="I82" i="61"/>
  <c r="J82" i="61"/>
  <c r="K82" i="61"/>
  <c r="L82" i="61"/>
  <c r="M82" i="61"/>
  <c r="N82" i="61"/>
  <c r="O82" i="61"/>
  <c r="P82" i="61"/>
  <c r="Q82" i="61"/>
  <c r="R82" i="61"/>
  <c r="S82" i="61"/>
  <c r="T82" i="61"/>
  <c r="U82" i="61"/>
  <c r="V82" i="61"/>
  <c r="B85" i="61"/>
  <c r="C85" i="61"/>
  <c r="D85" i="61"/>
  <c r="E85" i="61"/>
  <c r="F85" i="61"/>
  <c r="G85" i="61"/>
  <c r="H85" i="61"/>
  <c r="I85" i="61"/>
  <c r="J85" i="61"/>
  <c r="K85" i="61"/>
  <c r="L85" i="61"/>
  <c r="M85" i="61"/>
  <c r="N85" i="61"/>
  <c r="O85" i="61"/>
  <c r="P85" i="61"/>
  <c r="Q85" i="61"/>
  <c r="R85" i="61"/>
  <c r="S85" i="61"/>
  <c r="T85" i="61"/>
  <c r="U85" i="61"/>
  <c r="V85" i="61"/>
  <c r="B86" i="61"/>
  <c r="C86" i="61"/>
  <c r="D86" i="61"/>
  <c r="E86" i="61"/>
  <c r="F86" i="61"/>
  <c r="G86" i="61"/>
  <c r="H86" i="61"/>
  <c r="I86" i="61"/>
  <c r="J86" i="61"/>
  <c r="K86" i="61"/>
  <c r="L86" i="61"/>
  <c r="M86" i="61"/>
  <c r="N86" i="61"/>
  <c r="O86" i="61"/>
  <c r="P86" i="61"/>
  <c r="Q86" i="61"/>
  <c r="R86" i="61"/>
  <c r="B87" i="61"/>
  <c r="C87" i="61"/>
  <c r="D87" i="61"/>
  <c r="E87" i="61"/>
  <c r="F87" i="61"/>
  <c r="G87" i="61"/>
  <c r="H87" i="61"/>
  <c r="I87" i="61"/>
  <c r="J87" i="61"/>
  <c r="K87" i="61"/>
  <c r="L87" i="61"/>
  <c r="M87" i="61"/>
  <c r="N87" i="61"/>
  <c r="O87" i="61"/>
  <c r="P87" i="61"/>
  <c r="Q87" i="61"/>
  <c r="R87" i="61"/>
  <c r="S87" i="61"/>
  <c r="T87" i="61"/>
  <c r="U87" i="61"/>
  <c r="V87" i="61"/>
  <c r="B88" i="61"/>
  <c r="C88" i="61"/>
  <c r="D88" i="61"/>
  <c r="E88" i="61"/>
  <c r="F88" i="61"/>
  <c r="G88" i="61"/>
  <c r="H88" i="61"/>
  <c r="I88" i="61"/>
  <c r="J88" i="61"/>
  <c r="K88" i="61"/>
  <c r="L88" i="61"/>
  <c r="M88" i="61"/>
  <c r="N88" i="61"/>
  <c r="O88" i="61"/>
  <c r="P88" i="61"/>
  <c r="Q88" i="61"/>
  <c r="R88" i="61"/>
  <c r="S88" i="61"/>
  <c r="T88" i="61"/>
  <c r="U88" i="61"/>
  <c r="V88" i="61"/>
  <c r="B91" i="61"/>
  <c r="C91" i="61"/>
  <c r="D91" i="61"/>
  <c r="E91" i="61"/>
  <c r="F91" i="61"/>
  <c r="G91" i="61"/>
  <c r="H91" i="61"/>
  <c r="I91" i="61"/>
  <c r="J91" i="61"/>
  <c r="K91" i="61"/>
  <c r="L91" i="61"/>
  <c r="M91" i="61"/>
  <c r="N91" i="61"/>
  <c r="O91" i="61"/>
  <c r="P91" i="61"/>
  <c r="Q91" i="61"/>
  <c r="R91" i="61"/>
  <c r="S91" i="61"/>
  <c r="T91" i="61"/>
  <c r="U91" i="61"/>
  <c r="V91" i="61"/>
  <c r="B92" i="61"/>
  <c r="C92" i="61"/>
  <c r="D92" i="61"/>
  <c r="E92" i="61"/>
  <c r="F92" i="61"/>
  <c r="G92" i="61"/>
  <c r="H92" i="61"/>
  <c r="I92" i="61"/>
  <c r="J92" i="61"/>
  <c r="K92" i="61"/>
  <c r="L92" i="61"/>
  <c r="M92" i="61"/>
  <c r="N92" i="61"/>
  <c r="O92" i="61"/>
  <c r="P92" i="61"/>
  <c r="Q92" i="61"/>
  <c r="R92" i="61"/>
  <c r="B93" i="61"/>
  <c r="C93" i="61"/>
  <c r="D93" i="61"/>
  <c r="E93" i="61"/>
  <c r="F93" i="61"/>
  <c r="G93" i="61"/>
  <c r="H93" i="61"/>
  <c r="I93" i="61"/>
  <c r="J93" i="61"/>
  <c r="K93" i="61"/>
  <c r="L93" i="61"/>
  <c r="M93" i="61"/>
  <c r="N93" i="61"/>
  <c r="O93" i="61"/>
  <c r="P93" i="61"/>
  <c r="Q93" i="61"/>
  <c r="R93" i="61"/>
  <c r="S93" i="61"/>
  <c r="T93" i="61"/>
  <c r="U93" i="61"/>
  <c r="V93" i="61"/>
  <c r="B94" i="61"/>
  <c r="C94" i="61"/>
  <c r="D94" i="61"/>
  <c r="E94" i="61"/>
  <c r="F94" i="61"/>
  <c r="G94" i="61"/>
  <c r="H94" i="61"/>
  <c r="I94" i="61"/>
  <c r="J94" i="61"/>
  <c r="K94" i="61"/>
  <c r="L94" i="61"/>
  <c r="M94" i="61"/>
  <c r="N94" i="61"/>
  <c r="O94" i="61"/>
  <c r="P94" i="61"/>
  <c r="Q94" i="61"/>
  <c r="R94" i="61"/>
  <c r="S94" i="61"/>
  <c r="T94" i="61"/>
  <c r="U94" i="61"/>
  <c r="V94" i="61"/>
  <c r="B97" i="61"/>
  <c r="C97" i="61"/>
  <c r="D97" i="61"/>
  <c r="E97" i="61"/>
  <c r="F97" i="61"/>
  <c r="G97" i="61"/>
  <c r="H97" i="61"/>
  <c r="I97" i="61"/>
  <c r="J97" i="61"/>
  <c r="K97" i="61"/>
  <c r="L97" i="61"/>
  <c r="M97" i="61"/>
  <c r="N97" i="61"/>
  <c r="O97" i="61"/>
  <c r="P97" i="61"/>
  <c r="Q97" i="61"/>
  <c r="R97" i="61"/>
  <c r="S97" i="61"/>
  <c r="T97" i="61"/>
  <c r="U97" i="61"/>
  <c r="V97" i="61"/>
  <c r="B98" i="61"/>
  <c r="C98" i="61"/>
  <c r="D98" i="61"/>
  <c r="E98" i="61"/>
  <c r="F98" i="61"/>
  <c r="G98" i="61"/>
  <c r="H98" i="61"/>
  <c r="I98" i="61"/>
  <c r="J98" i="61"/>
  <c r="K98" i="61"/>
  <c r="L98" i="61"/>
  <c r="M98" i="61"/>
  <c r="N98" i="61"/>
  <c r="O98" i="61"/>
  <c r="P98" i="61"/>
  <c r="Q98" i="61"/>
  <c r="R98" i="61"/>
  <c r="B99" i="61"/>
  <c r="C99" i="61"/>
  <c r="D99" i="61"/>
  <c r="E99" i="61"/>
  <c r="F99" i="61"/>
  <c r="G99" i="61"/>
  <c r="H99" i="61"/>
  <c r="I99" i="61"/>
  <c r="J99" i="61"/>
  <c r="K99" i="61"/>
  <c r="L99" i="61"/>
  <c r="M99" i="61"/>
  <c r="N99" i="61"/>
  <c r="O99" i="61"/>
  <c r="P99" i="61"/>
  <c r="Q99" i="61"/>
  <c r="R99" i="61"/>
  <c r="S99" i="61"/>
  <c r="T99" i="61"/>
  <c r="U99" i="61"/>
  <c r="V99" i="61"/>
  <c r="B100" i="61"/>
  <c r="C100" i="61"/>
  <c r="D100" i="61"/>
  <c r="E100" i="61"/>
  <c r="F100" i="61"/>
  <c r="G100" i="61"/>
  <c r="H100" i="61"/>
  <c r="I100" i="61"/>
  <c r="J100" i="61"/>
  <c r="K100" i="61"/>
  <c r="L100" i="61"/>
  <c r="M100" i="61"/>
  <c r="N100" i="61"/>
  <c r="O100" i="61"/>
  <c r="P100" i="61"/>
  <c r="Q100" i="61"/>
  <c r="R100" i="61"/>
  <c r="S100" i="61"/>
  <c r="T100" i="61"/>
  <c r="U100" i="61"/>
  <c r="V100" i="61"/>
  <c r="B103" i="61"/>
  <c r="C103" i="61"/>
  <c r="D103" i="61"/>
  <c r="E103" i="61"/>
  <c r="F103" i="61"/>
  <c r="G103" i="61"/>
  <c r="H103" i="61"/>
  <c r="I103" i="61"/>
  <c r="J103" i="61"/>
  <c r="K103" i="61"/>
  <c r="L103" i="61"/>
  <c r="M103" i="61"/>
  <c r="N103" i="61"/>
  <c r="O103" i="61"/>
  <c r="P103" i="61"/>
  <c r="Q103" i="61"/>
  <c r="R103" i="61"/>
  <c r="S103" i="61"/>
  <c r="T103" i="61"/>
  <c r="U103" i="61"/>
  <c r="V103" i="61"/>
  <c r="B104" i="61"/>
  <c r="C104" i="61"/>
  <c r="D104" i="61"/>
  <c r="E104" i="61"/>
  <c r="F104" i="61"/>
  <c r="G104" i="61"/>
  <c r="H104" i="61"/>
  <c r="I104" i="61"/>
  <c r="J104" i="61"/>
  <c r="K104" i="61"/>
  <c r="L104" i="61"/>
  <c r="M104" i="61"/>
  <c r="N104" i="61"/>
  <c r="O104" i="61"/>
  <c r="P104" i="61"/>
  <c r="Q104" i="61"/>
  <c r="R104" i="61"/>
  <c r="S104" i="61"/>
  <c r="T104" i="61"/>
  <c r="U104" i="61"/>
  <c r="V104" i="61"/>
  <c r="B105" i="61"/>
  <c r="C105" i="61"/>
  <c r="D105" i="61"/>
  <c r="E105" i="61"/>
  <c r="F105" i="61"/>
  <c r="G105" i="61"/>
  <c r="H105" i="61"/>
  <c r="I105" i="61"/>
  <c r="J105" i="61"/>
  <c r="K105" i="61"/>
  <c r="L105" i="61"/>
  <c r="M105" i="61"/>
  <c r="N105" i="61"/>
  <c r="O105" i="61"/>
  <c r="P105" i="61"/>
  <c r="Q105" i="61"/>
  <c r="R105" i="61"/>
  <c r="S105" i="61"/>
  <c r="T105" i="61"/>
  <c r="U105" i="61"/>
  <c r="V105" i="61"/>
  <c r="B109" i="61"/>
  <c r="C109" i="61"/>
  <c r="D109" i="61"/>
  <c r="E109" i="61"/>
  <c r="F109" i="61"/>
  <c r="G109" i="61"/>
  <c r="H109" i="61"/>
  <c r="I109" i="61"/>
  <c r="J109" i="61"/>
  <c r="K109" i="61"/>
  <c r="L109" i="61"/>
  <c r="M109" i="61"/>
  <c r="N109" i="61"/>
  <c r="O109" i="61"/>
  <c r="P109" i="61"/>
  <c r="Q109" i="61"/>
  <c r="R109" i="61"/>
  <c r="S109" i="61"/>
  <c r="T109" i="61"/>
  <c r="U109" i="61"/>
  <c r="V109" i="61"/>
  <c r="C110" i="61"/>
  <c r="D110" i="61"/>
  <c r="E110" i="61"/>
  <c r="F110" i="61"/>
  <c r="G110" i="61"/>
  <c r="H110" i="61"/>
  <c r="I110" i="61"/>
  <c r="J110" i="61"/>
  <c r="K110" i="61"/>
  <c r="L110" i="61"/>
  <c r="M110" i="61"/>
  <c r="N110" i="61"/>
  <c r="O110" i="61"/>
  <c r="P110" i="61"/>
  <c r="Q110" i="61"/>
  <c r="R110" i="61"/>
  <c r="S110" i="61"/>
  <c r="T110" i="61"/>
  <c r="U110" i="61"/>
  <c r="V110" i="61"/>
  <c r="B111" i="61"/>
  <c r="C111" i="61"/>
  <c r="D111" i="61"/>
  <c r="E111" i="61"/>
  <c r="F111" i="61"/>
  <c r="G111" i="61"/>
  <c r="H111" i="61"/>
  <c r="I111" i="61"/>
  <c r="J111" i="61"/>
  <c r="K111" i="61"/>
  <c r="L111" i="61"/>
  <c r="M111" i="61"/>
  <c r="N111" i="61"/>
  <c r="O111" i="61"/>
  <c r="P111" i="61"/>
  <c r="Q111" i="61"/>
  <c r="R111" i="61"/>
  <c r="S111" i="61"/>
  <c r="T111" i="61"/>
  <c r="U111" i="61"/>
  <c r="V111" i="61"/>
  <c r="B5" i="58"/>
  <c r="C5" i="58"/>
  <c r="D5" i="58"/>
  <c r="E5" i="58"/>
  <c r="F5" i="58"/>
  <c r="G5" i="58"/>
  <c r="H5" i="58"/>
  <c r="I5" i="58"/>
  <c r="J5" i="58"/>
  <c r="K5" i="58"/>
  <c r="L5" i="58"/>
  <c r="M5" i="58"/>
  <c r="N5" i="58"/>
  <c r="O5" i="58"/>
  <c r="P5" i="58"/>
  <c r="Q5" i="58"/>
  <c r="R5" i="58"/>
  <c r="S5" i="58"/>
  <c r="T5" i="58"/>
  <c r="U5" i="58"/>
  <c r="Y5" i="58"/>
  <c r="Z5" i="58"/>
  <c r="AA5" i="58"/>
  <c r="AB5" i="58"/>
  <c r="AC5" i="58"/>
  <c r="AD5" i="58"/>
  <c r="AE5" i="58"/>
  <c r="AF5" i="58"/>
  <c r="AG5" i="58"/>
  <c r="AH5" i="58"/>
  <c r="AI5" i="58"/>
  <c r="AJ5" i="58"/>
  <c r="AK5" i="58"/>
  <c r="AL5" i="58"/>
  <c r="AM5" i="58"/>
  <c r="AN5" i="58"/>
  <c r="AO5" i="58"/>
  <c r="AP5" i="58"/>
  <c r="AQ5" i="58"/>
  <c r="AR5" i="58"/>
  <c r="AS5" i="58"/>
  <c r="Z6" i="58"/>
  <c r="AA6" i="58"/>
  <c r="AB6" i="58"/>
  <c r="AC6" i="58"/>
  <c r="AD6" i="58"/>
  <c r="AE6" i="58"/>
  <c r="AF6" i="58"/>
  <c r="AG6" i="58"/>
  <c r="AH6" i="58"/>
  <c r="AI6" i="58"/>
  <c r="AJ6" i="58"/>
  <c r="AK6" i="58"/>
  <c r="AL6" i="58"/>
  <c r="AM6" i="58"/>
  <c r="AN6" i="58"/>
  <c r="AO6" i="58"/>
  <c r="AP6" i="58"/>
  <c r="AQ6" i="58"/>
  <c r="AR6" i="58"/>
  <c r="AS6" i="58"/>
  <c r="B10" i="58"/>
  <c r="C10" i="58"/>
  <c r="D10" i="58"/>
  <c r="E10" i="58"/>
  <c r="F10" i="58"/>
  <c r="G10" i="58"/>
  <c r="H10" i="58"/>
  <c r="I10" i="58"/>
  <c r="J10" i="58"/>
  <c r="K10" i="58"/>
  <c r="L10" i="58"/>
  <c r="M10" i="58"/>
  <c r="N10" i="58"/>
  <c r="O10" i="58"/>
  <c r="P10" i="58"/>
  <c r="Q10" i="58"/>
  <c r="R10" i="58"/>
  <c r="S10" i="58"/>
  <c r="T10" i="58"/>
  <c r="U10" i="58"/>
  <c r="W10" i="58"/>
  <c r="X10" i="58"/>
  <c r="Y10" i="58"/>
  <c r="B11" i="58"/>
  <c r="C11" i="58"/>
  <c r="D11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W11" i="58"/>
  <c r="X11" i="58"/>
  <c r="Y11" i="58"/>
  <c r="B12" i="58"/>
  <c r="C12" i="58"/>
  <c r="D12" i="58"/>
  <c r="E12" i="58"/>
  <c r="F12" i="58"/>
  <c r="G12" i="58"/>
  <c r="H12" i="58"/>
  <c r="I12" i="58"/>
  <c r="J12" i="58"/>
  <c r="K12" i="58"/>
  <c r="L12" i="58"/>
  <c r="M12" i="58"/>
  <c r="N12" i="58"/>
  <c r="O12" i="58"/>
  <c r="P12" i="58"/>
  <c r="Q12" i="58"/>
  <c r="R12" i="58"/>
  <c r="S12" i="58"/>
  <c r="T12" i="58"/>
  <c r="U12" i="58"/>
  <c r="W12" i="58"/>
  <c r="X12" i="58"/>
  <c r="Y12" i="58"/>
  <c r="B13" i="58"/>
  <c r="C13" i="58"/>
  <c r="D13" i="58"/>
  <c r="E13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W13" i="58"/>
  <c r="X13" i="58"/>
  <c r="Y13" i="58"/>
  <c r="B16" i="58"/>
  <c r="C16" i="58"/>
  <c r="D16" i="58"/>
  <c r="E16" i="58"/>
  <c r="F16" i="58"/>
  <c r="G16" i="58"/>
  <c r="H16" i="58"/>
  <c r="I16" i="58"/>
  <c r="J16" i="58"/>
  <c r="K16" i="58"/>
  <c r="L16" i="58"/>
  <c r="M16" i="58"/>
  <c r="N16" i="58"/>
  <c r="O16" i="58"/>
  <c r="P16" i="58"/>
  <c r="Q16" i="58"/>
  <c r="R16" i="58"/>
  <c r="S16" i="58"/>
  <c r="T16" i="58"/>
  <c r="U16" i="58"/>
  <c r="W16" i="58"/>
  <c r="X16" i="58"/>
  <c r="Y16" i="58"/>
  <c r="B17" i="58"/>
  <c r="C17" i="58"/>
  <c r="D17" i="58"/>
  <c r="E17" i="58"/>
  <c r="F17" i="58"/>
  <c r="G17" i="58"/>
  <c r="H17" i="58"/>
  <c r="I17" i="58"/>
  <c r="J17" i="58"/>
  <c r="K17" i="58"/>
  <c r="L17" i="58"/>
  <c r="M17" i="58"/>
  <c r="N17" i="58"/>
  <c r="O17" i="58"/>
  <c r="P17" i="58"/>
  <c r="Q17" i="58"/>
  <c r="R17" i="58"/>
  <c r="S17" i="58"/>
  <c r="T17" i="58"/>
  <c r="U17" i="58"/>
  <c r="W17" i="58"/>
  <c r="X17" i="58"/>
  <c r="Y17" i="58"/>
  <c r="B19" i="58"/>
  <c r="C19" i="58"/>
  <c r="D19" i="58"/>
  <c r="E19" i="58"/>
  <c r="F19" i="58"/>
  <c r="G19" i="58"/>
  <c r="H19" i="58"/>
  <c r="I19" i="58"/>
  <c r="J19" i="58"/>
  <c r="K19" i="58"/>
  <c r="L19" i="58"/>
  <c r="M19" i="58"/>
  <c r="N19" i="58"/>
  <c r="O19" i="58"/>
  <c r="P19" i="58"/>
  <c r="Q19" i="58"/>
  <c r="R19" i="58"/>
  <c r="S19" i="58"/>
  <c r="T19" i="58"/>
  <c r="U19" i="58"/>
  <c r="W19" i="58"/>
  <c r="X19" i="58"/>
  <c r="Y19" i="58"/>
  <c r="B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W20" i="58"/>
  <c r="X20" i="58"/>
  <c r="Y20" i="58"/>
  <c r="B23" i="58"/>
  <c r="C23" i="58"/>
  <c r="D23" i="58"/>
  <c r="E23" i="58"/>
  <c r="F23" i="58"/>
  <c r="G23" i="58"/>
  <c r="H23" i="58"/>
  <c r="I23" i="58"/>
  <c r="J23" i="58"/>
  <c r="K23" i="58"/>
  <c r="L23" i="58"/>
  <c r="M23" i="58"/>
  <c r="N23" i="58"/>
  <c r="O23" i="58"/>
  <c r="P23" i="58"/>
  <c r="Q23" i="58"/>
  <c r="R23" i="58"/>
  <c r="S23" i="58"/>
  <c r="T23" i="58"/>
  <c r="U23" i="58"/>
  <c r="W23" i="58"/>
  <c r="X23" i="58"/>
  <c r="Y23" i="58"/>
  <c r="B24" i="58"/>
  <c r="C24" i="58"/>
  <c r="D24" i="58"/>
  <c r="E24" i="58"/>
  <c r="F24" i="58"/>
  <c r="G24" i="58"/>
  <c r="H24" i="58"/>
  <c r="I24" i="58"/>
  <c r="J24" i="58"/>
  <c r="K24" i="58"/>
  <c r="L24" i="58"/>
  <c r="M24" i="58"/>
  <c r="N24" i="58"/>
  <c r="O24" i="58"/>
  <c r="P24" i="58"/>
  <c r="Q24" i="58"/>
  <c r="R24" i="58"/>
  <c r="S24" i="58"/>
  <c r="T24" i="58"/>
  <c r="U24" i="58"/>
  <c r="W24" i="58"/>
  <c r="X24" i="58"/>
  <c r="Y24" i="58"/>
  <c r="B25" i="58"/>
  <c r="C25" i="58"/>
  <c r="D25" i="58"/>
  <c r="E25" i="58"/>
  <c r="F25" i="58"/>
  <c r="G25" i="58"/>
  <c r="H25" i="58"/>
  <c r="I25" i="58"/>
  <c r="J25" i="58"/>
  <c r="K25" i="58"/>
  <c r="L25" i="58"/>
  <c r="M25" i="58"/>
  <c r="N25" i="58"/>
  <c r="O25" i="58"/>
  <c r="P25" i="58"/>
  <c r="Q25" i="58"/>
  <c r="R25" i="58"/>
  <c r="S25" i="58"/>
  <c r="T25" i="58"/>
  <c r="U25" i="58"/>
  <c r="W25" i="58"/>
  <c r="X25" i="58"/>
  <c r="Y25" i="58"/>
  <c r="B26" i="58"/>
  <c r="C26" i="58"/>
  <c r="D26" i="58"/>
  <c r="E26" i="58"/>
  <c r="F26" i="58"/>
  <c r="G26" i="58"/>
  <c r="H26" i="58"/>
  <c r="I26" i="58"/>
  <c r="J26" i="58"/>
  <c r="K26" i="58"/>
  <c r="L26" i="58"/>
  <c r="M26" i="58"/>
  <c r="N26" i="58"/>
  <c r="O26" i="58"/>
  <c r="P26" i="58"/>
  <c r="Q26" i="58"/>
  <c r="R26" i="58"/>
  <c r="S26" i="58"/>
  <c r="T26" i="58"/>
  <c r="U26" i="58"/>
  <c r="W26" i="58"/>
  <c r="X26" i="58"/>
  <c r="Y26" i="58"/>
  <c r="B27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U27" i="58"/>
  <c r="W27" i="58"/>
  <c r="X27" i="58"/>
  <c r="Y27" i="58"/>
  <c r="B28" i="58"/>
  <c r="C28" i="58"/>
  <c r="D28" i="58"/>
  <c r="E28" i="58"/>
  <c r="F28" i="58"/>
  <c r="G28" i="58"/>
  <c r="H28" i="58"/>
  <c r="I28" i="58"/>
  <c r="J28" i="58"/>
  <c r="K28" i="58"/>
  <c r="L28" i="58"/>
  <c r="M28" i="58"/>
  <c r="N28" i="58"/>
  <c r="O28" i="58"/>
  <c r="P28" i="58"/>
  <c r="Q28" i="58"/>
  <c r="R28" i="58"/>
  <c r="S28" i="58"/>
  <c r="T28" i="58"/>
  <c r="U28" i="58"/>
  <c r="W28" i="58"/>
  <c r="X28" i="58"/>
  <c r="Y28" i="58"/>
  <c r="B29" i="58"/>
  <c r="C29" i="58"/>
  <c r="D29" i="58"/>
  <c r="E29" i="58"/>
  <c r="F29" i="58"/>
  <c r="G29" i="58"/>
  <c r="H29" i="58"/>
  <c r="I29" i="58"/>
  <c r="J29" i="58"/>
  <c r="K29" i="58"/>
  <c r="L29" i="58"/>
  <c r="M29" i="58"/>
  <c r="N29" i="58"/>
  <c r="O29" i="58"/>
  <c r="P29" i="58"/>
  <c r="Q29" i="58"/>
  <c r="R29" i="58"/>
  <c r="S29" i="58"/>
  <c r="T29" i="58"/>
  <c r="U29" i="58"/>
  <c r="W29" i="58"/>
  <c r="X29" i="58"/>
  <c r="Y29" i="58"/>
  <c r="B32" i="58"/>
  <c r="C32" i="58"/>
  <c r="D32" i="58"/>
  <c r="E32" i="58"/>
  <c r="F32" i="58"/>
  <c r="G32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W32" i="58"/>
  <c r="X32" i="58"/>
  <c r="Y32" i="58"/>
  <c r="B34" i="58"/>
  <c r="C34" i="58"/>
  <c r="D34" i="58"/>
  <c r="E34" i="58"/>
  <c r="F34" i="58"/>
  <c r="G34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W34" i="58"/>
  <c r="X34" i="58"/>
  <c r="Y34" i="58"/>
  <c r="B36" i="58"/>
  <c r="C36" i="58"/>
  <c r="D36" i="58"/>
  <c r="E36" i="58"/>
  <c r="F36" i="58"/>
  <c r="G36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W36" i="58"/>
  <c r="X36" i="58"/>
  <c r="Y36" i="58"/>
  <c r="B38" i="58"/>
  <c r="C38" i="58"/>
  <c r="D38" i="58"/>
  <c r="E38" i="58"/>
  <c r="F38" i="58"/>
  <c r="G38" i="58"/>
  <c r="H38" i="58"/>
  <c r="I38" i="58"/>
  <c r="J38" i="58"/>
  <c r="K38" i="58"/>
  <c r="L38" i="58"/>
  <c r="M38" i="58"/>
  <c r="N38" i="58"/>
  <c r="O38" i="58"/>
  <c r="P38" i="58"/>
  <c r="Q38" i="58"/>
  <c r="R38" i="58"/>
  <c r="S38" i="58"/>
  <c r="T38" i="58"/>
  <c r="U38" i="58"/>
  <c r="W38" i="58"/>
  <c r="X38" i="58"/>
  <c r="Y38" i="58"/>
  <c r="B40" i="58"/>
  <c r="C40" i="58"/>
  <c r="D40" i="58"/>
  <c r="E40" i="58"/>
  <c r="F40" i="58"/>
  <c r="G40" i="58"/>
  <c r="H40" i="58"/>
  <c r="I40" i="58"/>
  <c r="J40" i="58"/>
  <c r="K40" i="58"/>
  <c r="L40" i="58"/>
  <c r="M40" i="58"/>
  <c r="N40" i="58"/>
  <c r="O40" i="58"/>
  <c r="P40" i="58"/>
  <c r="Q40" i="58"/>
  <c r="R40" i="58"/>
  <c r="S40" i="58"/>
  <c r="T40" i="58"/>
  <c r="U40" i="58"/>
  <c r="W40" i="58"/>
  <c r="X40" i="58"/>
  <c r="Y40" i="58"/>
  <c r="B42" i="58"/>
  <c r="C42" i="58"/>
  <c r="D42" i="58"/>
  <c r="E42" i="58"/>
  <c r="F42" i="58"/>
  <c r="G42" i="58"/>
  <c r="H42" i="58"/>
  <c r="I42" i="58"/>
  <c r="J42" i="58"/>
  <c r="K42" i="58"/>
  <c r="L42" i="58"/>
  <c r="M42" i="58"/>
  <c r="N42" i="58"/>
  <c r="O42" i="58"/>
  <c r="P42" i="58"/>
  <c r="Q42" i="58"/>
  <c r="R42" i="58"/>
  <c r="S42" i="58"/>
  <c r="T42" i="58"/>
  <c r="U42" i="58"/>
  <c r="W42" i="58"/>
  <c r="X42" i="58"/>
  <c r="Y42" i="58"/>
  <c r="B43" i="58"/>
  <c r="C43" i="58"/>
  <c r="D43" i="58"/>
  <c r="E43" i="58"/>
  <c r="F43" i="58"/>
  <c r="G43" i="58"/>
  <c r="H43" i="58"/>
  <c r="I43" i="58"/>
  <c r="J43" i="58"/>
  <c r="K43" i="58"/>
  <c r="L43" i="58"/>
  <c r="M43" i="58"/>
  <c r="N43" i="58"/>
  <c r="O43" i="58"/>
  <c r="P43" i="58"/>
  <c r="Q43" i="58"/>
  <c r="R43" i="58"/>
  <c r="S43" i="58"/>
  <c r="T43" i="58"/>
  <c r="U43" i="58"/>
  <c r="W43" i="58"/>
  <c r="X43" i="58"/>
  <c r="Y43" i="58"/>
  <c r="B45" i="58"/>
  <c r="C45" i="58"/>
  <c r="D45" i="58"/>
  <c r="E45" i="58"/>
  <c r="F45" i="58"/>
  <c r="G45" i="58"/>
  <c r="H45" i="58"/>
  <c r="I45" i="58"/>
  <c r="J45" i="58"/>
  <c r="K45" i="58"/>
  <c r="L45" i="58"/>
  <c r="M45" i="58"/>
  <c r="N45" i="58"/>
  <c r="O45" i="58"/>
  <c r="P45" i="58"/>
  <c r="Q45" i="58"/>
  <c r="R45" i="58"/>
  <c r="S45" i="58"/>
  <c r="T45" i="58"/>
  <c r="U45" i="58"/>
  <c r="W45" i="58"/>
  <c r="X45" i="58"/>
  <c r="Y45" i="58"/>
  <c r="C8" i="57"/>
  <c r="D8" i="57"/>
  <c r="E8" i="57"/>
  <c r="C14" i="57"/>
  <c r="C24" i="57"/>
  <c r="D24" i="57"/>
  <c r="E24" i="57"/>
  <c r="F24" i="57"/>
  <c r="G24" i="57"/>
  <c r="H24" i="57"/>
  <c r="I24" i="57"/>
  <c r="J24" i="57"/>
  <c r="K24" i="57"/>
  <c r="L24" i="57"/>
  <c r="M24" i="57"/>
  <c r="N24" i="57"/>
  <c r="O24" i="57"/>
  <c r="P24" i="57"/>
  <c r="Q24" i="57"/>
  <c r="R24" i="57"/>
  <c r="S24" i="57"/>
  <c r="T24" i="57"/>
  <c r="U24" i="57"/>
  <c r="V24" i="57"/>
  <c r="C25" i="57"/>
  <c r="D25" i="57"/>
  <c r="E25" i="57"/>
  <c r="F25" i="57"/>
  <c r="G25" i="57"/>
  <c r="H25" i="57"/>
  <c r="I25" i="57"/>
  <c r="J25" i="57"/>
  <c r="K25" i="57"/>
  <c r="L25" i="57"/>
  <c r="M25" i="57"/>
  <c r="N25" i="57"/>
  <c r="O25" i="57"/>
  <c r="P25" i="57"/>
  <c r="Q25" i="57"/>
  <c r="R25" i="57"/>
  <c r="S25" i="57"/>
  <c r="T25" i="57"/>
  <c r="U25" i="57"/>
  <c r="V25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C37" i="57"/>
  <c r="D37" i="57"/>
  <c r="E37" i="57"/>
  <c r="F37" i="57"/>
  <c r="G37" i="57"/>
  <c r="H37" i="57"/>
  <c r="I37" i="57"/>
  <c r="J37" i="57"/>
  <c r="K37" i="57"/>
  <c r="L37" i="57"/>
  <c r="M37" i="57"/>
  <c r="N37" i="57"/>
  <c r="O37" i="57"/>
  <c r="P37" i="57"/>
  <c r="Q37" i="57"/>
  <c r="R37" i="57"/>
  <c r="S37" i="57"/>
  <c r="T37" i="57"/>
  <c r="U37" i="57"/>
  <c r="V37" i="57"/>
  <c r="C38" i="57"/>
  <c r="D38" i="57"/>
  <c r="E38" i="57"/>
  <c r="F38" i="57"/>
  <c r="G38" i="57"/>
  <c r="H38" i="57"/>
  <c r="I38" i="57"/>
  <c r="J38" i="57"/>
  <c r="K38" i="57"/>
  <c r="L38" i="57"/>
  <c r="M38" i="57"/>
  <c r="N38" i="57"/>
  <c r="O38" i="57"/>
  <c r="P38" i="57"/>
  <c r="Q38" i="57"/>
  <c r="R38" i="57"/>
  <c r="S38" i="57"/>
  <c r="T38" i="57"/>
  <c r="U38" i="57"/>
  <c r="V38" i="57"/>
  <c r="C40" i="57"/>
  <c r="D40" i="57"/>
  <c r="E40" i="57"/>
  <c r="F40" i="57"/>
  <c r="G40" i="57"/>
  <c r="H40" i="57"/>
  <c r="I40" i="57"/>
  <c r="J40" i="57"/>
  <c r="K40" i="57"/>
  <c r="L40" i="57"/>
  <c r="M40" i="57"/>
  <c r="N40" i="57"/>
  <c r="O40" i="57"/>
  <c r="P40" i="57"/>
  <c r="Q40" i="57"/>
  <c r="R40" i="57"/>
  <c r="S40" i="57"/>
  <c r="T40" i="57"/>
  <c r="U40" i="57"/>
  <c r="V40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C51" i="57"/>
  <c r="D51" i="57"/>
  <c r="E51" i="57"/>
  <c r="F51" i="57"/>
  <c r="G51" i="57"/>
  <c r="H51" i="57"/>
  <c r="I51" i="57"/>
  <c r="J51" i="57"/>
  <c r="K51" i="57"/>
  <c r="L51" i="57"/>
  <c r="M51" i="57"/>
  <c r="N51" i="57"/>
  <c r="O51" i="57"/>
  <c r="P51" i="57"/>
  <c r="Q51" i="57"/>
  <c r="R51" i="57"/>
  <c r="S51" i="57"/>
  <c r="T51" i="57"/>
  <c r="U51" i="57"/>
  <c r="V51" i="57"/>
  <c r="F53" i="57"/>
  <c r="G53" i="57"/>
  <c r="H53" i="57"/>
  <c r="I53" i="57"/>
  <c r="J53" i="57"/>
  <c r="K53" i="57"/>
  <c r="L53" i="57"/>
  <c r="M53" i="57"/>
  <c r="N53" i="57"/>
  <c r="O53" i="57"/>
  <c r="P53" i="57"/>
  <c r="Q53" i="57"/>
  <c r="R53" i="57"/>
  <c r="S53" i="57"/>
  <c r="T53" i="57"/>
  <c r="U53" i="57"/>
  <c r="V53" i="57"/>
  <c r="B8" i="55"/>
  <c r="C8" i="55"/>
  <c r="F8" i="55"/>
  <c r="G8" i="55"/>
  <c r="B9" i="55"/>
  <c r="C9" i="55"/>
  <c r="F9" i="55"/>
  <c r="G9" i="55"/>
  <c r="B10" i="55"/>
  <c r="C10" i="55"/>
  <c r="F10" i="55"/>
  <c r="G10" i="55"/>
  <c r="B12" i="55"/>
  <c r="C12" i="55"/>
  <c r="F12" i="55"/>
  <c r="G12" i="55"/>
  <c r="B14" i="55"/>
  <c r="C14" i="55"/>
  <c r="F14" i="55"/>
  <c r="G14" i="55"/>
  <c r="E20" i="55"/>
  <c r="B21" i="55"/>
  <c r="C21" i="55"/>
  <c r="D21" i="55"/>
  <c r="B23" i="55"/>
  <c r="C23" i="55"/>
  <c r="D23" i="55"/>
  <c r="E25" i="55"/>
  <c r="E26" i="55"/>
  <c r="B27" i="55"/>
  <c r="C27" i="55"/>
  <c r="D27" i="55"/>
  <c r="E27" i="55"/>
  <c r="B40" i="55"/>
  <c r="C40" i="55"/>
  <c r="B43" i="55"/>
  <c r="C43" i="55"/>
  <c r="D48" i="55"/>
  <c r="E48" i="55"/>
  <c r="D49" i="55"/>
  <c r="E49" i="55"/>
  <c r="D52" i="55"/>
  <c r="E52" i="55"/>
  <c r="F52" i="55"/>
  <c r="D54" i="55"/>
  <c r="E54" i="55"/>
  <c r="F54" i="55"/>
  <c r="D56" i="55"/>
  <c r="D58" i="55"/>
  <c r="B61" i="55"/>
  <c r="C61" i="55"/>
  <c r="D61" i="55"/>
  <c r="E61" i="55"/>
  <c r="F61" i="55"/>
  <c r="B62" i="55"/>
  <c r="C62" i="55"/>
  <c r="D62" i="55"/>
  <c r="E62" i="55"/>
  <c r="F62" i="55"/>
  <c r="B63" i="55"/>
  <c r="C63" i="55"/>
  <c r="D63" i="55"/>
  <c r="E63" i="55"/>
  <c r="F63" i="55"/>
  <c r="B64" i="55"/>
  <c r="C64" i="55"/>
  <c r="D64" i="55"/>
  <c r="E64" i="55"/>
  <c r="F64" i="55"/>
  <c r="B8" i="62"/>
  <c r="C8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S8" i="62"/>
  <c r="T8" i="62"/>
  <c r="U8" i="62"/>
  <c r="W8" i="62"/>
  <c r="X8" i="62"/>
  <c r="Y8" i="62"/>
  <c r="B12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W12" i="62"/>
  <c r="X12" i="62"/>
  <c r="Y12" i="62"/>
  <c r="B13" i="62"/>
  <c r="C13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S13" i="62"/>
  <c r="T13" i="62"/>
  <c r="U13" i="62"/>
  <c r="W13" i="62"/>
  <c r="X13" i="62"/>
  <c r="Y13" i="62"/>
  <c r="B14" i="62"/>
  <c r="C14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S14" i="62"/>
  <c r="T14" i="62"/>
  <c r="U14" i="62"/>
  <c r="W14" i="62"/>
  <c r="X14" i="62"/>
  <c r="Y14" i="62"/>
  <c r="B15" i="62"/>
  <c r="C15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S15" i="62"/>
  <c r="T15" i="62"/>
  <c r="U15" i="62"/>
  <c r="W15" i="62"/>
  <c r="X15" i="62"/>
  <c r="Y15" i="62"/>
  <c r="B16" i="62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B19" i="62"/>
  <c r="C19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S19" i="62"/>
  <c r="T19" i="62"/>
  <c r="U19" i="62"/>
  <c r="B21" i="62"/>
  <c r="C21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S21" i="62"/>
  <c r="T21" i="62"/>
  <c r="U21" i="62"/>
  <c r="B22" i="62"/>
  <c r="C22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S22" i="62"/>
  <c r="T22" i="62"/>
  <c r="U22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W24" i="62"/>
  <c r="X24" i="62"/>
  <c r="Y24" i="62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X44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V46" i="24"/>
  <c r="W46" i="24"/>
  <c r="X46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V50" i="24"/>
  <c r="W50" i="24"/>
  <c r="X50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V52" i="24"/>
  <c r="W52" i="24"/>
  <c r="X52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V62" i="24"/>
  <c r="W62" i="24"/>
  <c r="X62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V63" i="24"/>
  <c r="W63" i="24"/>
  <c r="X63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V67" i="24"/>
  <c r="W67" i="24"/>
  <c r="X67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V68" i="24"/>
  <c r="W68" i="24"/>
  <c r="X68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V69" i="24"/>
  <c r="W69" i="24"/>
  <c r="X69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T83" i="24"/>
  <c r="U83" i="24"/>
  <c r="V83" i="24"/>
  <c r="W83" i="24"/>
  <c r="X83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T84" i="24"/>
  <c r="U84" i="24"/>
  <c r="V84" i="24"/>
  <c r="W84" i="24"/>
  <c r="X84" i="24"/>
  <c r="E85" i="24"/>
  <c r="F85" i="24"/>
  <c r="G85" i="24"/>
  <c r="H85" i="24"/>
  <c r="I85" i="24"/>
  <c r="J85" i="24"/>
  <c r="K85" i="24"/>
  <c r="L85" i="24"/>
  <c r="M85" i="24"/>
  <c r="N85" i="24"/>
  <c r="O85" i="24"/>
  <c r="P85" i="24"/>
  <c r="Q85" i="24"/>
  <c r="R85" i="24"/>
  <c r="S85" i="24"/>
  <c r="T85" i="24"/>
  <c r="U85" i="24"/>
  <c r="V85" i="24"/>
  <c r="W85" i="24"/>
  <c r="X85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Q92" i="24"/>
  <c r="R92" i="24"/>
  <c r="S92" i="24"/>
  <c r="T92" i="24"/>
  <c r="U92" i="24"/>
  <c r="V92" i="24"/>
  <c r="W92" i="24"/>
  <c r="X92" i="24"/>
  <c r="E93" i="24"/>
  <c r="F93" i="24"/>
  <c r="G93" i="24"/>
  <c r="H93" i="24"/>
  <c r="I93" i="24"/>
  <c r="J93" i="24"/>
  <c r="K93" i="24"/>
  <c r="L93" i="24"/>
  <c r="M93" i="24"/>
  <c r="N93" i="24"/>
  <c r="O93" i="24"/>
  <c r="P93" i="24"/>
  <c r="Q93" i="24"/>
  <c r="R93" i="24"/>
  <c r="S93" i="24"/>
  <c r="T93" i="24"/>
  <c r="U93" i="24"/>
  <c r="V93" i="24"/>
  <c r="W93" i="24"/>
  <c r="X93" i="24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B8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X10" i="29"/>
  <c r="Y10" i="29"/>
  <c r="Z10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X12" i="29"/>
  <c r="Y12" i="29"/>
  <c r="Z12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X20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X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X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X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X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X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X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X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X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X31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X32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X33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X34" i="29"/>
  <c r="Y34" i="29"/>
  <c r="Z34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X36" i="29"/>
  <c r="Y36" i="29"/>
  <c r="Z36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X38" i="29"/>
  <c r="Y38" i="29"/>
  <c r="Z38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X40" i="29"/>
  <c r="Y40" i="29"/>
  <c r="Z40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X56" i="29"/>
  <c r="Y56" i="29"/>
  <c r="Z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E7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E19" i="27"/>
  <c r="L19" i="27"/>
  <c r="M19" i="27"/>
  <c r="N19" i="27"/>
  <c r="Q19" i="27"/>
  <c r="R19" i="27"/>
  <c r="S19" i="27"/>
  <c r="T19" i="27"/>
  <c r="U19" i="27"/>
  <c r="V19" i="27"/>
  <c r="W19" i="27"/>
  <c r="X19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Z24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Z27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C34" i="27"/>
  <c r="E34" i="27"/>
  <c r="E43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Z61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Z64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C71" i="27"/>
  <c r="E71" i="27"/>
  <c r="E74" i="27"/>
  <c r="J75" i="27"/>
  <c r="J76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G87" i="27"/>
  <c r="H87" i="27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X8" i="28"/>
  <c r="Y8" i="28"/>
  <c r="Z8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X10" i="28"/>
  <c r="Y10" i="28"/>
  <c r="Z10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X24" i="28"/>
  <c r="Y24" i="28"/>
  <c r="Z24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X26" i="28"/>
  <c r="Y26" i="28"/>
  <c r="Z26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X39" i="28"/>
  <c r="Y39" i="28"/>
  <c r="Z39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X41" i="28"/>
  <c r="Y41" i="28"/>
  <c r="Z41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X43" i="28"/>
  <c r="Y43" i="28"/>
  <c r="Z43" i="28"/>
  <c r="B45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X47" i="28"/>
  <c r="Y47" i="28"/>
  <c r="Z47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X57" i="28"/>
  <c r="Y57" i="28"/>
  <c r="Z57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X59" i="28"/>
  <c r="Y59" i="28"/>
  <c r="Z59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X61" i="28"/>
  <c r="Y61" i="28"/>
  <c r="Z61" i="28"/>
  <c r="B63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X63" i="28"/>
  <c r="Y63" i="28"/>
  <c r="Z63" i="28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X19" i="30"/>
  <c r="Y19" i="30"/>
  <c r="Z19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X21" i="30"/>
  <c r="Y21" i="30"/>
  <c r="Z21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X23" i="30"/>
  <c r="Y23" i="30"/>
  <c r="Z23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X25" i="30"/>
  <c r="Y25" i="30"/>
  <c r="Z25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X27" i="30"/>
  <c r="Y27" i="30"/>
  <c r="Z27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X29" i="30"/>
  <c r="Y29" i="30"/>
  <c r="Z29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T31" i="30"/>
  <c r="U31" i="30"/>
  <c r="V31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U33" i="30"/>
  <c r="V33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X37" i="30"/>
  <c r="Y37" i="30"/>
  <c r="Z37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X40" i="30"/>
  <c r="Y40" i="30"/>
  <c r="Z40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X42" i="30"/>
  <c r="Y42" i="30"/>
  <c r="Z42" i="30"/>
  <c r="C44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C45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C47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X47" i="30"/>
  <c r="Y47" i="30"/>
  <c r="Z47" i="30"/>
  <c r="C49" i="30"/>
  <c r="D49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X49" i="30"/>
  <c r="Y49" i="30"/>
  <c r="Z49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X57" i="30"/>
  <c r="Y57" i="30"/>
  <c r="Z57" i="30"/>
  <c r="C59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X59" i="30"/>
  <c r="Y59" i="30"/>
  <c r="Z59" i="30"/>
  <c r="C61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X61" i="30"/>
  <c r="Y61" i="30"/>
  <c r="Z61" i="30"/>
  <c r="B63" i="30"/>
  <c r="C63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X63" i="30"/>
  <c r="Y63" i="30"/>
  <c r="Z63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T65" i="30"/>
  <c r="U65" i="30"/>
  <c r="V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U67" i="30"/>
  <c r="V67" i="30"/>
  <c r="C68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C69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X71" i="30"/>
  <c r="Y71" i="30"/>
  <c r="Z71" i="30"/>
  <c r="BA8" i="1"/>
  <c r="AV9" i="1"/>
  <c r="AV10" i="1"/>
  <c r="AV11" i="1"/>
  <c r="H12" i="1"/>
  <c r="J12" i="1"/>
  <c r="L12" i="1"/>
  <c r="N12" i="1"/>
  <c r="P12" i="1"/>
  <c r="R12" i="1"/>
  <c r="T12" i="1"/>
  <c r="V12" i="1"/>
  <c r="X12" i="1"/>
  <c r="Z12" i="1"/>
  <c r="AB12" i="1"/>
  <c r="AV12" i="1"/>
  <c r="F13" i="1"/>
  <c r="H13" i="1"/>
  <c r="J13" i="1"/>
  <c r="L13" i="1"/>
  <c r="N13" i="1"/>
  <c r="P13" i="1"/>
  <c r="R13" i="1"/>
  <c r="T13" i="1"/>
  <c r="V13" i="1"/>
  <c r="X13" i="1"/>
  <c r="Z13" i="1"/>
  <c r="AB13" i="1"/>
  <c r="AV13" i="1"/>
  <c r="H14" i="1"/>
  <c r="J14" i="1"/>
  <c r="L14" i="1"/>
  <c r="N14" i="1"/>
  <c r="P14" i="1"/>
  <c r="R14" i="1"/>
  <c r="T14" i="1"/>
  <c r="V14" i="1"/>
  <c r="X14" i="1"/>
  <c r="Z14" i="1"/>
  <c r="AB14" i="1"/>
  <c r="AV14" i="1"/>
  <c r="H15" i="1"/>
  <c r="J15" i="1"/>
  <c r="L15" i="1"/>
  <c r="N15" i="1"/>
  <c r="P15" i="1"/>
  <c r="R15" i="1"/>
  <c r="T15" i="1"/>
  <c r="V15" i="1"/>
  <c r="X15" i="1"/>
  <c r="Z15" i="1"/>
  <c r="AB15" i="1"/>
  <c r="AV15" i="1"/>
  <c r="F16" i="1"/>
  <c r="H16" i="1"/>
  <c r="J16" i="1"/>
  <c r="L16" i="1"/>
  <c r="N16" i="1"/>
  <c r="P16" i="1"/>
  <c r="R16" i="1"/>
  <c r="T16" i="1"/>
  <c r="V16" i="1"/>
  <c r="X16" i="1"/>
  <c r="Z16" i="1"/>
  <c r="AV16" i="1"/>
  <c r="AV17" i="1"/>
  <c r="AV18" i="1"/>
  <c r="H19" i="1"/>
  <c r="J19" i="1"/>
  <c r="L19" i="1"/>
  <c r="N19" i="1"/>
  <c r="P19" i="1"/>
  <c r="R19" i="1"/>
  <c r="T19" i="1"/>
  <c r="V19" i="1"/>
  <c r="X19" i="1"/>
  <c r="Z19" i="1"/>
  <c r="AB19" i="1"/>
  <c r="AV19" i="1"/>
  <c r="H20" i="1"/>
  <c r="J20" i="1"/>
  <c r="N20" i="1"/>
  <c r="P20" i="1"/>
  <c r="R20" i="1"/>
  <c r="T20" i="1"/>
  <c r="V20" i="1"/>
  <c r="X20" i="1"/>
  <c r="Z20" i="1"/>
  <c r="AB20" i="1"/>
  <c r="AV20" i="1"/>
  <c r="H21" i="1"/>
  <c r="J21" i="1"/>
  <c r="L21" i="1"/>
  <c r="N21" i="1"/>
  <c r="R21" i="1"/>
  <c r="T21" i="1"/>
  <c r="V21" i="1"/>
  <c r="X21" i="1"/>
  <c r="Z21" i="1"/>
  <c r="AV21" i="1"/>
  <c r="H22" i="1"/>
  <c r="J22" i="1"/>
  <c r="N22" i="1"/>
  <c r="P22" i="1"/>
  <c r="R22" i="1"/>
  <c r="T22" i="1"/>
  <c r="V22" i="1"/>
  <c r="X22" i="1"/>
  <c r="Z22" i="1"/>
  <c r="AB22" i="1"/>
  <c r="AV22" i="1"/>
  <c r="H23" i="1"/>
  <c r="J23" i="1"/>
  <c r="N23" i="1"/>
  <c r="P23" i="1"/>
  <c r="R23" i="1"/>
  <c r="T23" i="1"/>
  <c r="V23" i="1"/>
  <c r="X23" i="1"/>
  <c r="Z23" i="1"/>
  <c r="AB23" i="1"/>
  <c r="AV23" i="1"/>
  <c r="H24" i="1"/>
  <c r="J24" i="1"/>
  <c r="N24" i="1"/>
  <c r="P24" i="1"/>
  <c r="R24" i="1"/>
  <c r="T24" i="1"/>
  <c r="V24" i="1"/>
  <c r="X24" i="1"/>
  <c r="Z24" i="1"/>
  <c r="AB24" i="1"/>
  <c r="AV24" i="1"/>
  <c r="F25" i="1"/>
  <c r="H25" i="1"/>
  <c r="J25" i="1"/>
  <c r="L25" i="1"/>
  <c r="N25" i="1"/>
  <c r="P25" i="1"/>
  <c r="R25" i="1"/>
  <c r="T25" i="1"/>
  <c r="V25" i="1"/>
  <c r="X25" i="1"/>
  <c r="Z25" i="1"/>
  <c r="AV25" i="1"/>
  <c r="AV26" i="1"/>
  <c r="H27" i="1"/>
  <c r="J27" i="1"/>
  <c r="L27" i="1"/>
  <c r="N27" i="1"/>
  <c r="P27" i="1"/>
  <c r="AV27" i="1"/>
  <c r="AV28" i="1"/>
  <c r="H29" i="1"/>
  <c r="J29" i="1"/>
  <c r="L29" i="1"/>
  <c r="N29" i="1"/>
  <c r="AB29" i="1"/>
  <c r="AV29" i="1"/>
  <c r="AV30" i="1"/>
  <c r="F31" i="1"/>
  <c r="H31" i="1"/>
  <c r="J31" i="1"/>
  <c r="L31" i="1"/>
  <c r="N31" i="1"/>
  <c r="R31" i="1"/>
  <c r="T31" i="1"/>
  <c r="V31" i="1"/>
  <c r="X31" i="1"/>
  <c r="AV31" i="1"/>
  <c r="J32" i="1"/>
  <c r="L32" i="1"/>
  <c r="N32" i="1"/>
  <c r="AV32" i="1"/>
  <c r="AV33" i="1"/>
  <c r="G6" i="54"/>
  <c r="H6" i="54"/>
  <c r="I6" i="54"/>
  <c r="J6" i="54"/>
  <c r="K6" i="54"/>
  <c r="L6" i="54"/>
  <c r="M6" i="54"/>
  <c r="N6" i="54"/>
  <c r="O6" i="54"/>
  <c r="P6" i="54"/>
  <c r="Q6" i="54"/>
  <c r="R6" i="54"/>
  <c r="S6" i="54"/>
  <c r="T6" i="54"/>
  <c r="U6" i="54"/>
  <c r="V6" i="54"/>
  <c r="W6" i="54"/>
  <c r="X6" i="54"/>
  <c r="Y6" i="54"/>
  <c r="Z6" i="54"/>
  <c r="F10" i="54"/>
  <c r="G10" i="54"/>
  <c r="H10" i="54"/>
  <c r="I10" i="54"/>
  <c r="J10" i="54"/>
  <c r="K10" i="54"/>
  <c r="L10" i="54"/>
  <c r="M10" i="54"/>
  <c r="N10" i="54"/>
  <c r="O10" i="54"/>
  <c r="P10" i="54"/>
  <c r="Q10" i="54"/>
  <c r="R10" i="54"/>
  <c r="S10" i="54"/>
  <c r="T10" i="54"/>
  <c r="U10" i="54"/>
  <c r="V10" i="54"/>
  <c r="W10" i="54"/>
  <c r="X10" i="54"/>
  <c r="Y10" i="54"/>
  <c r="Z10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F12" i="54"/>
  <c r="G12" i="54"/>
  <c r="H12" i="54"/>
  <c r="I12" i="54"/>
  <c r="J12" i="54"/>
  <c r="K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F17" i="54"/>
  <c r="G17" i="54"/>
  <c r="H17" i="54"/>
  <c r="I17" i="54"/>
  <c r="J17" i="54"/>
  <c r="K17" i="54"/>
  <c r="L17" i="54"/>
  <c r="M17" i="54"/>
  <c r="N17" i="54"/>
  <c r="O17" i="54"/>
  <c r="P17" i="54"/>
  <c r="Q17" i="54"/>
  <c r="R17" i="54"/>
  <c r="S17" i="54"/>
  <c r="T17" i="54"/>
  <c r="U17" i="54"/>
  <c r="V17" i="54"/>
  <c r="W17" i="54"/>
  <c r="X17" i="54"/>
  <c r="Y17" i="54"/>
  <c r="Z17" i="54"/>
  <c r="F18" i="54"/>
  <c r="G18" i="54"/>
  <c r="H18" i="54"/>
  <c r="I18" i="54"/>
  <c r="J18" i="54"/>
  <c r="K18" i="54"/>
  <c r="L18" i="54"/>
  <c r="M18" i="54"/>
  <c r="N18" i="54"/>
  <c r="O18" i="54"/>
  <c r="P18" i="54"/>
  <c r="Q18" i="54"/>
  <c r="R18" i="54"/>
  <c r="S18" i="54"/>
  <c r="T18" i="54"/>
  <c r="U18" i="54"/>
  <c r="V18" i="54"/>
  <c r="W18" i="54"/>
  <c r="X18" i="54"/>
  <c r="Y18" i="54"/>
  <c r="Z18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F25" i="54"/>
  <c r="G25" i="54"/>
  <c r="H25" i="54"/>
  <c r="I25" i="54"/>
  <c r="J25" i="54"/>
  <c r="K25" i="54"/>
  <c r="L25" i="54"/>
  <c r="M25" i="54"/>
  <c r="N25" i="54"/>
  <c r="O25" i="54"/>
  <c r="P25" i="54"/>
  <c r="Q25" i="54"/>
  <c r="R25" i="54"/>
  <c r="S25" i="54"/>
  <c r="T25" i="54"/>
  <c r="U25" i="54"/>
  <c r="V25" i="54"/>
  <c r="W25" i="54"/>
  <c r="X25" i="54"/>
  <c r="Y25" i="54"/>
  <c r="Z25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F48" i="54"/>
  <c r="G48" i="54"/>
  <c r="H48" i="54"/>
  <c r="I48" i="54"/>
  <c r="J48" i="54"/>
  <c r="K48" i="54"/>
  <c r="L48" i="54"/>
  <c r="M48" i="54"/>
  <c r="N48" i="54"/>
  <c r="O48" i="54"/>
  <c r="P48" i="54"/>
  <c r="Q48" i="54"/>
  <c r="R48" i="54"/>
  <c r="S48" i="54"/>
  <c r="T48" i="54"/>
  <c r="U48" i="54"/>
  <c r="V48" i="54"/>
  <c r="W48" i="54"/>
  <c r="X48" i="54"/>
  <c r="Y48" i="54"/>
  <c r="Z48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F50" i="54"/>
  <c r="G50" i="54"/>
  <c r="H50" i="54"/>
  <c r="I50" i="54"/>
  <c r="J50" i="54"/>
  <c r="K50" i="54"/>
  <c r="L50" i="54"/>
  <c r="M50" i="54"/>
  <c r="N50" i="54"/>
  <c r="O50" i="54"/>
  <c r="P50" i="54"/>
  <c r="Q50" i="54"/>
  <c r="R50" i="54"/>
  <c r="S50" i="54"/>
  <c r="T50" i="54"/>
  <c r="U50" i="54"/>
  <c r="V50" i="54"/>
  <c r="W50" i="54"/>
  <c r="X50" i="54"/>
  <c r="Y50" i="54"/>
  <c r="Z50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F57" i="54"/>
  <c r="G57" i="54"/>
  <c r="H57" i="54"/>
  <c r="I57" i="54"/>
  <c r="J57" i="54"/>
  <c r="K57" i="54"/>
  <c r="L57" i="54"/>
  <c r="M57" i="54"/>
  <c r="N57" i="54"/>
  <c r="O57" i="54"/>
  <c r="P57" i="54"/>
  <c r="Q57" i="54"/>
  <c r="R57" i="54"/>
  <c r="S57" i="54"/>
  <c r="T57" i="54"/>
  <c r="U57" i="54"/>
  <c r="V57" i="54"/>
  <c r="W57" i="54"/>
  <c r="X57" i="54"/>
  <c r="Y57" i="54"/>
  <c r="Z57" i="54"/>
  <c r="F58" i="54"/>
  <c r="G58" i="54"/>
  <c r="H58" i="54"/>
  <c r="I58" i="54"/>
  <c r="J58" i="54"/>
  <c r="K58" i="54"/>
  <c r="L58" i="54"/>
  <c r="M58" i="54"/>
  <c r="N58" i="54"/>
  <c r="O58" i="54"/>
  <c r="P58" i="54"/>
  <c r="Q58" i="54"/>
  <c r="R58" i="54"/>
  <c r="S58" i="54"/>
  <c r="T58" i="54"/>
  <c r="U58" i="54"/>
  <c r="V58" i="54"/>
  <c r="W58" i="54"/>
  <c r="X58" i="54"/>
  <c r="Y58" i="54"/>
  <c r="Z58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F62" i="54"/>
  <c r="G62" i="54"/>
  <c r="H62" i="54"/>
  <c r="I62" i="54"/>
  <c r="J62" i="54"/>
  <c r="K62" i="54"/>
  <c r="L62" i="54"/>
  <c r="M62" i="54"/>
  <c r="N62" i="54"/>
  <c r="O62" i="54"/>
  <c r="P62" i="54"/>
  <c r="Q62" i="54"/>
  <c r="R62" i="54"/>
  <c r="S62" i="54"/>
  <c r="T62" i="54"/>
  <c r="U62" i="54"/>
  <c r="V62" i="54"/>
  <c r="W62" i="54"/>
  <c r="X62" i="54"/>
  <c r="Y62" i="54"/>
  <c r="Z62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F67" i="54"/>
  <c r="G67" i="54"/>
  <c r="H67" i="54"/>
  <c r="I67" i="54"/>
  <c r="J67" i="54"/>
  <c r="K67" i="54"/>
  <c r="L67" i="54"/>
  <c r="M67" i="54"/>
  <c r="N67" i="54"/>
  <c r="O67" i="54"/>
  <c r="P67" i="54"/>
  <c r="Q67" i="54"/>
  <c r="R67" i="54"/>
  <c r="S67" i="54"/>
  <c r="T67" i="54"/>
  <c r="U67" i="54"/>
  <c r="V67" i="54"/>
  <c r="W67" i="54"/>
  <c r="X67" i="54"/>
  <c r="Y67" i="54"/>
  <c r="Z67" i="54"/>
  <c r="F69" i="54"/>
  <c r="G69" i="54"/>
  <c r="H69" i="54"/>
  <c r="I69" i="54"/>
  <c r="J69" i="54"/>
  <c r="K69" i="54"/>
  <c r="L69" i="54"/>
  <c r="M69" i="54"/>
  <c r="N69" i="54"/>
  <c r="O69" i="54"/>
  <c r="P69" i="54"/>
  <c r="Q69" i="54"/>
  <c r="R69" i="54"/>
  <c r="S69" i="54"/>
  <c r="T69" i="54"/>
  <c r="U69" i="54"/>
  <c r="V69" i="54"/>
  <c r="W69" i="54"/>
  <c r="X69" i="54"/>
  <c r="Y69" i="54"/>
  <c r="Z69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E85" i="54"/>
  <c r="F85" i="54"/>
  <c r="G85" i="54"/>
  <c r="H85" i="54"/>
  <c r="I85" i="54"/>
  <c r="J85" i="54"/>
  <c r="K85" i="54"/>
  <c r="L85" i="54"/>
  <c r="M85" i="54"/>
  <c r="N85" i="54"/>
  <c r="O85" i="54"/>
  <c r="P85" i="54"/>
  <c r="Q85" i="54"/>
  <c r="R85" i="54"/>
  <c r="S85" i="54"/>
  <c r="T85" i="54"/>
  <c r="U85" i="54"/>
  <c r="V85" i="54"/>
  <c r="W85" i="54"/>
  <c r="X85" i="54"/>
  <c r="Y85" i="54"/>
  <c r="Z85" i="54"/>
  <c r="E86" i="54"/>
  <c r="F86" i="54"/>
  <c r="G86" i="54"/>
  <c r="H86" i="54"/>
  <c r="I86" i="54"/>
  <c r="J86" i="54"/>
  <c r="K86" i="54"/>
  <c r="L86" i="54"/>
  <c r="M86" i="54"/>
  <c r="N86" i="54"/>
  <c r="O86" i="54"/>
  <c r="P86" i="54"/>
  <c r="Q86" i="54"/>
  <c r="R86" i="54"/>
  <c r="S86" i="54"/>
  <c r="T86" i="54"/>
  <c r="U86" i="54"/>
  <c r="V86" i="54"/>
  <c r="W86" i="54"/>
  <c r="X86" i="54"/>
  <c r="Y86" i="54"/>
  <c r="Z86" i="54"/>
  <c r="E87" i="54"/>
  <c r="F87" i="54"/>
  <c r="G87" i="54"/>
  <c r="H87" i="54"/>
  <c r="I87" i="54"/>
  <c r="J87" i="54"/>
  <c r="K87" i="54"/>
  <c r="L87" i="54"/>
  <c r="M87" i="54"/>
  <c r="N87" i="54"/>
  <c r="O87" i="54"/>
  <c r="P87" i="54"/>
  <c r="Q87" i="54"/>
  <c r="R87" i="54"/>
  <c r="S87" i="54"/>
  <c r="T87" i="54"/>
  <c r="U87" i="54"/>
  <c r="V87" i="54"/>
  <c r="W87" i="54"/>
  <c r="X87" i="54"/>
  <c r="Y87" i="54"/>
  <c r="Z87" i="54"/>
  <c r="F88" i="54"/>
  <c r="G88" i="54"/>
  <c r="H88" i="54"/>
  <c r="I88" i="54"/>
  <c r="J88" i="54"/>
  <c r="K88" i="54"/>
  <c r="L88" i="54"/>
  <c r="M88" i="54"/>
  <c r="N88" i="54"/>
  <c r="O88" i="54"/>
  <c r="P88" i="54"/>
  <c r="Q88" i="54"/>
  <c r="R88" i="54"/>
  <c r="S88" i="54"/>
  <c r="T88" i="54"/>
  <c r="U88" i="54"/>
  <c r="V88" i="54"/>
  <c r="W88" i="54"/>
  <c r="X88" i="54"/>
  <c r="Y88" i="54"/>
  <c r="Z88" i="54"/>
  <c r="E92" i="54"/>
  <c r="F92" i="54"/>
  <c r="G92" i="54"/>
  <c r="H92" i="54"/>
  <c r="I92" i="54"/>
  <c r="J92" i="54"/>
  <c r="K92" i="54"/>
  <c r="L92" i="54"/>
  <c r="M92" i="54"/>
  <c r="N92" i="54"/>
  <c r="O92" i="54"/>
  <c r="P92" i="54"/>
  <c r="Q92" i="54"/>
  <c r="R92" i="54"/>
  <c r="S92" i="54"/>
  <c r="T92" i="54"/>
  <c r="U92" i="54"/>
  <c r="V92" i="54"/>
  <c r="W92" i="54"/>
  <c r="X92" i="54"/>
  <c r="Y92" i="54"/>
  <c r="Z92" i="54"/>
  <c r="E93" i="54"/>
  <c r="F93" i="54"/>
  <c r="G93" i="54"/>
  <c r="H93" i="54"/>
  <c r="I93" i="54"/>
  <c r="J93" i="54"/>
  <c r="K93" i="54"/>
  <c r="L93" i="54"/>
  <c r="M93" i="54"/>
  <c r="N93" i="54"/>
  <c r="O93" i="54"/>
  <c r="P93" i="54"/>
  <c r="Q93" i="54"/>
  <c r="R93" i="54"/>
  <c r="S93" i="54"/>
  <c r="T93" i="54"/>
  <c r="U93" i="54"/>
  <c r="V93" i="54"/>
  <c r="W93" i="54"/>
  <c r="X93" i="54"/>
  <c r="Y93" i="54"/>
  <c r="Z93" i="54"/>
  <c r="E94" i="54"/>
  <c r="F94" i="54"/>
  <c r="G94" i="54"/>
  <c r="H94" i="54"/>
  <c r="I94" i="54"/>
  <c r="J94" i="54"/>
  <c r="K94" i="54"/>
  <c r="L94" i="54"/>
  <c r="M94" i="54"/>
  <c r="N94" i="54"/>
  <c r="O94" i="54"/>
  <c r="P94" i="54"/>
  <c r="Q94" i="54"/>
  <c r="R94" i="54"/>
  <c r="S94" i="54"/>
  <c r="T94" i="54"/>
  <c r="U94" i="54"/>
  <c r="V94" i="54"/>
  <c r="W94" i="54"/>
  <c r="X94" i="54"/>
  <c r="Y94" i="54"/>
  <c r="Z94" i="54"/>
  <c r="E95" i="54"/>
  <c r="F95" i="54"/>
  <c r="G95" i="54"/>
  <c r="H95" i="54"/>
  <c r="I95" i="54"/>
  <c r="J95" i="54"/>
  <c r="K95" i="54"/>
  <c r="L95" i="54"/>
  <c r="M95" i="54"/>
  <c r="N95" i="54"/>
  <c r="O95" i="54"/>
  <c r="P95" i="54"/>
  <c r="Q95" i="54"/>
  <c r="R95" i="54"/>
  <c r="S95" i="54"/>
  <c r="T95" i="54"/>
  <c r="U95" i="54"/>
  <c r="V95" i="54"/>
  <c r="W95" i="54"/>
  <c r="X95" i="54"/>
  <c r="Y95" i="54"/>
  <c r="Z95" i="54"/>
  <c r="E96" i="54"/>
  <c r="F96" i="54"/>
  <c r="G96" i="54"/>
  <c r="H96" i="54"/>
  <c r="I96" i="54"/>
  <c r="J96" i="54"/>
  <c r="K96" i="54"/>
  <c r="L96" i="54"/>
  <c r="M96" i="54"/>
  <c r="N96" i="54"/>
  <c r="O96" i="54"/>
  <c r="P96" i="54"/>
  <c r="Q96" i="54"/>
  <c r="R96" i="54"/>
  <c r="S96" i="54"/>
  <c r="T96" i="54"/>
  <c r="U96" i="54"/>
  <c r="V96" i="54"/>
  <c r="W96" i="54"/>
  <c r="X96" i="54"/>
  <c r="Y96" i="54"/>
  <c r="Z96" i="54"/>
  <c r="E97" i="54"/>
  <c r="F97" i="54"/>
  <c r="G97" i="54"/>
  <c r="H97" i="54"/>
  <c r="I97" i="54"/>
  <c r="J97" i="54"/>
  <c r="K97" i="54"/>
  <c r="L97" i="54"/>
  <c r="M97" i="54"/>
  <c r="N97" i="54"/>
  <c r="O97" i="54"/>
  <c r="P97" i="54"/>
  <c r="Q97" i="54"/>
  <c r="R97" i="54"/>
  <c r="S97" i="54"/>
  <c r="T97" i="54"/>
  <c r="U97" i="54"/>
  <c r="V97" i="54"/>
  <c r="W97" i="54"/>
  <c r="X97" i="54"/>
  <c r="Y97" i="54"/>
  <c r="Z97" i="54"/>
  <c r="E98" i="54"/>
  <c r="F98" i="54"/>
  <c r="G98" i="54"/>
  <c r="H98" i="54"/>
  <c r="I98" i="54"/>
  <c r="J98" i="54"/>
  <c r="K98" i="54"/>
  <c r="L98" i="54"/>
  <c r="M98" i="54"/>
  <c r="N98" i="54"/>
  <c r="O98" i="54"/>
  <c r="P98" i="54"/>
  <c r="Q98" i="54"/>
  <c r="R98" i="54"/>
  <c r="S98" i="54"/>
  <c r="T98" i="54"/>
  <c r="U98" i="54"/>
  <c r="V98" i="54"/>
  <c r="W98" i="54"/>
  <c r="X98" i="54"/>
  <c r="Y98" i="54"/>
  <c r="Z98" i="54"/>
  <c r="E99" i="54"/>
  <c r="F99" i="54"/>
  <c r="G99" i="54"/>
  <c r="H99" i="54"/>
  <c r="I99" i="54"/>
  <c r="J99" i="54"/>
  <c r="K99" i="54"/>
  <c r="L99" i="54"/>
  <c r="M99" i="54"/>
  <c r="N99" i="54"/>
  <c r="O99" i="54"/>
  <c r="P99" i="54"/>
  <c r="Q99" i="54"/>
  <c r="R99" i="54"/>
  <c r="S99" i="54"/>
  <c r="T99" i="54"/>
  <c r="U99" i="54"/>
  <c r="V99" i="54"/>
  <c r="W99" i="54"/>
  <c r="X99" i="54"/>
  <c r="Y99" i="54"/>
  <c r="Z99" i="54"/>
  <c r="F100" i="54"/>
  <c r="G100" i="54"/>
  <c r="H100" i="54"/>
  <c r="I100" i="54"/>
  <c r="J100" i="54"/>
  <c r="K100" i="54"/>
  <c r="L100" i="54"/>
  <c r="M100" i="54"/>
  <c r="N100" i="54"/>
  <c r="O100" i="54"/>
  <c r="P100" i="54"/>
  <c r="Q100" i="54"/>
  <c r="R100" i="54"/>
  <c r="S100" i="54"/>
  <c r="T100" i="54"/>
  <c r="U100" i="54"/>
  <c r="V100" i="54"/>
  <c r="W100" i="54"/>
  <c r="X100" i="54"/>
  <c r="Y100" i="54"/>
  <c r="Z100" i="54"/>
  <c r="E104" i="54"/>
  <c r="F104" i="54"/>
  <c r="G104" i="54"/>
  <c r="H104" i="54"/>
  <c r="I104" i="54"/>
  <c r="J104" i="54"/>
  <c r="K104" i="54"/>
  <c r="L104" i="54"/>
  <c r="M104" i="54"/>
  <c r="N104" i="54"/>
  <c r="O104" i="54"/>
  <c r="P104" i="54"/>
  <c r="Q104" i="54"/>
  <c r="R104" i="54"/>
  <c r="S104" i="54"/>
  <c r="T104" i="54"/>
  <c r="U104" i="54"/>
  <c r="V104" i="54"/>
  <c r="W104" i="54"/>
  <c r="X104" i="54"/>
  <c r="Y104" i="54"/>
  <c r="Z104" i="54"/>
  <c r="E105" i="54"/>
  <c r="F105" i="54"/>
  <c r="G105" i="54"/>
  <c r="H105" i="54"/>
  <c r="I105" i="54"/>
  <c r="J105" i="54"/>
  <c r="K105" i="54"/>
  <c r="L105" i="54"/>
  <c r="M105" i="54"/>
  <c r="N105" i="54"/>
  <c r="O105" i="54"/>
  <c r="P105" i="54"/>
  <c r="Q105" i="54"/>
  <c r="R105" i="54"/>
  <c r="S105" i="54"/>
  <c r="T105" i="54"/>
  <c r="U105" i="54"/>
  <c r="V105" i="54"/>
  <c r="W105" i="54"/>
  <c r="X105" i="54"/>
  <c r="Y105" i="54"/>
  <c r="Z105" i="54"/>
  <c r="E106" i="54"/>
  <c r="E107" i="54"/>
  <c r="F107" i="54"/>
  <c r="G107" i="54"/>
  <c r="H107" i="54"/>
  <c r="I107" i="54"/>
  <c r="J107" i="54"/>
  <c r="K107" i="54"/>
  <c r="L107" i="54"/>
  <c r="M107" i="54"/>
  <c r="N107" i="54"/>
  <c r="O107" i="54"/>
  <c r="P107" i="54"/>
  <c r="Q107" i="54"/>
  <c r="R107" i="54"/>
  <c r="S107" i="54"/>
  <c r="T107" i="54"/>
  <c r="U107" i="54"/>
  <c r="V107" i="54"/>
  <c r="W107" i="54"/>
  <c r="X107" i="54"/>
  <c r="Y107" i="54"/>
  <c r="Z107" i="54"/>
  <c r="E108" i="54"/>
  <c r="F108" i="54"/>
  <c r="G108" i="54"/>
  <c r="H108" i="54"/>
  <c r="I108" i="54"/>
  <c r="J108" i="54"/>
  <c r="K108" i="54"/>
  <c r="L108" i="54"/>
  <c r="M108" i="54"/>
  <c r="N108" i="54"/>
  <c r="O108" i="54"/>
  <c r="P108" i="54"/>
  <c r="Q108" i="54"/>
  <c r="R108" i="54"/>
  <c r="S108" i="54"/>
  <c r="T108" i="54"/>
  <c r="U108" i="54"/>
  <c r="V108" i="54"/>
  <c r="W108" i="54"/>
  <c r="X108" i="54"/>
  <c r="Y108" i="54"/>
  <c r="Z108" i="54"/>
  <c r="E109" i="54"/>
  <c r="F109" i="54"/>
  <c r="G109" i="54"/>
  <c r="H109" i="54"/>
  <c r="I109" i="54"/>
  <c r="J109" i="54"/>
  <c r="K109" i="54"/>
  <c r="L109" i="54"/>
  <c r="M109" i="54"/>
  <c r="N109" i="54"/>
  <c r="O109" i="54"/>
  <c r="P109" i="54"/>
  <c r="Q109" i="54"/>
  <c r="R109" i="54"/>
  <c r="S109" i="54"/>
  <c r="T109" i="54"/>
  <c r="U109" i="54"/>
  <c r="V109" i="54"/>
  <c r="W109" i="54"/>
  <c r="X109" i="54"/>
  <c r="Y109" i="54"/>
  <c r="Z109" i="54"/>
  <c r="E110" i="54"/>
  <c r="F111" i="54"/>
  <c r="G111" i="54"/>
  <c r="H111" i="54"/>
  <c r="I111" i="54"/>
  <c r="J111" i="54"/>
  <c r="K111" i="54"/>
  <c r="L111" i="54"/>
  <c r="M111" i="54"/>
  <c r="N111" i="54"/>
  <c r="O111" i="54"/>
  <c r="P111" i="54"/>
  <c r="Q111" i="54"/>
  <c r="R111" i="54"/>
  <c r="S111" i="54"/>
  <c r="T111" i="54"/>
  <c r="U111" i="54"/>
  <c r="V111" i="54"/>
  <c r="W111" i="54"/>
  <c r="X111" i="54"/>
  <c r="Y111" i="54"/>
  <c r="Z111" i="54"/>
  <c r="F114" i="54"/>
  <c r="G114" i="54"/>
  <c r="H114" i="54"/>
  <c r="I114" i="54"/>
  <c r="J114" i="54"/>
  <c r="K114" i="54"/>
  <c r="L114" i="54"/>
  <c r="M114" i="54"/>
  <c r="N114" i="54"/>
  <c r="O114" i="54"/>
  <c r="P114" i="54"/>
  <c r="Q114" i="54"/>
  <c r="R114" i="54"/>
  <c r="S114" i="54"/>
  <c r="T114" i="54"/>
  <c r="U114" i="54"/>
  <c r="V114" i="54"/>
  <c r="W114" i="54"/>
  <c r="X114" i="54"/>
  <c r="Y114" i="54"/>
  <c r="Z114" i="54"/>
  <c r="G119" i="54"/>
  <c r="H119" i="54"/>
  <c r="I119" i="54"/>
  <c r="J119" i="54"/>
  <c r="K119" i="54"/>
  <c r="L119" i="54"/>
  <c r="M119" i="54"/>
  <c r="N119" i="54"/>
  <c r="O119" i="54"/>
  <c r="P119" i="54"/>
  <c r="Q119" i="54"/>
  <c r="R119" i="54"/>
  <c r="S119" i="54"/>
  <c r="T119" i="54"/>
  <c r="U119" i="54"/>
  <c r="V119" i="54"/>
  <c r="W119" i="54"/>
  <c r="X119" i="54"/>
  <c r="Y119" i="54"/>
  <c r="Z119" i="54"/>
  <c r="E123" i="54"/>
  <c r="F123" i="54"/>
  <c r="G123" i="54"/>
  <c r="H123" i="54"/>
  <c r="I123" i="54"/>
  <c r="J123" i="54"/>
  <c r="K123" i="54"/>
  <c r="L123" i="54"/>
  <c r="M123" i="54"/>
  <c r="N123" i="54"/>
  <c r="O123" i="54"/>
  <c r="P123" i="54"/>
  <c r="Q123" i="54"/>
  <c r="R123" i="54"/>
  <c r="S123" i="54"/>
  <c r="T123" i="54"/>
  <c r="U123" i="54"/>
  <c r="V123" i="54"/>
  <c r="W123" i="54"/>
  <c r="X123" i="54"/>
  <c r="Y123" i="54"/>
  <c r="Z123" i="54"/>
  <c r="E124" i="54"/>
  <c r="F124" i="54"/>
  <c r="G124" i="54"/>
  <c r="H124" i="54"/>
  <c r="I124" i="54"/>
  <c r="J124" i="54"/>
  <c r="K124" i="54"/>
  <c r="L124" i="54"/>
  <c r="M124" i="54"/>
  <c r="N124" i="54"/>
  <c r="O124" i="54"/>
  <c r="P124" i="54"/>
  <c r="Q124" i="54"/>
  <c r="R124" i="54"/>
  <c r="S124" i="54"/>
  <c r="T124" i="54"/>
  <c r="U124" i="54"/>
  <c r="V124" i="54"/>
  <c r="W124" i="54"/>
  <c r="X124" i="54"/>
  <c r="Y124" i="54"/>
  <c r="Z124" i="54"/>
  <c r="E125" i="54"/>
  <c r="F125" i="54"/>
  <c r="G125" i="54"/>
  <c r="H125" i="54"/>
  <c r="I125" i="54"/>
  <c r="J125" i="54"/>
  <c r="K125" i="54"/>
  <c r="L125" i="54"/>
  <c r="M125" i="54"/>
  <c r="N125" i="54"/>
  <c r="O125" i="54"/>
  <c r="P125" i="54"/>
  <c r="Q125" i="54"/>
  <c r="R125" i="54"/>
  <c r="S125" i="54"/>
  <c r="T125" i="54"/>
  <c r="U125" i="54"/>
  <c r="V125" i="54"/>
  <c r="W125" i="54"/>
  <c r="X125" i="54"/>
  <c r="Y125" i="54"/>
  <c r="Z125" i="54"/>
  <c r="F126" i="54"/>
  <c r="G126" i="54"/>
  <c r="H126" i="54"/>
  <c r="I126" i="54"/>
  <c r="J126" i="54"/>
  <c r="K126" i="54"/>
  <c r="L126" i="54"/>
  <c r="M126" i="54"/>
  <c r="N126" i="54"/>
  <c r="O126" i="54"/>
  <c r="P126" i="54"/>
  <c r="Q126" i="54"/>
  <c r="R126" i="54"/>
  <c r="S126" i="54"/>
  <c r="T126" i="54"/>
  <c r="U126" i="54"/>
  <c r="V126" i="54"/>
  <c r="W126" i="54"/>
  <c r="X126" i="54"/>
  <c r="Y126" i="54"/>
  <c r="Z126" i="54"/>
  <c r="E130" i="54"/>
  <c r="F130" i="54"/>
  <c r="G130" i="54"/>
  <c r="H130" i="54"/>
  <c r="I130" i="54"/>
  <c r="J130" i="54"/>
  <c r="K130" i="54"/>
  <c r="L130" i="54"/>
  <c r="M130" i="54"/>
  <c r="N130" i="54"/>
  <c r="O130" i="54"/>
  <c r="P130" i="54"/>
  <c r="Q130" i="54"/>
  <c r="R130" i="54"/>
  <c r="S130" i="54"/>
  <c r="T130" i="54"/>
  <c r="U130" i="54"/>
  <c r="V130" i="54"/>
  <c r="W130" i="54"/>
  <c r="X130" i="54"/>
  <c r="Y130" i="54"/>
  <c r="Z130" i="54"/>
  <c r="E131" i="54"/>
  <c r="F131" i="54"/>
  <c r="G131" i="54"/>
  <c r="H131" i="54"/>
  <c r="I131" i="54"/>
  <c r="J131" i="54"/>
  <c r="K131" i="54"/>
  <c r="L131" i="54"/>
  <c r="M131" i="54"/>
  <c r="N131" i="54"/>
  <c r="O131" i="54"/>
  <c r="P131" i="54"/>
  <c r="Q131" i="54"/>
  <c r="R131" i="54"/>
  <c r="S131" i="54"/>
  <c r="T131" i="54"/>
  <c r="U131" i="54"/>
  <c r="V131" i="54"/>
  <c r="W131" i="54"/>
  <c r="X131" i="54"/>
  <c r="Y131" i="54"/>
  <c r="Z131" i="54"/>
  <c r="E132" i="54"/>
  <c r="F132" i="54"/>
  <c r="G132" i="54"/>
  <c r="H132" i="54"/>
  <c r="I132" i="54"/>
  <c r="J132" i="54"/>
  <c r="K132" i="54"/>
  <c r="L132" i="54"/>
  <c r="M132" i="54"/>
  <c r="N132" i="54"/>
  <c r="O132" i="54"/>
  <c r="P132" i="54"/>
  <c r="Q132" i="54"/>
  <c r="R132" i="54"/>
  <c r="S132" i="54"/>
  <c r="T132" i="54"/>
  <c r="U132" i="54"/>
  <c r="V132" i="54"/>
  <c r="W132" i="54"/>
  <c r="X132" i="54"/>
  <c r="Y132" i="54"/>
  <c r="Z132" i="54"/>
  <c r="E133" i="54"/>
  <c r="F133" i="54"/>
  <c r="G133" i="54"/>
  <c r="H133" i="54"/>
  <c r="I133" i="54"/>
  <c r="J133" i="54"/>
  <c r="K133" i="54"/>
  <c r="L133" i="54"/>
  <c r="M133" i="54"/>
  <c r="N133" i="54"/>
  <c r="O133" i="54"/>
  <c r="P133" i="54"/>
  <c r="Q133" i="54"/>
  <c r="R133" i="54"/>
  <c r="S133" i="54"/>
  <c r="T133" i="54"/>
  <c r="U133" i="54"/>
  <c r="V133" i="54"/>
  <c r="W133" i="54"/>
  <c r="X133" i="54"/>
  <c r="Y133" i="54"/>
  <c r="Z133" i="54"/>
  <c r="E134" i="54"/>
  <c r="F134" i="54"/>
  <c r="G134" i="54"/>
  <c r="H134" i="54"/>
  <c r="I134" i="54"/>
  <c r="J134" i="54"/>
  <c r="K134" i="54"/>
  <c r="L134" i="54"/>
  <c r="M134" i="54"/>
  <c r="N134" i="54"/>
  <c r="O134" i="54"/>
  <c r="P134" i="54"/>
  <c r="Q134" i="54"/>
  <c r="R134" i="54"/>
  <c r="S134" i="54"/>
  <c r="T134" i="54"/>
  <c r="U134" i="54"/>
  <c r="V134" i="54"/>
  <c r="W134" i="54"/>
  <c r="X134" i="54"/>
  <c r="Y134" i="54"/>
  <c r="Z134" i="54"/>
  <c r="E135" i="54"/>
  <c r="F135" i="54"/>
  <c r="G135" i="54"/>
  <c r="H135" i="54"/>
  <c r="I135" i="54"/>
  <c r="J135" i="54"/>
  <c r="K135" i="54"/>
  <c r="L135" i="54"/>
  <c r="M135" i="54"/>
  <c r="N135" i="54"/>
  <c r="O135" i="54"/>
  <c r="P135" i="54"/>
  <c r="Q135" i="54"/>
  <c r="R135" i="54"/>
  <c r="S135" i="54"/>
  <c r="T135" i="54"/>
  <c r="U135" i="54"/>
  <c r="V135" i="54"/>
  <c r="W135" i="54"/>
  <c r="X135" i="54"/>
  <c r="Y135" i="54"/>
  <c r="Z135" i="54"/>
  <c r="E136" i="54"/>
  <c r="F136" i="54"/>
  <c r="G136" i="54"/>
  <c r="H136" i="54"/>
  <c r="I136" i="54"/>
  <c r="J136" i="54"/>
  <c r="K136" i="54"/>
  <c r="L136" i="54"/>
  <c r="M136" i="54"/>
  <c r="N136" i="54"/>
  <c r="O136" i="54"/>
  <c r="P136" i="54"/>
  <c r="Q136" i="54"/>
  <c r="R136" i="54"/>
  <c r="S136" i="54"/>
  <c r="T136" i="54"/>
  <c r="U136" i="54"/>
  <c r="V136" i="54"/>
  <c r="W136" i="54"/>
  <c r="X136" i="54"/>
  <c r="Y136" i="54"/>
  <c r="Z136" i="54"/>
  <c r="E137" i="54"/>
  <c r="F137" i="54"/>
  <c r="G137" i="54"/>
  <c r="H137" i="54"/>
  <c r="I137" i="54"/>
  <c r="J137" i="54"/>
  <c r="K137" i="54"/>
  <c r="L137" i="54"/>
  <c r="M137" i="54"/>
  <c r="N137" i="54"/>
  <c r="O137" i="54"/>
  <c r="P137" i="54"/>
  <c r="Q137" i="54"/>
  <c r="R137" i="54"/>
  <c r="S137" i="54"/>
  <c r="T137" i="54"/>
  <c r="U137" i="54"/>
  <c r="V137" i="54"/>
  <c r="W137" i="54"/>
  <c r="X137" i="54"/>
  <c r="Y137" i="54"/>
  <c r="Z137" i="54"/>
  <c r="F138" i="54"/>
  <c r="G138" i="54"/>
  <c r="H138" i="54"/>
  <c r="I138" i="54"/>
  <c r="J138" i="54"/>
  <c r="K138" i="54"/>
  <c r="L138" i="54"/>
  <c r="M138" i="54"/>
  <c r="N138" i="54"/>
  <c r="O138" i="54"/>
  <c r="P138" i="54"/>
  <c r="Q138" i="54"/>
  <c r="R138" i="54"/>
  <c r="S138" i="54"/>
  <c r="T138" i="54"/>
  <c r="U138" i="54"/>
  <c r="V138" i="54"/>
  <c r="W138" i="54"/>
  <c r="X138" i="54"/>
  <c r="Y138" i="54"/>
  <c r="Z138" i="54"/>
  <c r="E141" i="54"/>
  <c r="E142" i="54"/>
  <c r="E144" i="54"/>
  <c r="F144" i="54"/>
  <c r="G144" i="54"/>
  <c r="H144" i="54"/>
  <c r="I144" i="54"/>
  <c r="J144" i="54"/>
  <c r="K144" i="54"/>
  <c r="L144" i="54"/>
  <c r="M144" i="54"/>
  <c r="N144" i="54"/>
  <c r="O144" i="54"/>
  <c r="P144" i="54"/>
  <c r="Q144" i="54"/>
  <c r="R144" i="54"/>
  <c r="S144" i="54"/>
  <c r="T144" i="54"/>
  <c r="U144" i="54"/>
  <c r="V144" i="54"/>
  <c r="W144" i="54"/>
  <c r="X144" i="54"/>
  <c r="Y144" i="54"/>
  <c r="Z144" i="54"/>
  <c r="E145" i="54"/>
  <c r="F145" i="54"/>
  <c r="G145" i="54"/>
  <c r="H145" i="54"/>
  <c r="I145" i="54"/>
  <c r="J145" i="54"/>
  <c r="K145" i="54"/>
  <c r="L145" i="54"/>
  <c r="M145" i="54"/>
  <c r="N145" i="54"/>
  <c r="O145" i="54"/>
  <c r="P145" i="54"/>
  <c r="Q145" i="54"/>
  <c r="R145" i="54"/>
  <c r="S145" i="54"/>
  <c r="T145" i="54"/>
  <c r="U145" i="54"/>
  <c r="V145" i="54"/>
  <c r="W145" i="54"/>
  <c r="X145" i="54"/>
  <c r="Y145" i="54"/>
  <c r="Z145" i="54"/>
  <c r="E146" i="54"/>
  <c r="F146" i="54"/>
  <c r="G146" i="54"/>
  <c r="H146" i="54"/>
  <c r="I146" i="54"/>
  <c r="J146" i="54"/>
  <c r="K146" i="54"/>
  <c r="L146" i="54"/>
  <c r="M146" i="54"/>
  <c r="N146" i="54"/>
  <c r="O146" i="54"/>
  <c r="P146" i="54"/>
  <c r="Q146" i="54"/>
  <c r="R146" i="54"/>
  <c r="S146" i="54"/>
  <c r="T146" i="54"/>
  <c r="U146" i="54"/>
  <c r="V146" i="54"/>
  <c r="W146" i="54"/>
  <c r="X146" i="54"/>
  <c r="Y146" i="54"/>
  <c r="Z146" i="54"/>
  <c r="F148" i="54"/>
  <c r="G148" i="54"/>
  <c r="H148" i="54"/>
  <c r="I148" i="54"/>
  <c r="J148" i="54"/>
  <c r="K148" i="54"/>
  <c r="L148" i="54"/>
  <c r="M148" i="54"/>
  <c r="N148" i="54"/>
  <c r="O148" i="54"/>
  <c r="P148" i="54"/>
  <c r="Q148" i="54"/>
  <c r="R148" i="54"/>
  <c r="S148" i="54"/>
  <c r="T148" i="54"/>
  <c r="U148" i="54"/>
  <c r="V148" i="54"/>
  <c r="W148" i="54"/>
  <c r="X148" i="54"/>
  <c r="Y148" i="54"/>
  <c r="Z148" i="54"/>
  <c r="F151" i="54"/>
  <c r="G151" i="54"/>
  <c r="H151" i="54"/>
  <c r="I151" i="54"/>
  <c r="J151" i="54"/>
  <c r="K151" i="54"/>
  <c r="L151" i="54"/>
  <c r="M151" i="54"/>
  <c r="N151" i="54"/>
  <c r="O151" i="54"/>
  <c r="P151" i="54"/>
  <c r="Q151" i="54"/>
  <c r="R151" i="54"/>
  <c r="S151" i="54"/>
  <c r="T151" i="54"/>
  <c r="U151" i="54"/>
  <c r="V151" i="54"/>
  <c r="W151" i="54"/>
  <c r="X151" i="54"/>
  <c r="Y151" i="54"/>
  <c r="Z151" i="54"/>
  <c r="G154" i="54"/>
  <c r="H154" i="54"/>
  <c r="I154" i="54"/>
  <c r="J154" i="54"/>
  <c r="K154" i="54"/>
  <c r="L154" i="54"/>
  <c r="M154" i="54"/>
  <c r="N154" i="54"/>
  <c r="O154" i="54"/>
  <c r="P154" i="54"/>
  <c r="Q154" i="54"/>
  <c r="R154" i="54"/>
  <c r="S154" i="54"/>
  <c r="T154" i="54"/>
  <c r="U154" i="54"/>
  <c r="V154" i="54"/>
  <c r="W154" i="54"/>
  <c r="X154" i="54"/>
  <c r="Y154" i="54"/>
  <c r="Z154" i="54"/>
  <c r="F158" i="54"/>
  <c r="G158" i="54"/>
  <c r="H158" i="54"/>
  <c r="I158" i="54"/>
  <c r="J158" i="54"/>
  <c r="K158" i="54"/>
  <c r="L158" i="54"/>
  <c r="M158" i="54"/>
  <c r="N158" i="54"/>
  <c r="O158" i="54"/>
  <c r="P158" i="54"/>
  <c r="Q158" i="54"/>
  <c r="R158" i="54"/>
  <c r="S158" i="54"/>
  <c r="T158" i="54"/>
  <c r="U158" i="54"/>
  <c r="V158" i="54"/>
  <c r="W158" i="54"/>
  <c r="X158" i="54"/>
  <c r="Y158" i="54"/>
  <c r="F159" i="54"/>
  <c r="G159" i="54"/>
  <c r="H159" i="54"/>
  <c r="I159" i="54"/>
  <c r="J159" i="54"/>
  <c r="K159" i="54"/>
  <c r="L159" i="54"/>
  <c r="M159" i="54"/>
  <c r="N159" i="54"/>
  <c r="O159" i="54"/>
  <c r="P159" i="54"/>
  <c r="Q159" i="54"/>
  <c r="R159" i="54"/>
  <c r="S159" i="54"/>
  <c r="T159" i="54"/>
  <c r="U159" i="54"/>
  <c r="V159" i="54"/>
  <c r="W159" i="54"/>
  <c r="X159" i="54"/>
  <c r="Y159" i="54"/>
  <c r="F160" i="54"/>
  <c r="G160" i="54"/>
  <c r="H160" i="54"/>
  <c r="I160" i="54"/>
  <c r="J160" i="54"/>
  <c r="K160" i="54"/>
  <c r="L160" i="54"/>
  <c r="M160" i="54"/>
  <c r="N160" i="54"/>
  <c r="O160" i="54"/>
  <c r="P160" i="54"/>
  <c r="Q160" i="54"/>
  <c r="R160" i="54"/>
  <c r="S160" i="54"/>
  <c r="T160" i="54"/>
  <c r="U160" i="54"/>
  <c r="V160" i="54"/>
  <c r="W160" i="54"/>
  <c r="X160" i="54"/>
  <c r="Y160" i="54"/>
  <c r="F161" i="54"/>
  <c r="G161" i="54"/>
  <c r="H161" i="54"/>
  <c r="I161" i="54"/>
  <c r="J161" i="54"/>
  <c r="K161" i="54"/>
  <c r="L161" i="54"/>
  <c r="M161" i="54"/>
  <c r="N161" i="54"/>
  <c r="O161" i="54"/>
  <c r="P161" i="54"/>
  <c r="Q161" i="54"/>
  <c r="R161" i="54"/>
  <c r="S161" i="54"/>
  <c r="T161" i="54"/>
  <c r="U161" i="54"/>
  <c r="V161" i="54"/>
  <c r="W161" i="54"/>
  <c r="X161" i="54"/>
  <c r="Y161" i="54"/>
  <c r="F162" i="54"/>
  <c r="G162" i="54"/>
  <c r="H162" i="54"/>
  <c r="I162" i="54"/>
  <c r="J162" i="54"/>
  <c r="K162" i="54"/>
  <c r="L162" i="54"/>
  <c r="M162" i="54"/>
  <c r="N162" i="54"/>
  <c r="O162" i="54"/>
  <c r="P162" i="54"/>
  <c r="Q162" i="54"/>
  <c r="R162" i="54"/>
  <c r="S162" i="54"/>
  <c r="T162" i="54"/>
  <c r="U162" i="54"/>
  <c r="V162" i="54"/>
  <c r="W162" i="54"/>
  <c r="X162" i="54"/>
  <c r="Y162" i="54"/>
  <c r="F163" i="54"/>
  <c r="G163" i="54"/>
  <c r="H163" i="54"/>
  <c r="I163" i="54"/>
  <c r="J163" i="54"/>
  <c r="K163" i="54"/>
  <c r="L163" i="54"/>
  <c r="M163" i="54"/>
  <c r="N163" i="54"/>
  <c r="O163" i="54"/>
  <c r="P163" i="54"/>
  <c r="Q163" i="54"/>
  <c r="R163" i="54"/>
  <c r="S163" i="54"/>
  <c r="T163" i="54"/>
  <c r="U163" i="54"/>
  <c r="V163" i="54"/>
  <c r="W163" i="54"/>
  <c r="X163" i="54"/>
  <c r="Y163" i="54"/>
  <c r="F164" i="54"/>
  <c r="G164" i="54"/>
  <c r="H164" i="54"/>
  <c r="I164" i="54"/>
  <c r="J164" i="54"/>
  <c r="K164" i="54"/>
  <c r="L164" i="54"/>
  <c r="M164" i="54"/>
  <c r="N164" i="54"/>
  <c r="O164" i="54"/>
  <c r="P164" i="54"/>
  <c r="Q164" i="54"/>
  <c r="R164" i="54"/>
  <c r="S164" i="54"/>
  <c r="T164" i="54"/>
  <c r="U164" i="54"/>
  <c r="V164" i="54"/>
  <c r="W164" i="54"/>
  <c r="X164" i="54"/>
  <c r="Y164" i="54"/>
  <c r="F165" i="54"/>
  <c r="G165" i="54"/>
  <c r="H165" i="54"/>
  <c r="I165" i="54"/>
  <c r="J165" i="54"/>
  <c r="K165" i="54"/>
  <c r="L165" i="54"/>
  <c r="M165" i="54"/>
  <c r="N165" i="54"/>
  <c r="O165" i="54"/>
  <c r="P165" i="54"/>
  <c r="Q165" i="54"/>
  <c r="R165" i="54"/>
  <c r="S165" i="54"/>
  <c r="T165" i="54"/>
  <c r="U165" i="54"/>
  <c r="V165" i="54"/>
  <c r="W165" i="54"/>
  <c r="X165" i="54"/>
  <c r="Y165" i="54"/>
  <c r="F166" i="54"/>
  <c r="G166" i="54"/>
  <c r="H166" i="54"/>
  <c r="I166" i="54"/>
  <c r="J166" i="54"/>
  <c r="K166" i="54"/>
  <c r="L166" i="54"/>
  <c r="M166" i="54"/>
  <c r="N166" i="54"/>
  <c r="O166" i="54"/>
  <c r="P166" i="54"/>
  <c r="Q166" i="54"/>
  <c r="R166" i="54"/>
  <c r="S166" i="54"/>
  <c r="T166" i="54"/>
  <c r="U166" i="54"/>
  <c r="V166" i="54"/>
  <c r="W166" i="54"/>
  <c r="X166" i="54"/>
  <c r="Y166" i="54"/>
  <c r="F167" i="54"/>
  <c r="G167" i="54"/>
  <c r="H167" i="54"/>
  <c r="I167" i="54"/>
  <c r="J167" i="54"/>
  <c r="K167" i="54"/>
  <c r="L167" i="54"/>
  <c r="M167" i="54"/>
  <c r="N167" i="54"/>
  <c r="O167" i="54"/>
  <c r="P167" i="54"/>
  <c r="Q167" i="54"/>
  <c r="R167" i="54"/>
  <c r="S167" i="54"/>
  <c r="T167" i="54"/>
  <c r="U167" i="54"/>
  <c r="V167" i="54"/>
  <c r="W167" i="54"/>
  <c r="X167" i="54"/>
  <c r="Y167" i="54"/>
  <c r="F168" i="54"/>
  <c r="G168" i="54"/>
  <c r="H168" i="54"/>
  <c r="I168" i="54"/>
  <c r="J168" i="54"/>
  <c r="K168" i="54"/>
  <c r="L168" i="54"/>
  <c r="M168" i="54"/>
  <c r="N168" i="54"/>
  <c r="O168" i="54"/>
  <c r="P168" i="54"/>
  <c r="Q168" i="54"/>
  <c r="R168" i="54"/>
  <c r="S168" i="54"/>
  <c r="T168" i="54"/>
  <c r="U168" i="54"/>
  <c r="V168" i="54"/>
  <c r="W168" i="54"/>
  <c r="X168" i="54"/>
  <c r="Y168" i="54"/>
  <c r="F169" i="54"/>
  <c r="G169" i="54"/>
  <c r="H169" i="54"/>
  <c r="I169" i="54"/>
  <c r="J169" i="54"/>
  <c r="K169" i="54"/>
  <c r="L169" i="54"/>
  <c r="M169" i="54"/>
  <c r="N169" i="54"/>
  <c r="O169" i="54"/>
  <c r="P169" i="54"/>
  <c r="Q169" i="54"/>
  <c r="R169" i="54"/>
  <c r="S169" i="54"/>
  <c r="T169" i="54"/>
  <c r="U169" i="54"/>
  <c r="V169" i="54"/>
  <c r="W169" i="54"/>
  <c r="X169" i="54"/>
  <c r="Y169" i="54"/>
  <c r="F170" i="54"/>
  <c r="G170" i="54"/>
  <c r="H170" i="54"/>
  <c r="I170" i="54"/>
  <c r="J170" i="54"/>
  <c r="K170" i="54"/>
  <c r="L170" i="54"/>
  <c r="M170" i="54"/>
  <c r="N170" i="54"/>
  <c r="O170" i="54"/>
  <c r="P170" i="54"/>
  <c r="Q170" i="54"/>
  <c r="R170" i="54"/>
  <c r="S170" i="54"/>
  <c r="T170" i="54"/>
  <c r="U170" i="54"/>
  <c r="V170" i="54"/>
  <c r="W170" i="54"/>
  <c r="X170" i="54"/>
  <c r="Y170" i="54"/>
  <c r="F172" i="54"/>
  <c r="G172" i="54"/>
  <c r="H172" i="54"/>
  <c r="I172" i="54"/>
  <c r="J172" i="54"/>
  <c r="K172" i="54"/>
  <c r="L172" i="54"/>
  <c r="M172" i="54"/>
  <c r="N172" i="54"/>
  <c r="O172" i="54"/>
  <c r="P172" i="54"/>
  <c r="Q172" i="54"/>
  <c r="R172" i="54"/>
  <c r="S172" i="54"/>
  <c r="T172" i="54"/>
  <c r="U172" i="54"/>
  <c r="V172" i="54"/>
  <c r="W172" i="54"/>
  <c r="X172" i="54"/>
  <c r="Y172" i="54"/>
  <c r="F173" i="54"/>
  <c r="G173" i="54"/>
  <c r="H173" i="54"/>
  <c r="I173" i="54"/>
  <c r="J173" i="54"/>
  <c r="K173" i="54"/>
  <c r="L173" i="54"/>
  <c r="M173" i="54"/>
  <c r="N173" i="54"/>
  <c r="O173" i="54"/>
  <c r="P173" i="54"/>
  <c r="Q173" i="54"/>
  <c r="R173" i="54"/>
  <c r="S173" i="54"/>
  <c r="T173" i="54"/>
  <c r="U173" i="54"/>
  <c r="V173" i="54"/>
  <c r="W173" i="54"/>
  <c r="X173" i="54"/>
  <c r="Y173" i="54"/>
  <c r="F174" i="54"/>
  <c r="G174" i="54"/>
  <c r="H174" i="54"/>
  <c r="I174" i="54"/>
  <c r="J174" i="54"/>
  <c r="K174" i="54"/>
  <c r="L174" i="54"/>
  <c r="M174" i="54"/>
  <c r="N174" i="54"/>
  <c r="O174" i="54"/>
  <c r="P174" i="54"/>
  <c r="Q174" i="54"/>
  <c r="R174" i="54"/>
  <c r="S174" i="54"/>
  <c r="T174" i="54"/>
  <c r="U174" i="54"/>
  <c r="V174" i="54"/>
  <c r="W174" i="54"/>
  <c r="X174" i="54"/>
  <c r="Y174" i="54"/>
  <c r="F176" i="54"/>
  <c r="G176" i="54"/>
  <c r="H176" i="54"/>
  <c r="I176" i="54"/>
  <c r="J176" i="54"/>
  <c r="K176" i="54"/>
  <c r="L176" i="54"/>
  <c r="M176" i="54"/>
  <c r="N176" i="54"/>
  <c r="O176" i="54"/>
  <c r="P176" i="54"/>
  <c r="Q176" i="54"/>
  <c r="R176" i="54"/>
  <c r="S176" i="54"/>
  <c r="T176" i="54"/>
  <c r="U176" i="54"/>
  <c r="V176" i="54"/>
  <c r="W176" i="54"/>
  <c r="X176" i="54"/>
  <c r="Y176" i="54"/>
  <c r="F180" i="54"/>
  <c r="G180" i="54"/>
  <c r="H180" i="54"/>
  <c r="I180" i="54"/>
  <c r="J180" i="54"/>
  <c r="K180" i="54"/>
  <c r="L180" i="54"/>
  <c r="M180" i="54"/>
  <c r="N180" i="54"/>
  <c r="O180" i="54"/>
  <c r="P180" i="54"/>
  <c r="Q180" i="54"/>
  <c r="R180" i="54"/>
  <c r="S180" i="54"/>
  <c r="T180" i="54"/>
  <c r="U180" i="54"/>
  <c r="V180" i="54"/>
  <c r="W180" i="54"/>
  <c r="X180" i="54"/>
  <c r="Y180" i="54"/>
  <c r="F181" i="54"/>
  <c r="G181" i="54"/>
  <c r="H181" i="54"/>
  <c r="I181" i="54"/>
  <c r="J181" i="54"/>
  <c r="K181" i="54"/>
  <c r="L181" i="54"/>
  <c r="M181" i="54"/>
  <c r="N181" i="54"/>
  <c r="O181" i="54"/>
  <c r="P181" i="54"/>
  <c r="Q181" i="54"/>
  <c r="R181" i="54"/>
  <c r="S181" i="54"/>
  <c r="T181" i="54"/>
  <c r="U181" i="54"/>
  <c r="V181" i="54"/>
  <c r="W181" i="54"/>
  <c r="X181" i="54"/>
  <c r="Y181" i="54"/>
  <c r="F182" i="54"/>
  <c r="G182" i="54"/>
  <c r="H182" i="54"/>
  <c r="I182" i="54"/>
  <c r="J182" i="54"/>
  <c r="K182" i="54"/>
  <c r="L182" i="54"/>
  <c r="M182" i="54"/>
  <c r="N182" i="54"/>
  <c r="O182" i="54"/>
  <c r="P182" i="54"/>
  <c r="Q182" i="54"/>
  <c r="R182" i="54"/>
  <c r="S182" i="54"/>
  <c r="T182" i="54"/>
  <c r="U182" i="54"/>
  <c r="V182" i="54"/>
  <c r="W182" i="54"/>
  <c r="X182" i="54"/>
  <c r="Y182" i="54"/>
  <c r="F183" i="54"/>
  <c r="G183" i="54"/>
  <c r="H183" i="54"/>
  <c r="I183" i="54"/>
  <c r="J183" i="54"/>
  <c r="K183" i="54"/>
  <c r="L183" i="54"/>
  <c r="M183" i="54"/>
  <c r="N183" i="54"/>
  <c r="O183" i="54"/>
  <c r="P183" i="54"/>
  <c r="Q183" i="54"/>
  <c r="R183" i="54"/>
  <c r="S183" i="54"/>
  <c r="T183" i="54"/>
  <c r="U183" i="54"/>
  <c r="V183" i="54"/>
  <c r="W183" i="54"/>
  <c r="X183" i="54"/>
  <c r="Y183" i="54"/>
  <c r="F184" i="54"/>
  <c r="G184" i="54"/>
  <c r="H184" i="54"/>
  <c r="I184" i="54"/>
  <c r="J184" i="54"/>
  <c r="K184" i="54"/>
  <c r="L184" i="54"/>
  <c r="M184" i="54"/>
  <c r="N184" i="54"/>
  <c r="O184" i="54"/>
  <c r="P184" i="54"/>
  <c r="Q184" i="54"/>
  <c r="R184" i="54"/>
  <c r="S184" i="54"/>
  <c r="T184" i="54"/>
  <c r="U184" i="54"/>
  <c r="V184" i="54"/>
  <c r="W184" i="54"/>
  <c r="X184" i="54"/>
  <c r="Y184" i="54"/>
  <c r="F185" i="54"/>
  <c r="G185" i="54"/>
  <c r="H185" i="54"/>
  <c r="I185" i="54"/>
  <c r="J185" i="54"/>
  <c r="K185" i="54"/>
  <c r="L185" i="54"/>
  <c r="M185" i="54"/>
  <c r="N185" i="54"/>
  <c r="O185" i="54"/>
  <c r="P185" i="54"/>
  <c r="Q185" i="54"/>
  <c r="R185" i="54"/>
  <c r="S185" i="54"/>
  <c r="T185" i="54"/>
  <c r="U185" i="54"/>
  <c r="V185" i="54"/>
  <c r="W185" i="54"/>
  <c r="X185" i="54"/>
  <c r="Y185" i="54"/>
  <c r="F186" i="54"/>
  <c r="G186" i="54"/>
  <c r="H186" i="54"/>
  <c r="I186" i="54"/>
  <c r="J186" i="54"/>
  <c r="K186" i="54"/>
  <c r="L186" i="54"/>
  <c r="M186" i="54"/>
  <c r="N186" i="54"/>
  <c r="O186" i="54"/>
  <c r="P186" i="54"/>
  <c r="Q186" i="54"/>
  <c r="R186" i="54"/>
  <c r="S186" i="54"/>
  <c r="T186" i="54"/>
  <c r="U186" i="54"/>
  <c r="V186" i="54"/>
  <c r="W186" i="54"/>
  <c r="X186" i="54"/>
  <c r="Y186" i="54"/>
  <c r="F187" i="54"/>
  <c r="G187" i="54"/>
  <c r="H187" i="54"/>
  <c r="I187" i="54"/>
  <c r="J187" i="54"/>
  <c r="K187" i="54"/>
  <c r="L187" i="54"/>
  <c r="M187" i="54"/>
  <c r="N187" i="54"/>
  <c r="O187" i="54"/>
  <c r="P187" i="54"/>
  <c r="Q187" i="54"/>
  <c r="R187" i="54"/>
  <c r="S187" i="54"/>
  <c r="T187" i="54"/>
  <c r="U187" i="54"/>
  <c r="V187" i="54"/>
  <c r="W187" i="54"/>
  <c r="X187" i="54"/>
  <c r="Y187" i="54"/>
  <c r="F188" i="54"/>
  <c r="G188" i="54"/>
  <c r="H188" i="54"/>
  <c r="I188" i="54"/>
  <c r="J188" i="54"/>
  <c r="K188" i="54"/>
  <c r="L188" i="54"/>
  <c r="M188" i="54"/>
  <c r="N188" i="54"/>
  <c r="O188" i="54"/>
  <c r="P188" i="54"/>
  <c r="Q188" i="54"/>
  <c r="R188" i="54"/>
  <c r="S188" i="54"/>
  <c r="T188" i="54"/>
  <c r="U188" i="54"/>
  <c r="V188" i="54"/>
  <c r="W188" i="54"/>
  <c r="X188" i="54"/>
  <c r="Y188" i="54"/>
  <c r="F189" i="54"/>
  <c r="G189" i="54"/>
  <c r="H189" i="54"/>
  <c r="I189" i="54"/>
  <c r="J189" i="54"/>
  <c r="K189" i="54"/>
  <c r="L189" i="54"/>
  <c r="M189" i="54"/>
  <c r="N189" i="54"/>
  <c r="O189" i="54"/>
  <c r="P189" i="54"/>
  <c r="Q189" i="54"/>
  <c r="R189" i="54"/>
  <c r="S189" i="54"/>
  <c r="T189" i="54"/>
  <c r="U189" i="54"/>
  <c r="V189" i="54"/>
  <c r="W189" i="54"/>
  <c r="X189" i="54"/>
  <c r="Y189" i="54"/>
  <c r="F190" i="54"/>
  <c r="G190" i="54"/>
  <c r="H190" i="54"/>
  <c r="I190" i="54"/>
  <c r="J190" i="54"/>
  <c r="K190" i="54"/>
  <c r="L190" i="54"/>
  <c r="M190" i="54"/>
  <c r="N190" i="54"/>
  <c r="O190" i="54"/>
  <c r="P190" i="54"/>
  <c r="Q190" i="54"/>
  <c r="R190" i="54"/>
  <c r="S190" i="54"/>
  <c r="T190" i="54"/>
  <c r="U190" i="54"/>
  <c r="V190" i="54"/>
  <c r="W190" i="54"/>
  <c r="X190" i="54"/>
  <c r="Y190" i="54"/>
  <c r="F191" i="54"/>
  <c r="G191" i="54"/>
  <c r="H191" i="54"/>
  <c r="I191" i="54"/>
  <c r="J191" i="54"/>
  <c r="K191" i="54"/>
  <c r="L191" i="54"/>
  <c r="M191" i="54"/>
  <c r="N191" i="54"/>
  <c r="O191" i="54"/>
  <c r="P191" i="54"/>
  <c r="Q191" i="54"/>
  <c r="R191" i="54"/>
  <c r="S191" i="54"/>
  <c r="T191" i="54"/>
  <c r="U191" i="54"/>
  <c r="V191" i="54"/>
  <c r="W191" i="54"/>
  <c r="X191" i="54"/>
  <c r="Y191" i="54"/>
  <c r="F192" i="54"/>
  <c r="G192" i="54"/>
  <c r="H192" i="54"/>
  <c r="I192" i="54"/>
  <c r="J192" i="54"/>
  <c r="K192" i="54"/>
  <c r="L192" i="54"/>
  <c r="M192" i="54"/>
  <c r="N192" i="54"/>
  <c r="O192" i="54"/>
  <c r="P192" i="54"/>
  <c r="Q192" i="54"/>
  <c r="R192" i="54"/>
  <c r="S192" i="54"/>
  <c r="T192" i="54"/>
  <c r="U192" i="54"/>
  <c r="V192" i="54"/>
  <c r="W192" i="54"/>
  <c r="X192" i="54"/>
  <c r="Y192" i="54"/>
  <c r="F194" i="54"/>
  <c r="G194" i="54"/>
  <c r="H194" i="54"/>
  <c r="I194" i="54"/>
  <c r="J194" i="54"/>
  <c r="K194" i="54"/>
  <c r="L194" i="54"/>
  <c r="M194" i="54"/>
  <c r="N194" i="54"/>
  <c r="O194" i="54"/>
  <c r="P194" i="54"/>
  <c r="Q194" i="54"/>
  <c r="R194" i="54"/>
  <c r="S194" i="54"/>
  <c r="T194" i="54"/>
  <c r="U194" i="54"/>
  <c r="V194" i="54"/>
  <c r="W194" i="54"/>
  <c r="X194" i="54"/>
  <c r="Y194" i="54"/>
  <c r="F195" i="54"/>
  <c r="G195" i="54"/>
  <c r="H195" i="54"/>
  <c r="I195" i="54"/>
  <c r="J195" i="54"/>
  <c r="K195" i="54"/>
  <c r="L195" i="54"/>
  <c r="M195" i="54"/>
  <c r="N195" i="54"/>
  <c r="O195" i="54"/>
  <c r="P195" i="54"/>
  <c r="Q195" i="54"/>
  <c r="R195" i="54"/>
  <c r="S195" i="54"/>
  <c r="T195" i="54"/>
  <c r="U195" i="54"/>
  <c r="V195" i="54"/>
  <c r="W195" i="54"/>
  <c r="X195" i="54"/>
  <c r="Y195" i="54"/>
  <c r="F196" i="54"/>
  <c r="G196" i="54"/>
  <c r="H196" i="54"/>
  <c r="I196" i="54"/>
  <c r="J196" i="54"/>
  <c r="K196" i="54"/>
  <c r="L196" i="54"/>
  <c r="M196" i="54"/>
  <c r="N196" i="54"/>
  <c r="O196" i="54"/>
  <c r="P196" i="54"/>
  <c r="Q196" i="54"/>
  <c r="R196" i="54"/>
  <c r="S196" i="54"/>
  <c r="T196" i="54"/>
  <c r="U196" i="54"/>
  <c r="V196" i="54"/>
  <c r="W196" i="54"/>
  <c r="X196" i="54"/>
  <c r="Y196" i="54"/>
  <c r="F198" i="54"/>
  <c r="G198" i="54"/>
  <c r="H198" i="54"/>
  <c r="I198" i="54"/>
  <c r="J198" i="54"/>
  <c r="K198" i="54"/>
  <c r="L198" i="54"/>
  <c r="M198" i="54"/>
  <c r="N198" i="54"/>
  <c r="O198" i="54"/>
  <c r="P198" i="54"/>
  <c r="Q198" i="54"/>
  <c r="R198" i="54"/>
  <c r="S198" i="54"/>
  <c r="T198" i="54"/>
  <c r="U198" i="54"/>
  <c r="V198" i="54"/>
  <c r="W198" i="54"/>
  <c r="X198" i="54"/>
  <c r="Y198" i="54"/>
  <c r="F202" i="54"/>
  <c r="G202" i="54"/>
  <c r="H202" i="54"/>
  <c r="I202" i="54"/>
  <c r="J202" i="54"/>
  <c r="K202" i="54"/>
  <c r="L202" i="54"/>
  <c r="M202" i="54"/>
  <c r="N202" i="54"/>
  <c r="O202" i="54"/>
  <c r="P202" i="54"/>
  <c r="Q202" i="54"/>
  <c r="R202" i="54"/>
  <c r="S202" i="54"/>
  <c r="T202" i="54"/>
  <c r="U202" i="54"/>
  <c r="V202" i="54"/>
  <c r="W202" i="54"/>
  <c r="X202" i="54"/>
  <c r="Y202" i="54"/>
  <c r="F203" i="54"/>
  <c r="G203" i="54"/>
  <c r="H203" i="54"/>
  <c r="I203" i="54"/>
  <c r="J203" i="54"/>
  <c r="K203" i="54"/>
  <c r="L203" i="54"/>
  <c r="M203" i="54"/>
  <c r="N203" i="54"/>
  <c r="O203" i="54"/>
  <c r="P203" i="54"/>
  <c r="Q203" i="54"/>
  <c r="R203" i="54"/>
  <c r="S203" i="54"/>
  <c r="T203" i="54"/>
  <c r="U203" i="54"/>
  <c r="V203" i="54"/>
  <c r="W203" i="54"/>
  <c r="X203" i="54"/>
  <c r="Y203" i="54"/>
  <c r="F204" i="54"/>
  <c r="G204" i="54"/>
  <c r="H204" i="54"/>
  <c r="I204" i="54"/>
  <c r="J204" i="54"/>
  <c r="K204" i="54"/>
  <c r="L204" i="54"/>
  <c r="M204" i="54"/>
  <c r="N204" i="54"/>
  <c r="O204" i="54"/>
  <c r="P204" i="54"/>
  <c r="Q204" i="54"/>
  <c r="R204" i="54"/>
  <c r="S204" i="54"/>
  <c r="T204" i="54"/>
  <c r="U204" i="54"/>
  <c r="V204" i="54"/>
  <c r="W204" i="54"/>
  <c r="X204" i="54"/>
  <c r="Y204" i="54"/>
  <c r="F205" i="54"/>
  <c r="G205" i="54"/>
  <c r="H205" i="54"/>
  <c r="I205" i="54"/>
  <c r="J205" i="54"/>
  <c r="K205" i="54"/>
  <c r="L205" i="54"/>
  <c r="M205" i="54"/>
  <c r="N205" i="54"/>
  <c r="O205" i="54"/>
  <c r="P205" i="54"/>
  <c r="Q205" i="54"/>
  <c r="R205" i="54"/>
  <c r="S205" i="54"/>
  <c r="T205" i="54"/>
  <c r="U205" i="54"/>
  <c r="V205" i="54"/>
  <c r="W205" i="54"/>
  <c r="X205" i="54"/>
  <c r="Y205" i="54"/>
  <c r="F206" i="54"/>
  <c r="G206" i="54"/>
  <c r="H206" i="54"/>
  <c r="I206" i="54"/>
  <c r="J206" i="54"/>
  <c r="K206" i="54"/>
  <c r="L206" i="54"/>
  <c r="M206" i="54"/>
  <c r="N206" i="54"/>
  <c r="O206" i="54"/>
  <c r="P206" i="54"/>
  <c r="Q206" i="54"/>
  <c r="R206" i="54"/>
  <c r="S206" i="54"/>
  <c r="T206" i="54"/>
  <c r="U206" i="54"/>
  <c r="V206" i="54"/>
  <c r="W206" i="54"/>
  <c r="X206" i="54"/>
  <c r="Y206" i="54"/>
  <c r="F207" i="54"/>
  <c r="G207" i="54"/>
  <c r="H207" i="54"/>
  <c r="I207" i="54"/>
  <c r="J207" i="54"/>
  <c r="K207" i="54"/>
  <c r="L207" i="54"/>
  <c r="M207" i="54"/>
  <c r="N207" i="54"/>
  <c r="O207" i="54"/>
  <c r="P207" i="54"/>
  <c r="Q207" i="54"/>
  <c r="R207" i="54"/>
  <c r="S207" i="54"/>
  <c r="T207" i="54"/>
  <c r="U207" i="54"/>
  <c r="V207" i="54"/>
  <c r="W207" i="54"/>
  <c r="X207" i="54"/>
  <c r="Y207" i="54"/>
  <c r="F208" i="54"/>
  <c r="G208" i="54"/>
  <c r="H208" i="54"/>
  <c r="I208" i="54"/>
  <c r="J208" i="54"/>
  <c r="K208" i="54"/>
  <c r="L208" i="54"/>
  <c r="M208" i="54"/>
  <c r="N208" i="54"/>
  <c r="O208" i="54"/>
  <c r="P208" i="54"/>
  <c r="Q208" i="54"/>
  <c r="R208" i="54"/>
  <c r="S208" i="54"/>
  <c r="T208" i="54"/>
  <c r="U208" i="54"/>
  <c r="V208" i="54"/>
  <c r="W208" i="54"/>
  <c r="X208" i="54"/>
  <c r="Y208" i="54"/>
  <c r="F209" i="54"/>
  <c r="G209" i="54"/>
  <c r="H209" i="54"/>
  <c r="I209" i="54"/>
  <c r="J209" i="54"/>
  <c r="K209" i="54"/>
  <c r="L209" i="54"/>
  <c r="M209" i="54"/>
  <c r="N209" i="54"/>
  <c r="O209" i="54"/>
  <c r="P209" i="54"/>
  <c r="Q209" i="54"/>
  <c r="R209" i="54"/>
  <c r="S209" i="54"/>
  <c r="T209" i="54"/>
  <c r="U209" i="54"/>
  <c r="V209" i="54"/>
  <c r="W209" i="54"/>
  <c r="X209" i="54"/>
  <c r="Y209" i="54"/>
  <c r="F210" i="54"/>
  <c r="G210" i="54"/>
  <c r="H210" i="54"/>
  <c r="I210" i="54"/>
  <c r="J210" i="54"/>
  <c r="K210" i="54"/>
  <c r="L210" i="54"/>
  <c r="M210" i="54"/>
  <c r="N210" i="54"/>
  <c r="O210" i="54"/>
  <c r="P210" i="54"/>
  <c r="Q210" i="54"/>
  <c r="R210" i="54"/>
  <c r="S210" i="54"/>
  <c r="T210" i="54"/>
  <c r="U210" i="54"/>
  <c r="V210" i="54"/>
  <c r="W210" i="54"/>
  <c r="X210" i="54"/>
  <c r="Y210" i="54"/>
  <c r="F211" i="54"/>
  <c r="G211" i="54"/>
  <c r="H211" i="54"/>
  <c r="I211" i="54"/>
  <c r="J211" i="54"/>
  <c r="K211" i="54"/>
  <c r="L211" i="54"/>
  <c r="M211" i="54"/>
  <c r="N211" i="54"/>
  <c r="O211" i="54"/>
  <c r="P211" i="54"/>
  <c r="Q211" i="54"/>
  <c r="R211" i="54"/>
  <c r="S211" i="54"/>
  <c r="T211" i="54"/>
  <c r="U211" i="54"/>
  <c r="V211" i="54"/>
  <c r="W211" i="54"/>
  <c r="X211" i="54"/>
  <c r="Y211" i="54"/>
  <c r="F212" i="54"/>
  <c r="G212" i="54"/>
  <c r="H212" i="54"/>
  <c r="I212" i="54"/>
  <c r="J212" i="54"/>
  <c r="K212" i="54"/>
  <c r="L212" i="54"/>
  <c r="M212" i="54"/>
  <c r="N212" i="54"/>
  <c r="O212" i="54"/>
  <c r="P212" i="54"/>
  <c r="Q212" i="54"/>
  <c r="R212" i="54"/>
  <c r="S212" i="54"/>
  <c r="T212" i="54"/>
  <c r="U212" i="54"/>
  <c r="V212" i="54"/>
  <c r="W212" i="54"/>
  <c r="X212" i="54"/>
  <c r="Y212" i="54"/>
  <c r="F213" i="54"/>
  <c r="G213" i="54"/>
  <c r="H213" i="54"/>
  <c r="I213" i="54"/>
  <c r="J213" i="54"/>
  <c r="K213" i="54"/>
  <c r="L213" i="54"/>
  <c r="M213" i="54"/>
  <c r="N213" i="54"/>
  <c r="O213" i="54"/>
  <c r="P213" i="54"/>
  <c r="Q213" i="54"/>
  <c r="R213" i="54"/>
  <c r="S213" i="54"/>
  <c r="T213" i="54"/>
  <c r="U213" i="54"/>
  <c r="V213" i="54"/>
  <c r="W213" i="54"/>
  <c r="X213" i="54"/>
  <c r="Y213" i="54"/>
  <c r="F214" i="54"/>
  <c r="G214" i="54"/>
  <c r="H214" i="54"/>
  <c r="I214" i="54"/>
  <c r="J214" i="54"/>
  <c r="K214" i="54"/>
  <c r="L214" i="54"/>
  <c r="M214" i="54"/>
  <c r="N214" i="54"/>
  <c r="O214" i="54"/>
  <c r="P214" i="54"/>
  <c r="Q214" i="54"/>
  <c r="R214" i="54"/>
  <c r="S214" i="54"/>
  <c r="T214" i="54"/>
  <c r="U214" i="54"/>
  <c r="V214" i="54"/>
  <c r="W214" i="54"/>
  <c r="X214" i="54"/>
  <c r="Y214" i="54"/>
  <c r="F216" i="54"/>
  <c r="G216" i="54"/>
  <c r="H216" i="54"/>
  <c r="I216" i="54"/>
  <c r="J216" i="54"/>
  <c r="K216" i="54"/>
  <c r="L216" i="54"/>
  <c r="M216" i="54"/>
  <c r="N216" i="54"/>
  <c r="O216" i="54"/>
  <c r="P216" i="54"/>
  <c r="Q216" i="54"/>
  <c r="R216" i="54"/>
  <c r="S216" i="54"/>
  <c r="T216" i="54"/>
  <c r="U216" i="54"/>
  <c r="V216" i="54"/>
  <c r="W216" i="54"/>
  <c r="X216" i="54"/>
  <c r="Y216" i="54"/>
  <c r="F217" i="54"/>
  <c r="G217" i="54"/>
  <c r="H217" i="54"/>
  <c r="I217" i="54"/>
  <c r="J217" i="54"/>
  <c r="K217" i="54"/>
  <c r="L217" i="54"/>
  <c r="M217" i="54"/>
  <c r="N217" i="54"/>
  <c r="O217" i="54"/>
  <c r="P217" i="54"/>
  <c r="Q217" i="54"/>
  <c r="R217" i="54"/>
  <c r="S217" i="54"/>
  <c r="T217" i="54"/>
  <c r="U217" i="54"/>
  <c r="V217" i="54"/>
  <c r="W217" i="54"/>
  <c r="X217" i="54"/>
  <c r="Y217" i="54"/>
  <c r="F218" i="54"/>
  <c r="G218" i="54"/>
  <c r="H218" i="54"/>
  <c r="I218" i="54"/>
  <c r="J218" i="54"/>
  <c r="K218" i="54"/>
  <c r="L218" i="54"/>
  <c r="M218" i="54"/>
  <c r="N218" i="54"/>
  <c r="O218" i="54"/>
  <c r="P218" i="54"/>
  <c r="Q218" i="54"/>
  <c r="R218" i="54"/>
  <c r="S218" i="54"/>
  <c r="T218" i="54"/>
  <c r="U218" i="54"/>
  <c r="V218" i="54"/>
  <c r="W218" i="54"/>
  <c r="X218" i="54"/>
  <c r="Y218" i="54"/>
  <c r="F220" i="54"/>
  <c r="G220" i="54"/>
  <c r="H220" i="54"/>
  <c r="I220" i="54"/>
  <c r="J220" i="54"/>
  <c r="K220" i="54"/>
  <c r="L220" i="54"/>
  <c r="M220" i="54"/>
  <c r="N220" i="54"/>
  <c r="O220" i="54"/>
  <c r="P220" i="54"/>
  <c r="Q220" i="54"/>
  <c r="R220" i="54"/>
  <c r="S220" i="54"/>
  <c r="T220" i="54"/>
  <c r="U220" i="54"/>
  <c r="V220" i="54"/>
  <c r="W220" i="54"/>
  <c r="X220" i="54"/>
  <c r="Y220" i="54"/>
  <c r="F224" i="54"/>
  <c r="G224" i="54"/>
  <c r="H224" i="54"/>
  <c r="I224" i="54"/>
  <c r="J224" i="54"/>
  <c r="K224" i="54"/>
  <c r="L224" i="54"/>
  <c r="M224" i="54"/>
  <c r="N224" i="54"/>
  <c r="O224" i="54"/>
  <c r="P224" i="54"/>
  <c r="Q224" i="54"/>
  <c r="R224" i="54"/>
  <c r="S224" i="54"/>
  <c r="T224" i="54"/>
  <c r="U224" i="54"/>
  <c r="V224" i="54"/>
  <c r="W224" i="54"/>
  <c r="X224" i="54"/>
  <c r="Y224" i="54"/>
  <c r="F225" i="54"/>
  <c r="G225" i="54"/>
  <c r="H225" i="54"/>
  <c r="I225" i="54"/>
  <c r="J225" i="54"/>
  <c r="K225" i="54"/>
  <c r="L225" i="54"/>
  <c r="M225" i="54"/>
  <c r="N225" i="54"/>
  <c r="O225" i="54"/>
  <c r="P225" i="54"/>
  <c r="Q225" i="54"/>
  <c r="R225" i="54"/>
  <c r="S225" i="54"/>
  <c r="T225" i="54"/>
  <c r="U225" i="54"/>
  <c r="V225" i="54"/>
  <c r="W225" i="54"/>
  <c r="X225" i="54"/>
  <c r="Y225" i="54"/>
  <c r="F226" i="54"/>
  <c r="G226" i="54"/>
  <c r="H226" i="54"/>
  <c r="I226" i="54"/>
  <c r="J226" i="54"/>
  <c r="K226" i="54"/>
  <c r="L226" i="54"/>
  <c r="M226" i="54"/>
  <c r="N226" i="54"/>
  <c r="O226" i="54"/>
  <c r="P226" i="54"/>
  <c r="Q226" i="54"/>
  <c r="R226" i="54"/>
  <c r="S226" i="54"/>
  <c r="T226" i="54"/>
  <c r="U226" i="54"/>
  <c r="V226" i="54"/>
  <c r="W226" i="54"/>
  <c r="X226" i="54"/>
  <c r="Y226" i="54"/>
  <c r="F227" i="54"/>
  <c r="G227" i="54"/>
  <c r="H227" i="54"/>
  <c r="I227" i="54"/>
  <c r="J227" i="54"/>
  <c r="K227" i="54"/>
  <c r="L227" i="54"/>
  <c r="M227" i="54"/>
  <c r="N227" i="54"/>
  <c r="O227" i="54"/>
  <c r="P227" i="54"/>
  <c r="Q227" i="54"/>
  <c r="R227" i="54"/>
  <c r="S227" i="54"/>
  <c r="T227" i="54"/>
  <c r="U227" i="54"/>
  <c r="V227" i="54"/>
  <c r="W227" i="54"/>
  <c r="X227" i="54"/>
  <c r="Y227" i="54"/>
  <c r="F228" i="54"/>
  <c r="G228" i="54"/>
  <c r="H228" i="54"/>
  <c r="I228" i="54"/>
  <c r="J228" i="54"/>
  <c r="K228" i="54"/>
  <c r="L228" i="54"/>
  <c r="M228" i="54"/>
  <c r="N228" i="54"/>
  <c r="O228" i="54"/>
  <c r="P228" i="54"/>
  <c r="Q228" i="54"/>
  <c r="R228" i="54"/>
  <c r="S228" i="54"/>
  <c r="T228" i="54"/>
  <c r="U228" i="54"/>
  <c r="V228" i="54"/>
  <c r="W228" i="54"/>
  <c r="X228" i="54"/>
  <c r="Y228" i="54"/>
  <c r="F229" i="54"/>
  <c r="G229" i="54"/>
  <c r="H229" i="54"/>
  <c r="I229" i="54"/>
  <c r="J229" i="54"/>
  <c r="K229" i="54"/>
  <c r="L229" i="54"/>
  <c r="M229" i="54"/>
  <c r="N229" i="54"/>
  <c r="O229" i="54"/>
  <c r="P229" i="54"/>
  <c r="Q229" i="54"/>
  <c r="R229" i="54"/>
  <c r="S229" i="54"/>
  <c r="T229" i="54"/>
  <c r="U229" i="54"/>
  <c r="V229" i="54"/>
  <c r="W229" i="54"/>
  <c r="X229" i="54"/>
  <c r="Y229" i="54"/>
  <c r="F230" i="54"/>
  <c r="G230" i="54"/>
  <c r="H230" i="54"/>
  <c r="I230" i="54"/>
  <c r="J230" i="54"/>
  <c r="K230" i="54"/>
  <c r="L230" i="54"/>
  <c r="M230" i="54"/>
  <c r="N230" i="54"/>
  <c r="O230" i="54"/>
  <c r="P230" i="54"/>
  <c r="Q230" i="54"/>
  <c r="R230" i="54"/>
  <c r="S230" i="54"/>
  <c r="T230" i="54"/>
  <c r="U230" i="54"/>
  <c r="V230" i="54"/>
  <c r="W230" i="54"/>
  <c r="X230" i="54"/>
  <c r="Y230" i="54"/>
  <c r="F231" i="54"/>
  <c r="G231" i="54"/>
  <c r="H231" i="54"/>
  <c r="I231" i="54"/>
  <c r="J231" i="54"/>
  <c r="K231" i="54"/>
  <c r="L231" i="54"/>
  <c r="M231" i="54"/>
  <c r="N231" i="54"/>
  <c r="O231" i="54"/>
  <c r="P231" i="54"/>
  <c r="Q231" i="54"/>
  <c r="R231" i="54"/>
  <c r="S231" i="54"/>
  <c r="T231" i="54"/>
  <c r="U231" i="54"/>
  <c r="V231" i="54"/>
  <c r="W231" i="54"/>
  <c r="X231" i="54"/>
  <c r="Y231" i="54"/>
  <c r="F232" i="54"/>
  <c r="G232" i="54"/>
  <c r="H232" i="54"/>
  <c r="I232" i="54"/>
  <c r="J232" i="54"/>
  <c r="K232" i="54"/>
  <c r="L232" i="54"/>
  <c r="M232" i="54"/>
  <c r="N232" i="54"/>
  <c r="O232" i="54"/>
  <c r="P232" i="54"/>
  <c r="Q232" i="54"/>
  <c r="R232" i="54"/>
  <c r="S232" i="54"/>
  <c r="T232" i="54"/>
  <c r="U232" i="54"/>
  <c r="V232" i="54"/>
  <c r="W232" i="54"/>
  <c r="X232" i="54"/>
  <c r="Y232" i="54"/>
  <c r="F233" i="54"/>
  <c r="G233" i="54"/>
  <c r="H233" i="54"/>
  <c r="I233" i="54"/>
  <c r="J233" i="54"/>
  <c r="K233" i="54"/>
  <c r="L233" i="54"/>
  <c r="M233" i="54"/>
  <c r="N233" i="54"/>
  <c r="O233" i="54"/>
  <c r="P233" i="54"/>
  <c r="Q233" i="54"/>
  <c r="R233" i="54"/>
  <c r="S233" i="54"/>
  <c r="T233" i="54"/>
  <c r="U233" i="54"/>
  <c r="V233" i="54"/>
  <c r="W233" i="54"/>
  <c r="X233" i="54"/>
  <c r="Y233" i="54"/>
  <c r="F234" i="54"/>
  <c r="G234" i="54"/>
  <c r="H234" i="54"/>
  <c r="I234" i="54"/>
  <c r="J234" i="54"/>
  <c r="K234" i="54"/>
  <c r="L234" i="54"/>
  <c r="M234" i="54"/>
  <c r="N234" i="54"/>
  <c r="O234" i="54"/>
  <c r="P234" i="54"/>
  <c r="Q234" i="54"/>
  <c r="R234" i="54"/>
  <c r="S234" i="54"/>
  <c r="T234" i="54"/>
  <c r="U234" i="54"/>
  <c r="V234" i="54"/>
  <c r="W234" i="54"/>
  <c r="X234" i="54"/>
  <c r="Y234" i="54"/>
  <c r="F235" i="54"/>
  <c r="G235" i="54"/>
  <c r="H235" i="54"/>
  <c r="I235" i="54"/>
  <c r="J235" i="54"/>
  <c r="K235" i="54"/>
  <c r="L235" i="54"/>
  <c r="M235" i="54"/>
  <c r="N235" i="54"/>
  <c r="O235" i="54"/>
  <c r="P235" i="54"/>
  <c r="Q235" i="54"/>
  <c r="R235" i="54"/>
  <c r="S235" i="54"/>
  <c r="T235" i="54"/>
  <c r="U235" i="54"/>
  <c r="V235" i="54"/>
  <c r="W235" i="54"/>
  <c r="X235" i="54"/>
  <c r="Y235" i="54"/>
  <c r="F236" i="54"/>
  <c r="G236" i="54"/>
  <c r="H236" i="54"/>
  <c r="I236" i="54"/>
  <c r="J236" i="54"/>
  <c r="K236" i="54"/>
  <c r="L236" i="54"/>
  <c r="M236" i="54"/>
  <c r="N236" i="54"/>
  <c r="O236" i="54"/>
  <c r="P236" i="54"/>
  <c r="Q236" i="54"/>
  <c r="R236" i="54"/>
  <c r="S236" i="54"/>
  <c r="T236" i="54"/>
  <c r="U236" i="54"/>
  <c r="V236" i="54"/>
  <c r="W236" i="54"/>
  <c r="X236" i="54"/>
  <c r="Y236" i="54"/>
  <c r="F238" i="54"/>
  <c r="G238" i="54"/>
  <c r="H238" i="54"/>
  <c r="I238" i="54"/>
  <c r="J238" i="54"/>
  <c r="K238" i="54"/>
  <c r="L238" i="54"/>
  <c r="M238" i="54"/>
  <c r="N238" i="54"/>
  <c r="O238" i="54"/>
  <c r="P238" i="54"/>
  <c r="Q238" i="54"/>
  <c r="R238" i="54"/>
  <c r="S238" i="54"/>
  <c r="T238" i="54"/>
  <c r="U238" i="54"/>
  <c r="V238" i="54"/>
  <c r="W238" i="54"/>
  <c r="X238" i="54"/>
  <c r="Y238" i="54"/>
  <c r="F239" i="54"/>
  <c r="G239" i="54"/>
  <c r="H239" i="54"/>
  <c r="I239" i="54"/>
  <c r="J239" i="54"/>
  <c r="K239" i="54"/>
  <c r="L239" i="54"/>
  <c r="M239" i="54"/>
  <c r="N239" i="54"/>
  <c r="O239" i="54"/>
  <c r="P239" i="54"/>
  <c r="Q239" i="54"/>
  <c r="R239" i="54"/>
  <c r="S239" i="54"/>
  <c r="T239" i="54"/>
  <c r="U239" i="54"/>
  <c r="V239" i="54"/>
  <c r="W239" i="54"/>
  <c r="X239" i="54"/>
  <c r="Y239" i="54"/>
  <c r="F240" i="54"/>
  <c r="G240" i="54"/>
  <c r="H240" i="54"/>
  <c r="I240" i="54"/>
  <c r="J240" i="54"/>
  <c r="K240" i="54"/>
  <c r="L240" i="54"/>
  <c r="M240" i="54"/>
  <c r="N240" i="54"/>
  <c r="O240" i="54"/>
  <c r="P240" i="54"/>
  <c r="Q240" i="54"/>
  <c r="R240" i="54"/>
  <c r="S240" i="54"/>
  <c r="T240" i="54"/>
  <c r="U240" i="54"/>
  <c r="V240" i="54"/>
  <c r="W240" i="54"/>
  <c r="X240" i="54"/>
  <c r="Y240" i="54"/>
  <c r="F242" i="54"/>
  <c r="G242" i="54"/>
  <c r="H242" i="54"/>
  <c r="I242" i="54"/>
  <c r="J242" i="54"/>
  <c r="K242" i="54"/>
  <c r="L242" i="54"/>
  <c r="M242" i="54"/>
  <c r="N242" i="54"/>
  <c r="O242" i="54"/>
  <c r="P242" i="54"/>
  <c r="Q242" i="54"/>
  <c r="R242" i="54"/>
  <c r="S242" i="54"/>
  <c r="T242" i="54"/>
  <c r="U242" i="54"/>
  <c r="V242" i="54"/>
  <c r="W242" i="54"/>
  <c r="X242" i="54"/>
  <c r="Y242" i="54"/>
  <c r="F246" i="54"/>
  <c r="G246" i="54"/>
  <c r="H246" i="54"/>
  <c r="I246" i="54"/>
  <c r="J246" i="54"/>
  <c r="K246" i="54"/>
  <c r="L246" i="54"/>
  <c r="M246" i="54"/>
  <c r="N246" i="54"/>
  <c r="O246" i="54"/>
  <c r="P246" i="54"/>
  <c r="Q246" i="54"/>
  <c r="R246" i="54"/>
  <c r="S246" i="54"/>
  <c r="T246" i="54"/>
  <c r="U246" i="54"/>
  <c r="V246" i="54"/>
  <c r="W246" i="54"/>
  <c r="X246" i="54"/>
  <c r="Y246" i="54"/>
  <c r="F247" i="54"/>
  <c r="G247" i="54"/>
  <c r="H247" i="54"/>
  <c r="I247" i="54"/>
  <c r="J247" i="54"/>
  <c r="K247" i="54"/>
  <c r="L247" i="54"/>
  <c r="M247" i="54"/>
  <c r="N247" i="54"/>
  <c r="O247" i="54"/>
  <c r="P247" i="54"/>
  <c r="Q247" i="54"/>
  <c r="R247" i="54"/>
  <c r="S247" i="54"/>
  <c r="T247" i="54"/>
  <c r="U247" i="54"/>
  <c r="V247" i="54"/>
  <c r="W247" i="54"/>
  <c r="X247" i="54"/>
  <c r="Y247" i="54"/>
  <c r="F248" i="54"/>
  <c r="G248" i="54"/>
  <c r="H248" i="54"/>
  <c r="I248" i="54"/>
  <c r="J248" i="54"/>
  <c r="K248" i="54"/>
  <c r="L248" i="54"/>
  <c r="M248" i="54"/>
  <c r="N248" i="54"/>
  <c r="O248" i="54"/>
  <c r="P248" i="54"/>
  <c r="Q248" i="54"/>
  <c r="R248" i="54"/>
  <c r="S248" i="54"/>
  <c r="T248" i="54"/>
  <c r="U248" i="54"/>
  <c r="V248" i="54"/>
  <c r="W248" i="54"/>
  <c r="X248" i="54"/>
  <c r="Y248" i="54"/>
  <c r="F249" i="54"/>
  <c r="G249" i="54"/>
  <c r="H249" i="54"/>
  <c r="I249" i="54"/>
  <c r="J249" i="54"/>
  <c r="K249" i="54"/>
  <c r="L249" i="54"/>
  <c r="M249" i="54"/>
  <c r="N249" i="54"/>
  <c r="O249" i="54"/>
  <c r="P249" i="54"/>
  <c r="Q249" i="54"/>
  <c r="R249" i="54"/>
  <c r="S249" i="54"/>
  <c r="T249" i="54"/>
  <c r="U249" i="54"/>
  <c r="V249" i="54"/>
  <c r="W249" i="54"/>
  <c r="X249" i="54"/>
  <c r="Y249" i="54"/>
  <c r="F250" i="54"/>
  <c r="G250" i="54"/>
  <c r="H250" i="54"/>
  <c r="I250" i="54"/>
  <c r="J250" i="54"/>
  <c r="K250" i="54"/>
  <c r="L250" i="54"/>
  <c r="M250" i="54"/>
  <c r="N250" i="54"/>
  <c r="O250" i="54"/>
  <c r="P250" i="54"/>
  <c r="Q250" i="54"/>
  <c r="R250" i="54"/>
  <c r="S250" i="54"/>
  <c r="T250" i="54"/>
  <c r="U250" i="54"/>
  <c r="V250" i="54"/>
  <c r="W250" i="54"/>
  <c r="X250" i="54"/>
  <c r="Y250" i="54"/>
  <c r="F251" i="54"/>
  <c r="G251" i="54"/>
  <c r="H251" i="54"/>
  <c r="I251" i="54"/>
  <c r="J251" i="54"/>
  <c r="K251" i="54"/>
  <c r="L251" i="54"/>
  <c r="M251" i="54"/>
  <c r="N251" i="54"/>
  <c r="O251" i="54"/>
  <c r="P251" i="54"/>
  <c r="Q251" i="54"/>
  <c r="R251" i="54"/>
  <c r="S251" i="54"/>
  <c r="T251" i="54"/>
  <c r="U251" i="54"/>
  <c r="V251" i="54"/>
  <c r="W251" i="54"/>
  <c r="X251" i="54"/>
  <c r="Y251" i="54"/>
  <c r="F252" i="54"/>
  <c r="G252" i="54"/>
  <c r="H252" i="54"/>
  <c r="I252" i="54"/>
  <c r="J252" i="54"/>
  <c r="K252" i="54"/>
  <c r="L252" i="54"/>
  <c r="M252" i="54"/>
  <c r="N252" i="54"/>
  <c r="O252" i="54"/>
  <c r="P252" i="54"/>
  <c r="Q252" i="54"/>
  <c r="R252" i="54"/>
  <c r="S252" i="54"/>
  <c r="T252" i="54"/>
  <c r="U252" i="54"/>
  <c r="V252" i="54"/>
  <c r="W252" i="54"/>
  <c r="X252" i="54"/>
  <c r="Y252" i="54"/>
  <c r="F253" i="54"/>
  <c r="G253" i="54"/>
  <c r="H253" i="54"/>
  <c r="I253" i="54"/>
  <c r="J253" i="54"/>
  <c r="K253" i="54"/>
  <c r="L253" i="54"/>
  <c r="M253" i="54"/>
  <c r="N253" i="54"/>
  <c r="O253" i="54"/>
  <c r="P253" i="54"/>
  <c r="Q253" i="54"/>
  <c r="R253" i="54"/>
  <c r="S253" i="54"/>
  <c r="T253" i="54"/>
  <c r="U253" i="54"/>
  <c r="V253" i="54"/>
  <c r="W253" i="54"/>
  <c r="X253" i="54"/>
  <c r="Y253" i="54"/>
  <c r="F254" i="54"/>
  <c r="G254" i="54"/>
  <c r="H254" i="54"/>
  <c r="I254" i="54"/>
  <c r="J254" i="54"/>
  <c r="K254" i="54"/>
  <c r="L254" i="54"/>
  <c r="M254" i="54"/>
  <c r="N254" i="54"/>
  <c r="O254" i="54"/>
  <c r="P254" i="54"/>
  <c r="Q254" i="54"/>
  <c r="R254" i="54"/>
  <c r="S254" i="54"/>
  <c r="T254" i="54"/>
  <c r="U254" i="54"/>
  <c r="V254" i="54"/>
  <c r="W254" i="54"/>
  <c r="X254" i="54"/>
  <c r="Y254" i="54"/>
  <c r="F255" i="54"/>
  <c r="G255" i="54"/>
  <c r="H255" i="54"/>
  <c r="I255" i="54"/>
  <c r="J255" i="54"/>
  <c r="K255" i="54"/>
  <c r="L255" i="54"/>
  <c r="M255" i="54"/>
  <c r="N255" i="54"/>
  <c r="O255" i="54"/>
  <c r="P255" i="54"/>
  <c r="Q255" i="54"/>
  <c r="R255" i="54"/>
  <c r="S255" i="54"/>
  <c r="T255" i="54"/>
  <c r="U255" i="54"/>
  <c r="V255" i="54"/>
  <c r="W255" i="54"/>
  <c r="X255" i="54"/>
  <c r="Y255" i="54"/>
  <c r="F256" i="54"/>
  <c r="G256" i="54"/>
  <c r="H256" i="54"/>
  <c r="I256" i="54"/>
  <c r="J256" i="54"/>
  <c r="K256" i="54"/>
  <c r="L256" i="54"/>
  <c r="M256" i="54"/>
  <c r="N256" i="54"/>
  <c r="O256" i="54"/>
  <c r="P256" i="54"/>
  <c r="Q256" i="54"/>
  <c r="R256" i="54"/>
  <c r="S256" i="54"/>
  <c r="T256" i="54"/>
  <c r="U256" i="54"/>
  <c r="V256" i="54"/>
  <c r="W256" i="54"/>
  <c r="X256" i="54"/>
  <c r="Y256" i="54"/>
  <c r="F257" i="54"/>
  <c r="G257" i="54"/>
  <c r="H257" i="54"/>
  <c r="I257" i="54"/>
  <c r="J257" i="54"/>
  <c r="K257" i="54"/>
  <c r="L257" i="54"/>
  <c r="M257" i="54"/>
  <c r="N257" i="54"/>
  <c r="O257" i="54"/>
  <c r="P257" i="54"/>
  <c r="Q257" i="54"/>
  <c r="R257" i="54"/>
  <c r="S257" i="54"/>
  <c r="T257" i="54"/>
  <c r="U257" i="54"/>
  <c r="V257" i="54"/>
  <c r="W257" i="54"/>
  <c r="X257" i="54"/>
  <c r="Y257" i="54"/>
  <c r="F258" i="54"/>
  <c r="G258" i="54"/>
  <c r="H258" i="54"/>
  <c r="I258" i="54"/>
  <c r="J258" i="54"/>
  <c r="K258" i="54"/>
  <c r="L258" i="54"/>
  <c r="M258" i="54"/>
  <c r="N258" i="54"/>
  <c r="O258" i="54"/>
  <c r="P258" i="54"/>
  <c r="Q258" i="54"/>
  <c r="R258" i="54"/>
  <c r="S258" i="54"/>
  <c r="T258" i="54"/>
  <c r="U258" i="54"/>
  <c r="V258" i="54"/>
  <c r="W258" i="54"/>
  <c r="X258" i="54"/>
  <c r="Y258" i="54"/>
  <c r="F260" i="54"/>
  <c r="G260" i="54"/>
  <c r="H260" i="54"/>
  <c r="I260" i="54"/>
  <c r="J260" i="54"/>
  <c r="K260" i="54"/>
  <c r="L260" i="54"/>
  <c r="M260" i="54"/>
  <c r="N260" i="54"/>
  <c r="O260" i="54"/>
  <c r="P260" i="54"/>
  <c r="Q260" i="54"/>
  <c r="R260" i="54"/>
  <c r="S260" i="54"/>
  <c r="T260" i="54"/>
  <c r="U260" i="54"/>
  <c r="V260" i="54"/>
  <c r="W260" i="54"/>
  <c r="X260" i="54"/>
  <c r="Y260" i="54"/>
  <c r="F261" i="54"/>
  <c r="G261" i="54"/>
  <c r="H261" i="54"/>
  <c r="I261" i="54"/>
  <c r="J261" i="54"/>
  <c r="K261" i="54"/>
  <c r="L261" i="54"/>
  <c r="M261" i="54"/>
  <c r="N261" i="54"/>
  <c r="O261" i="54"/>
  <c r="P261" i="54"/>
  <c r="Q261" i="54"/>
  <c r="R261" i="54"/>
  <c r="S261" i="54"/>
  <c r="T261" i="54"/>
  <c r="U261" i="54"/>
  <c r="V261" i="54"/>
  <c r="W261" i="54"/>
  <c r="X261" i="54"/>
  <c r="Y261" i="54"/>
  <c r="F262" i="54"/>
  <c r="G262" i="54"/>
  <c r="H262" i="54"/>
  <c r="I262" i="54"/>
  <c r="J262" i="54"/>
  <c r="K262" i="54"/>
  <c r="L262" i="54"/>
  <c r="M262" i="54"/>
  <c r="N262" i="54"/>
  <c r="O262" i="54"/>
  <c r="P262" i="54"/>
  <c r="Q262" i="54"/>
  <c r="R262" i="54"/>
  <c r="S262" i="54"/>
  <c r="T262" i="54"/>
  <c r="U262" i="54"/>
  <c r="V262" i="54"/>
  <c r="W262" i="54"/>
  <c r="X262" i="54"/>
  <c r="Y262" i="54"/>
  <c r="F264" i="54"/>
  <c r="G264" i="54"/>
  <c r="H264" i="54"/>
  <c r="I264" i="54"/>
  <c r="J264" i="54"/>
  <c r="K264" i="54"/>
  <c r="L264" i="54"/>
  <c r="M264" i="54"/>
  <c r="N264" i="54"/>
  <c r="O264" i="54"/>
  <c r="P264" i="54"/>
  <c r="Q264" i="54"/>
  <c r="R264" i="54"/>
  <c r="S264" i="54"/>
  <c r="T264" i="54"/>
  <c r="U264" i="54"/>
  <c r="V264" i="54"/>
  <c r="W264" i="54"/>
  <c r="X264" i="54"/>
  <c r="Y264" i="54"/>
  <c r="H10" i="49"/>
  <c r="J10" i="49"/>
  <c r="N10" i="49"/>
  <c r="P10" i="49"/>
  <c r="R10" i="49"/>
  <c r="T10" i="49"/>
  <c r="V10" i="49"/>
  <c r="X10" i="49"/>
  <c r="Z10" i="49"/>
  <c r="AB10" i="49"/>
  <c r="H11" i="49"/>
  <c r="J11" i="49"/>
  <c r="N11" i="49"/>
  <c r="P11" i="49"/>
  <c r="R11" i="49"/>
  <c r="T11" i="49"/>
  <c r="V11" i="49"/>
  <c r="X11" i="49"/>
  <c r="Z11" i="49"/>
  <c r="AB11" i="49"/>
  <c r="H12" i="49"/>
  <c r="J12" i="49"/>
  <c r="N12" i="49"/>
  <c r="P12" i="49"/>
  <c r="R12" i="49"/>
  <c r="T12" i="49"/>
  <c r="V12" i="49"/>
  <c r="X12" i="49"/>
  <c r="Z12" i="49"/>
  <c r="AB12" i="49"/>
  <c r="F14" i="49"/>
  <c r="H14" i="49"/>
  <c r="J14" i="49"/>
  <c r="L14" i="49"/>
  <c r="N14" i="49"/>
  <c r="R14" i="49"/>
  <c r="T14" i="49"/>
  <c r="V14" i="49"/>
  <c r="X14" i="49"/>
  <c r="Z14" i="49"/>
  <c r="H17" i="49"/>
  <c r="J17" i="49"/>
  <c r="N17" i="49"/>
  <c r="P17" i="49"/>
  <c r="R17" i="49"/>
  <c r="T17" i="49"/>
  <c r="V17" i="49"/>
  <c r="X17" i="49"/>
  <c r="Z17" i="49"/>
  <c r="AB17" i="49"/>
  <c r="H18" i="49"/>
  <c r="J18" i="49"/>
  <c r="N18" i="49"/>
  <c r="P18" i="49"/>
  <c r="R18" i="49"/>
  <c r="T18" i="49"/>
  <c r="V18" i="49"/>
  <c r="X18" i="49"/>
  <c r="Z18" i="49"/>
  <c r="AB18" i="49"/>
  <c r="H19" i="49"/>
  <c r="J19" i="49"/>
  <c r="N19" i="49"/>
  <c r="P19" i="49"/>
  <c r="R19" i="49"/>
  <c r="T19" i="49"/>
  <c r="V19" i="49"/>
  <c r="X19" i="49"/>
  <c r="Z19" i="49"/>
  <c r="AB19" i="49"/>
  <c r="H20" i="49"/>
  <c r="J20" i="49"/>
  <c r="N20" i="49"/>
  <c r="P20" i="49"/>
  <c r="R20" i="49"/>
  <c r="T20" i="49"/>
  <c r="V20" i="49"/>
  <c r="X20" i="49"/>
  <c r="Z20" i="49"/>
  <c r="AB20" i="49"/>
  <c r="H21" i="49"/>
  <c r="J21" i="49"/>
  <c r="N21" i="49"/>
  <c r="P21" i="49"/>
  <c r="R21" i="49"/>
  <c r="T21" i="49"/>
  <c r="V21" i="49"/>
  <c r="X21" i="49"/>
  <c r="Z21" i="49"/>
  <c r="AB21" i="49"/>
  <c r="H22" i="49"/>
  <c r="J22" i="49"/>
  <c r="N22" i="49"/>
  <c r="P22" i="49"/>
  <c r="R22" i="49"/>
  <c r="T22" i="49"/>
  <c r="V22" i="49"/>
  <c r="X22" i="49"/>
  <c r="Z22" i="49"/>
  <c r="AB22" i="49"/>
  <c r="H23" i="49"/>
  <c r="J23" i="49"/>
  <c r="N23" i="49"/>
  <c r="P23" i="49"/>
  <c r="R23" i="49"/>
  <c r="T23" i="49"/>
  <c r="V23" i="49"/>
  <c r="X23" i="49"/>
  <c r="Z23" i="49"/>
  <c r="AB23" i="49"/>
  <c r="H24" i="49"/>
  <c r="J24" i="49"/>
  <c r="N24" i="49"/>
  <c r="P24" i="49"/>
  <c r="R24" i="49"/>
  <c r="T24" i="49"/>
  <c r="V24" i="49"/>
  <c r="X24" i="49"/>
  <c r="Z24" i="49"/>
  <c r="AB24" i="49"/>
  <c r="F26" i="49"/>
  <c r="H26" i="49"/>
  <c r="J26" i="49"/>
  <c r="L26" i="49"/>
  <c r="N26" i="49"/>
  <c r="R26" i="49"/>
  <c r="T26" i="49"/>
  <c r="V26" i="49"/>
  <c r="X26" i="49"/>
  <c r="Z26" i="49"/>
  <c r="H29" i="49"/>
  <c r="J29" i="49"/>
  <c r="N29" i="49"/>
  <c r="P29" i="49"/>
  <c r="R29" i="49"/>
  <c r="T29" i="49"/>
  <c r="V29" i="49"/>
  <c r="X29" i="49"/>
  <c r="Z29" i="49"/>
  <c r="AB29" i="49"/>
  <c r="H30" i="49"/>
  <c r="J30" i="49"/>
  <c r="N30" i="49"/>
  <c r="P30" i="49"/>
  <c r="R30" i="49"/>
  <c r="T30" i="49"/>
  <c r="V30" i="49"/>
  <c r="X30" i="49"/>
  <c r="Z30" i="49"/>
  <c r="AB30" i="49"/>
  <c r="H31" i="49"/>
  <c r="T31" i="49"/>
  <c r="V31" i="49"/>
  <c r="X31" i="49"/>
  <c r="Z31" i="49"/>
  <c r="H32" i="49"/>
  <c r="J32" i="49"/>
  <c r="N32" i="49"/>
  <c r="P32" i="49"/>
  <c r="R32" i="49"/>
  <c r="T32" i="49"/>
  <c r="V32" i="49"/>
  <c r="X32" i="49"/>
  <c r="Z32" i="49"/>
  <c r="AB32" i="49"/>
  <c r="H33" i="49"/>
  <c r="J33" i="49"/>
  <c r="N33" i="49"/>
  <c r="P33" i="49"/>
  <c r="R33" i="49"/>
  <c r="T33" i="49"/>
  <c r="V33" i="49"/>
  <c r="X33" i="49"/>
  <c r="Z33" i="49"/>
  <c r="AB33" i="49"/>
  <c r="H34" i="49"/>
  <c r="J34" i="49"/>
  <c r="N34" i="49"/>
  <c r="P34" i="49"/>
  <c r="R34" i="49"/>
  <c r="T34" i="49"/>
  <c r="V34" i="49"/>
  <c r="X34" i="49"/>
  <c r="Z34" i="49"/>
  <c r="AB34" i="49"/>
  <c r="H35" i="49"/>
  <c r="R35" i="49"/>
  <c r="T35" i="49"/>
  <c r="V35" i="49"/>
  <c r="X35" i="49"/>
  <c r="Z35" i="49"/>
  <c r="F37" i="49"/>
  <c r="H37" i="49"/>
  <c r="J37" i="49"/>
  <c r="L37" i="49"/>
  <c r="N37" i="49"/>
  <c r="R37" i="49"/>
  <c r="T37" i="49"/>
  <c r="V37" i="49"/>
  <c r="X37" i="49"/>
  <c r="Z37" i="49"/>
  <c r="F39" i="49"/>
  <c r="H39" i="49"/>
  <c r="J39" i="49"/>
  <c r="L39" i="49"/>
  <c r="N39" i="49"/>
  <c r="R39" i="49"/>
  <c r="T39" i="49"/>
  <c r="V39" i="49"/>
  <c r="X39" i="49"/>
  <c r="Z39" i="49"/>
  <c r="T48" i="49"/>
  <c r="V48" i="49"/>
  <c r="X48" i="49"/>
  <c r="Z48" i="49"/>
  <c r="T50" i="49"/>
  <c r="V50" i="49"/>
  <c r="X50" i="49"/>
  <c r="Z50" i="49"/>
  <c r="B5" i="66"/>
  <c r="C5" i="66"/>
  <c r="D5" i="66"/>
  <c r="E5" i="66"/>
  <c r="F5" i="66"/>
  <c r="G5" i="66"/>
  <c r="H5" i="66"/>
  <c r="I5" i="66"/>
  <c r="J5" i="66"/>
  <c r="K5" i="66"/>
  <c r="L5" i="66"/>
  <c r="M5" i="66"/>
  <c r="N5" i="66"/>
  <c r="O5" i="66"/>
  <c r="P5" i="66"/>
  <c r="Q5" i="66"/>
  <c r="R5" i="66"/>
  <c r="S5" i="66"/>
  <c r="T5" i="66"/>
  <c r="U5" i="66"/>
  <c r="Y7" i="66"/>
  <c r="Z7" i="66"/>
  <c r="AA7" i="66"/>
  <c r="AB7" i="66"/>
  <c r="AC7" i="66"/>
  <c r="AD7" i="66"/>
  <c r="AE7" i="66"/>
  <c r="AF7" i="66"/>
  <c r="AG7" i="66"/>
  <c r="AH7" i="66"/>
  <c r="AI7" i="66"/>
  <c r="AJ7" i="66"/>
  <c r="AK7" i="66"/>
  <c r="AL7" i="66"/>
  <c r="AM7" i="66"/>
  <c r="AN7" i="66"/>
  <c r="AO7" i="66"/>
  <c r="AP7" i="66"/>
  <c r="AQ7" i="66"/>
  <c r="AR7" i="66"/>
  <c r="AS7" i="66"/>
  <c r="Z8" i="66"/>
  <c r="AA8" i="66"/>
  <c r="AB8" i="66"/>
  <c r="AC8" i="66"/>
  <c r="AD8" i="66"/>
  <c r="AE8" i="66"/>
  <c r="AF8" i="66"/>
  <c r="AG8" i="66"/>
  <c r="AH8" i="66"/>
  <c r="AI8" i="66"/>
  <c r="AJ8" i="66"/>
  <c r="AK8" i="66"/>
  <c r="AL8" i="66"/>
  <c r="AM8" i="66"/>
  <c r="AN8" i="66"/>
  <c r="AO8" i="66"/>
  <c r="AP8" i="66"/>
  <c r="AQ8" i="66"/>
  <c r="AR8" i="66"/>
  <c r="AS8" i="66"/>
  <c r="B9" i="66"/>
  <c r="C9" i="66"/>
  <c r="D9" i="66"/>
  <c r="W9" i="66"/>
  <c r="Z9" i="66"/>
  <c r="AA9" i="66"/>
  <c r="AB9" i="66"/>
  <c r="AC9" i="66"/>
  <c r="AD9" i="66"/>
  <c r="AE9" i="66"/>
  <c r="AF9" i="66"/>
  <c r="AG9" i="66"/>
  <c r="AH9" i="66"/>
  <c r="AI9" i="66"/>
  <c r="AJ9" i="66"/>
  <c r="AK9" i="66"/>
  <c r="AL9" i="66"/>
  <c r="AM9" i="66"/>
  <c r="AN9" i="66"/>
  <c r="AO9" i="66"/>
  <c r="AP9" i="66"/>
  <c r="AQ9" i="66"/>
  <c r="AR9" i="66"/>
  <c r="AS9" i="66"/>
  <c r="B10" i="66"/>
  <c r="C10" i="66"/>
  <c r="D10" i="66"/>
  <c r="W10" i="66"/>
  <c r="B11" i="66"/>
  <c r="C11" i="66"/>
  <c r="D11" i="66"/>
  <c r="W11" i="66"/>
  <c r="B12" i="66"/>
  <c r="C12" i="66"/>
  <c r="D12" i="66"/>
  <c r="W12" i="66"/>
  <c r="E15" i="66"/>
  <c r="F15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W15" i="66"/>
  <c r="E16" i="66"/>
  <c r="F16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W16" i="66"/>
  <c r="W17" i="66"/>
  <c r="B18" i="66"/>
  <c r="C18" i="66"/>
  <c r="D18" i="66"/>
  <c r="E18" i="66"/>
  <c r="F18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W18" i="66"/>
  <c r="B19" i="66"/>
  <c r="C19" i="66"/>
  <c r="D19" i="66"/>
  <c r="E19" i="66"/>
  <c r="F19" i="66"/>
  <c r="G19" i="66"/>
  <c r="H19" i="66"/>
  <c r="I19" i="66"/>
  <c r="J19" i="66"/>
  <c r="K19" i="66"/>
  <c r="L19" i="66"/>
  <c r="M19" i="66"/>
  <c r="N19" i="66"/>
  <c r="O19" i="66"/>
  <c r="P19" i="66"/>
  <c r="Q19" i="66"/>
  <c r="R19" i="66"/>
  <c r="S19" i="66"/>
  <c r="T19" i="66"/>
  <c r="U19" i="66"/>
  <c r="W19" i="66"/>
  <c r="B22" i="66"/>
  <c r="C22" i="66"/>
  <c r="D22" i="66"/>
  <c r="E22" i="66"/>
  <c r="F22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W22" i="66"/>
  <c r="B23" i="66"/>
  <c r="C23" i="66"/>
  <c r="D23" i="66"/>
  <c r="E23" i="66"/>
  <c r="F23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W23" i="66"/>
  <c r="B24" i="66"/>
  <c r="C24" i="66"/>
  <c r="D24" i="66"/>
  <c r="E24" i="66"/>
  <c r="F24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W24" i="66"/>
  <c r="B25" i="66"/>
  <c r="C25" i="66"/>
  <c r="D25" i="66"/>
  <c r="E25" i="66"/>
  <c r="F25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W25" i="66"/>
  <c r="W26" i="66"/>
  <c r="B27" i="66"/>
  <c r="C27" i="66"/>
  <c r="D27" i="66"/>
  <c r="E27" i="66"/>
  <c r="F27" i="66"/>
  <c r="G27" i="66"/>
  <c r="H27" i="66"/>
  <c r="I27" i="66"/>
  <c r="J27" i="66"/>
  <c r="K27" i="66"/>
  <c r="L27" i="66"/>
  <c r="M27" i="66"/>
  <c r="N27" i="66"/>
  <c r="O27" i="66"/>
  <c r="P27" i="66"/>
  <c r="Q27" i="66"/>
  <c r="R27" i="66"/>
  <c r="S27" i="66"/>
  <c r="T27" i="66"/>
  <c r="U27" i="66"/>
  <c r="W27" i="66"/>
  <c r="B28" i="66"/>
  <c r="C28" i="66"/>
  <c r="D28" i="66"/>
  <c r="E28" i="66"/>
  <c r="F28" i="66"/>
  <c r="G28" i="66"/>
  <c r="H28" i="66"/>
  <c r="I28" i="66"/>
  <c r="J28" i="66"/>
  <c r="K28" i="66"/>
  <c r="L28" i="66"/>
  <c r="M28" i="66"/>
  <c r="N28" i="66"/>
  <c r="O28" i="66"/>
  <c r="P28" i="66"/>
  <c r="Q28" i="66"/>
  <c r="R28" i="66"/>
  <c r="S28" i="66"/>
  <c r="T28" i="66"/>
  <c r="U28" i="66"/>
  <c r="W28" i="66"/>
  <c r="B31" i="66"/>
  <c r="C31" i="66"/>
  <c r="D31" i="66"/>
  <c r="E31" i="66"/>
  <c r="F31" i="66"/>
  <c r="G31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W31" i="66"/>
  <c r="B33" i="66"/>
  <c r="C33" i="66"/>
  <c r="D33" i="66"/>
  <c r="E33" i="66"/>
  <c r="F33" i="66"/>
  <c r="G33" i="66"/>
  <c r="H33" i="66"/>
  <c r="I33" i="66"/>
  <c r="J33" i="66"/>
  <c r="K33" i="66"/>
  <c r="L33" i="66"/>
  <c r="M33" i="66"/>
  <c r="N33" i="66"/>
  <c r="O33" i="66"/>
  <c r="P33" i="66"/>
  <c r="Q33" i="66"/>
  <c r="R33" i="66"/>
  <c r="S33" i="66"/>
  <c r="T33" i="66"/>
  <c r="U33" i="66"/>
  <c r="W33" i="66"/>
  <c r="B35" i="66"/>
  <c r="C35" i="66"/>
  <c r="D35" i="66"/>
  <c r="E35" i="66"/>
  <c r="F35" i="66"/>
  <c r="G35" i="66"/>
  <c r="H35" i="66"/>
  <c r="I35" i="66"/>
  <c r="J35" i="66"/>
  <c r="K35" i="66"/>
  <c r="L35" i="66"/>
  <c r="M35" i="66"/>
  <c r="N35" i="66"/>
  <c r="O35" i="66"/>
  <c r="P35" i="66"/>
  <c r="Q35" i="66"/>
  <c r="R35" i="66"/>
  <c r="S35" i="66"/>
  <c r="T35" i="66"/>
  <c r="U35" i="66"/>
  <c r="W35" i="66"/>
  <c r="B37" i="66"/>
  <c r="C37" i="66"/>
  <c r="D37" i="66"/>
  <c r="E37" i="66"/>
  <c r="F37" i="66"/>
  <c r="G37" i="66"/>
  <c r="H37" i="66"/>
  <c r="I37" i="66"/>
  <c r="J37" i="66"/>
  <c r="K37" i="66"/>
  <c r="L37" i="66"/>
  <c r="M37" i="66"/>
  <c r="N37" i="66"/>
  <c r="O37" i="66"/>
  <c r="P37" i="66"/>
  <c r="Q37" i="66"/>
  <c r="R37" i="66"/>
  <c r="S37" i="66"/>
  <c r="T37" i="66"/>
  <c r="U37" i="66"/>
  <c r="W37" i="66"/>
  <c r="B39" i="66"/>
  <c r="C39" i="66"/>
  <c r="D39" i="66"/>
  <c r="E39" i="66"/>
  <c r="F39" i="66"/>
  <c r="G39" i="66"/>
  <c r="H39" i="66"/>
  <c r="I39" i="66"/>
  <c r="J39" i="66"/>
  <c r="K39" i="66"/>
  <c r="L39" i="66"/>
  <c r="M39" i="66"/>
  <c r="N39" i="66"/>
  <c r="O39" i="66"/>
  <c r="P39" i="66"/>
  <c r="Q39" i="66"/>
  <c r="R39" i="66"/>
  <c r="S39" i="66"/>
  <c r="T39" i="66"/>
  <c r="U39" i="66"/>
  <c r="W39" i="66"/>
  <c r="B41" i="66"/>
  <c r="C41" i="66"/>
  <c r="D41" i="66"/>
  <c r="E41" i="66"/>
  <c r="F41" i="66"/>
  <c r="G41" i="66"/>
  <c r="H41" i="66"/>
  <c r="I41" i="66"/>
  <c r="J41" i="66"/>
  <c r="K41" i="66"/>
  <c r="L41" i="66"/>
  <c r="M41" i="66"/>
  <c r="N41" i="66"/>
  <c r="O41" i="66"/>
  <c r="P41" i="66"/>
  <c r="Q41" i="66"/>
  <c r="R41" i="66"/>
  <c r="S41" i="66"/>
  <c r="T41" i="66"/>
  <c r="U41" i="66"/>
  <c r="W41" i="66"/>
  <c r="B42" i="66"/>
  <c r="C42" i="66"/>
  <c r="D42" i="66"/>
  <c r="E42" i="66"/>
  <c r="F42" i="66"/>
  <c r="G42" i="66"/>
  <c r="H42" i="66"/>
  <c r="I42" i="66"/>
  <c r="J42" i="66"/>
  <c r="K42" i="66"/>
  <c r="L42" i="66"/>
  <c r="M42" i="66"/>
  <c r="N42" i="66"/>
  <c r="O42" i="66"/>
  <c r="P42" i="66"/>
  <c r="Q42" i="66"/>
  <c r="R42" i="66"/>
  <c r="S42" i="66"/>
  <c r="T42" i="66"/>
  <c r="U42" i="66"/>
  <c r="W42" i="66"/>
  <c r="B44" i="66"/>
  <c r="C44" i="66"/>
  <c r="D44" i="66"/>
  <c r="E44" i="66"/>
  <c r="F44" i="66"/>
  <c r="G44" i="66"/>
  <c r="H44" i="66"/>
  <c r="I44" i="66"/>
  <c r="J44" i="66"/>
  <c r="K44" i="66"/>
  <c r="L44" i="66"/>
  <c r="M44" i="66"/>
  <c r="N44" i="66"/>
  <c r="O44" i="66"/>
  <c r="P44" i="66"/>
  <c r="Q44" i="66"/>
  <c r="R44" i="66"/>
  <c r="S44" i="66"/>
  <c r="T44" i="66"/>
  <c r="U44" i="66"/>
  <c r="W44" i="66"/>
  <c r="C52" i="66"/>
  <c r="D52" i="66"/>
  <c r="E52" i="66"/>
  <c r="F52" i="66"/>
  <c r="G52" i="66"/>
  <c r="H52" i="66"/>
  <c r="I52" i="66"/>
  <c r="J52" i="66"/>
  <c r="K52" i="66"/>
  <c r="L52" i="66"/>
  <c r="M52" i="66"/>
  <c r="N52" i="66"/>
  <c r="O52" i="66"/>
  <c r="P52" i="66"/>
  <c r="Q52" i="66"/>
  <c r="R52" i="66"/>
  <c r="S52" i="66"/>
  <c r="T52" i="66"/>
  <c r="U52" i="66"/>
  <c r="B54" i="66"/>
  <c r="C54" i="66"/>
  <c r="D54" i="66"/>
  <c r="E54" i="66"/>
  <c r="F54" i="66"/>
  <c r="G54" i="66"/>
  <c r="H54" i="66"/>
  <c r="I54" i="66"/>
  <c r="J54" i="66"/>
  <c r="K54" i="66"/>
  <c r="L54" i="66"/>
  <c r="M54" i="66"/>
  <c r="N54" i="66"/>
  <c r="O54" i="66"/>
  <c r="P54" i="66"/>
  <c r="Q54" i="66"/>
  <c r="R54" i="66"/>
  <c r="S54" i="66"/>
  <c r="T54" i="66"/>
  <c r="U54" i="66"/>
  <c r="W54" i="66"/>
  <c r="B55" i="66"/>
  <c r="C55" i="66"/>
  <c r="D55" i="66"/>
  <c r="E55" i="66"/>
  <c r="F55" i="66"/>
  <c r="G55" i="66"/>
  <c r="H55" i="66"/>
  <c r="I55" i="66"/>
  <c r="J55" i="66"/>
  <c r="K55" i="66"/>
  <c r="L55" i="66"/>
  <c r="M55" i="66"/>
  <c r="N55" i="66"/>
  <c r="O55" i="66"/>
  <c r="P55" i="66"/>
  <c r="Q55" i="66"/>
  <c r="R55" i="66"/>
  <c r="S55" i="66"/>
  <c r="T55" i="66"/>
  <c r="U55" i="66"/>
  <c r="W55" i="66"/>
  <c r="C56" i="66"/>
  <c r="D56" i="66"/>
  <c r="E56" i="66"/>
  <c r="F56" i="66"/>
  <c r="G56" i="66"/>
  <c r="H56" i="66"/>
  <c r="I56" i="66"/>
  <c r="J56" i="66"/>
  <c r="K56" i="66"/>
  <c r="L56" i="66"/>
  <c r="M56" i="66"/>
  <c r="N56" i="66"/>
  <c r="O56" i="66"/>
  <c r="P56" i="66"/>
  <c r="Q56" i="66"/>
  <c r="R56" i="66"/>
  <c r="S56" i="66"/>
  <c r="T56" i="66"/>
  <c r="U56" i="66"/>
  <c r="W56" i="66"/>
  <c r="B57" i="66"/>
  <c r="C57" i="66"/>
  <c r="D57" i="66"/>
  <c r="E57" i="66"/>
  <c r="F57" i="66"/>
  <c r="G57" i="66"/>
  <c r="H57" i="66"/>
  <c r="I57" i="66"/>
  <c r="J57" i="66"/>
  <c r="K57" i="66"/>
  <c r="L57" i="66"/>
  <c r="M57" i="66"/>
  <c r="N57" i="66"/>
  <c r="O57" i="66"/>
  <c r="P57" i="66"/>
  <c r="Q57" i="66"/>
  <c r="R57" i="66"/>
  <c r="S57" i="66"/>
  <c r="T57" i="66"/>
  <c r="U57" i="66"/>
  <c r="W57" i="66"/>
  <c r="B59" i="66"/>
  <c r="C59" i="66"/>
  <c r="D59" i="66"/>
  <c r="E59" i="66"/>
  <c r="F59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W59" i="66"/>
  <c r="B61" i="66"/>
  <c r="C61" i="66"/>
  <c r="D61" i="66"/>
  <c r="E61" i="66"/>
  <c r="F61" i="66"/>
  <c r="G61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W61" i="66"/>
  <c r="B62" i="66"/>
  <c r="C62" i="66"/>
  <c r="D62" i="66"/>
  <c r="E62" i="66"/>
  <c r="F62" i="66"/>
  <c r="G62" i="66"/>
  <c r="H62" i="66"/>
  <c r="I62" i="66"/>
  <c r="J62" i="66"/>
  <c r="K62" i="66"/>
  <c r="L62" i="66"/>
  <c r="M62" i="66"/>
  <c r="N62" i="66"/>
  <c r="O62" i="66"/>
  <c r="P62" i="66"/>
  <c r="Q62" i="66"/>
  <c r="R62" i="66"/>
  <c r="S62" i="66"/>
  <c r="T62" i="66"/>
  <c r="U62" i="66"/>
  <c r="W62" i="66"/>
  <c r="B64" i="66"/>
  <c r="C64" i="66"/>
  <c r="D64" i="66"/>
  <c r="E64" i="66"/>
  <c r="F64" i="66"/>
  <c r="G64" i="66"/>
  <c r="H64" i="66"/>
  <c r="I64" i="66"/>
  <c r="J64" i="66"/>
  <c r="K64" i="66"/>
  <c r="L64" i="66"/>
  <c r="M64" i="66"/>
  <c r="N64" i="66"/>
  <c r="O64" i="66"/>
  <c r="P64" i="66"/>
  <c r="Q64" i="66"/>
  <c r="R64" i="66"/>
  <c r="S64" i="66"/>
  <c r="T64" i="66"/>
  <c r="U64" i="66"/>
  <c r="W64" i="66"/>
  <c r="B76" i="66"/>
  <c r="C76" i="66"/>
  <c r="D76" i="66"/>
  <c r="E76" i="66"/>
  <c r="F76" i="66"/>
  <c r="G76" i="66"/>
  <c r="H76" i="66"/>
  <c r="I76" i="66"/>
  <c r="J76" i="66"/>
  <c r="K76" i="66"/>
  <c r="L76" i="66"/>
  <c r="M76" i="66"/>
  <c r="N76" i="66"/>
  <c r="O76" i="66"/>
  <c r="P76" i="66"/>
  <c r="Q76" i="66"/>
  <c r="R76" i="66"/>
  <c r="S76" i="66"/>
  <c r="T76" i="66"/>
  <c r="U76" i="66"/>
  <c r="W76" i="66"/>
  <c r="B77" i="66"/>
  <c r="C77" i="66"/>
  <c r="D77" i="66"/>
  <c r="E77" i="66"/>
  <c r="F77" i="66"/>
  <c r="G77" i="66"/>
  <c r="H77" i="66"/>
  <c r="I77" i="66"/>
  <c r="J77" i="66"/>
  <c r="K77" i="66"/>
  <c r="L77" i="66"/>
  <c r="M77" i="66"/>
  <c r="N77" i="66"/>
  <c r="O77" i="66"/>
  <c r="P77" i="66"/>
  <c r="Q77" i="66"/>
  <c r="R77" i="66"/>
  <c r="S77" i="66"/>
  <c r="T77" i="66"/>
  <c r="U77" i="66"/>
  <c r="W77" i="66"/>
  <c r="B78" i="66"/>
  <c r="C78" i="66"/>
  <c r="D78" i="66"/>
  <c r="E78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R78" i="66"/>
  <c r="S78" i="66"/>
  <c r="T78" i="66"/>
  <c r="U78" i="66"/>
  <c r="W78" i="66"/>
  <c r="B79" i="66"/>
  <c r="C79" i="66"/>
  <c r="D79" i="66"/>
  <c r="E79" i="66"/>
  <c r="F79" i="66"/>
  <c r="G79" i="66"/>
  <c r="H79" i="66"/>
  <c r="I79" i="66"/>
  <c r="J79" i="66"/>
  <c r="K79" i="66"/>
  <c r="L79" i="66"/>
  <c r="M79" i="66"/>
  <c r="N79" i="66"/>
  <c r="O79" i="66"/>
  <c r="P79" i="66"/>
  <c r="Q79" i="66"/>
  <c r="R79" i="66"/>
  <c r="S79" i="66"/>
  <c r="T79" i="66"/>
  <c r="U79" i="66"/>
  <c r="W79" i="66"/>
  <c r="B80" i="66"/>
  <c r="C80" i="66"/>
  <c r="D80" i="66"/>
  <c r="E80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R80" i="66"/>
  <c r="S80" i="66"/>
  <c r="T80" i="66"/>
  <c r="U80" i="66"/>
  <c r="W80" i="66"/>
  <c r="B82" i="66"/>
  <c r="C82" i="66"/>
  <c r="D82" i="66"/>
  <c r="E82" i="66"/>
  <c r="F82" i="66"/>
  <c r="G82" i="66"/>
  <c r="H82" i="66"/>
  <c r="I82" i="66"/>
  <c r="J82" i="66"/>
  <c r="K82" i="66"/>
  <c r="L82" i="66"/>
  <c r="M82" i="66"/>
  <c r="N82" i="66"/>
  <c r="O82" i="66"/>
  <c r="P82" i="66"/>
  <c r="Q82" i="66"/>
  <c r="R82" i="66"/>
  <c r="S82" i="66"/>
  <c r="T82" i="66"/>
  <c r="U82" i="66"/>
  <c r="W82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R83" i="66"/>
  <c r="S83" i="66"/>
  <c r="T83" i="66"/>
  <c r="U83" i="66"/>
  <c r="W84" i="66"/>
  <c r="B89" i="66"/>
  <c r="C89" i="66"/>
  <c r="D89" i="66"/>
  <c r="E89" i="66"/>
  <c r="F89" i="66"/>
  <c r="G89" i="66"/>
  <c r="H89" i="66"/>
  <c r="I89" i="66"/>
  <c r="J89" i="66"/>
  <c r="K89" i="66"/>
  <c r="L89" i="66"/>
  <c r="M89" i="66"/>
  <c r="N89" i="66"/>
  <c r="O89" i="66"/>
  <c r="P89" i="66"/>
  <c r="Q89" i="66"/>
  <c r="R89" i="66"/>
  <c r="S89" i="66"/>
  <c r="T89" i="66"/>
  <c r="U89" i="66"/>
  <c r="W89" i="66"/>
  <c r="B90" i="66"/>
  <c r="C90" i="66"/>
  <c r="D90" i="66"/>
  <c r="E90" i="66"/>
  <c r="F90" i="66"/>
  <c r="G90" i="66"/>
  <c r="H90" i="66"/>
  <c r="I90" i="66"/>
  <c r="J90" i="66"/>
  <c r="K90" i="66"/>
  <c r="L90" i="66"/>
  <c r="M90" i="66"/>
  <c r="N90" i="66"/>
  <c r="O90" i="66"/>
  <c r="P90" i="66"/>
  <c r="Q90" i="66"/>
  <c r="R90" i="66"/>
  <c r="S90" i="66"/>
  <c r="T90" i="66"/>
  <c r="U90" i="66"/>
  <c r="W90" i="66"/>
  <c r="B91" i="66"/>
  <c r="C91" i="66"/>
  <c r="D91" i="66"/>
  <c r="E91" i="66"/>
  <c r="F91" i="66"/>
  <c r="G91" i="66"/>
  <c r="H91" i="66"/>
  <c r="I91" i="66"/>
  <c r="J91" i="66"/>
  <c r="K91" i="66"/>
  <c r="L91" i="66"/>
  <c r="M91" i="66"/>
  <c r="N91" i="66"/>
  <c r="O91" i="66"/>
  <c r="P91" i="66"/>
  <c r="Q91" i="66"/>
  <c r="R91" i="66"/>
  <c r="S91" i="66"/>
  <c r="T91" i="66"/>
  <c r="U91" i="66"/>
  <c r="W91" i="66"/>
  <c r="B92" i="66"/>
  <c r="C92" i="66"/>
  <c r="D92" i="66"/>
  <c r="E92" i="66"/>
  <c r="F92" i="66"/>
  <c r="G92" i="66"/>
  <c r="H92" i="66"/>
  <c r="I92" i="66"/>
  <c r="J92" i="66"/>
  <c r="K92" i="66"/>
  <c r="L92" i="66"/>
  <c r="M92" i="66"/>
  <c r="N92" i="66"/>
  <c r="O92" i="66"/>
  <c r="P92" i="66"/>
  <c r="Q92" i="66"/>
  <c r="R92" i="66"/>
  <c r="S92" i="66"/>
  <c r="T92" i="66"/>
  <c r="U92" i="66"/>
  <c r="W92" i="66"/>
  <c r="B94" i="66"/>
  <c r="C94" i="66"/>
  <c r="D94" i="66"/>
  <c r="E94" i="66"/>
  <c r="F94" i="66"/>
  <c r="G94" i="66"/>
  <c r="H94" i="66"/>
  <c r="I94" i="66"/>
  <c r="J94" i="66"/>
  <c r="K94" i="66"/>
  <c r="L94" i="66"/>
  <c r="M94" i="66"/>
  <c r="N94" i="66"/>
  <c r="O94" i="66"/>
  <c r="P94" i="66"/>
  <c r="Q94" i="66"/>
  <c r="R94" i="66"/>
  <c r="S94" i="66"/>
  <c r="T94" i="66"/>
  <c r="U94" i="66"/>
  <c r="B95" i="66"/>
  <c r="C95" i="66"/>
  <c r="D95" i="66"/>
  <c r="E95" i="66"/>
  <c r="F95" i="66"/>
  <c r="G95" i="66"/>
  <c r="H95" i="66"/>
  <c r="I95" i="66"/>
  <c r="J95" i="66"/>
  <c r="K95" i="66"/>
  <c r="L95" i="66"/>
  <c r="M95" i="66"/>
  <c r="N95" i="66"/>
  <c r="O95" i="66"/>
  <c r="P95" i="66"/>
  <c r="Q95" i="66"/>
  <c r="R95" i="66"/>
  <c r="S95" i="66"/>
  <c r="T95" i="66"/>
  <c r="U95" i="66"/>
  <c r="C97" i="66"/>
  <c r="D97" i="66"/>
  <c r="E97" i="66"/>
  <c r="F97" i="66"/>
  <c r="G97" i="66"/>
  <c r="H97" i="66"/>
  <c r="I97" i="66"/>
  <c r="J97" i="66"/>
  <c r="K97" i="66"/>
  <c r="L97" i="66"/>
  <c r="M97" i="66"/>
  <c r="N97" i="66"/>
  <c r="O97" i="66"/>
  <c r="P97" i="66"/>
  <c r="Q97" i="66"/>
  <c r="S97" i="66"/>
  <c r="T97" i="66"/>
  <c r="U97" i="66"/>
  <c r="B98" i="66"/>
  <c r="C98" i="66"/>
  <c r="D98" i="66"/>
  <c r="E98" i="66"/>
  <c r="F98" i="66"/>
  <c r="G98" i="66"/>
  <c r="H98" i="66"/>
  <c r="I98" i="66"/>
  <c r="J98" i="66"/>
  <c r="K98" i="66"/>
  <c r="L98" i="66"/>
  <c r="M98" i="66"/>
  <c r="N98" i="66"/>
  <c r="O98" i="66"/>
  <c r="P98" i="66"/>
  <c r="Q98" i="66"/>
  <c r="R98" i="66"/>
  <c r="S98" i="66"/>
  <c r="T98" i="66"/>
  <c r="U98" i="66"/>
  <c r="T99" i="66"/>
  <c r="U99" i="66"/>
  <c r="B100" i="66"/>
  <c r="C100" i="66"/>
  <c r="D100" i="66"/>
  <c r="E100" i="66"/>
  <c r="F100" i="66"/>
  <c r="G100" i="66"/>
  <c r="H100" i="66"/>
  <c r="I100" i="66"/>
  <c r="J100" i="66"/>
  <c r="K100" i="66"/>
  <c r="L100" i="66"/>
  <c r="M100" i="66"/>
  <c r="N100" i="66"/>
  <c r="O100" i="66"/>
  <c r="P100" i="66"/>
  <c r="Q100" i="66"/>
  <c r="R100" i="66"/>
  <c r="S100" i="66"/>
  <c r="T100" i="66"/>
  <c r="U100" i="66"/>
  <c r="B101" i="66"/>
  <c r="C101" i="66"/>
  <c r="D101" i="66"/>
  <c r="E101" i="66"/>
  <c r="F101" i="66"/>
  <c r="G101" i="66"/>
  <c r="H101" i="66"/>
  <c r="I101" i="66"/>
  <c r="J101" i="66"/>
  <c r="K101" i="66"/>
  <c r="L101" i="66"/>
  <c r="M101" i="66"/>
  <c r="N101" i="66"/>
  <c r="O101" i="66"/>
  <c r="P101" i="66"/>
  <c r="Q101" i="66"/>
  <c r="R101" i="66"/>
  <c r="S101" i="66"/>
  <c r="T101" i="66"/>
  <c r="U101" i="66"/>
  <c r="B103" i="66"/>
  <c r="C103" i="66"/>
  <c r="D103" i="66"/>
  <c r="E103" i="66"/>
  <c r="F103" i="66"/>
  <c r="G103" i="66"/>
  <c r="H103" i="66"/>
  <c r="I103" i="66"/>
  <c r="J103" i="66"/>
  <c r="K103" i="66"/>
  <c r="L103" i="66"/>
  <c r="M103" i="66"/>
  <c r="N103" i="66"/>
  <c r="O103" i="66"/>
  <c r="P103" i="66"/>
  <c r="Q103" i="66"/>
  <c r="R103" i="66"/>
  <c r="S103" i="66"/>
  <c r="T103" i="66"/>
  <c r="U103" i="66"/>
  <c r="W103" i="66"/>
  <c r="B111" i="66"/>
  <c r="C111" i="66"/>
  <c r="D111" i="66"/>
  <c r="E111" i="66"/>
  <c r="F111" i="66"/>
  <c r="G111" i="66"/>
  <c r="H111" i="66"/>
  <c r="I111" i="66"/>
  <c r="J111" i="66"/>
  <c r="K111" i="66"/>
  <c r="L111" i="66"/>
  <c r="M111" i="66"/>
  <c r="N111" i="66"/>
  <c r="O111" i="66"/>
  <c r="P111" i="66"/>
  <c r="Q111" i="66"/>
  <c r="R111" i="66"/>
  <c r="S111" i="66"/>
  <c r="T111" i="66"/>
  <c r="U111" i="66"/>
  <c r="W111" i="66"/>
  <c r="X111" i="66"/>
  <c r="Y111" i="66"/>
  <c r="B113" i="66"/>
  <c r="C113" i="66"/>
  <c r="D113" i="66"/>
  <c r="E113" i="66"/>
  <c r="F113" i="66"/>
  <c r="G113" i="66"/>
  <c r="H113" i="66"/>
  <c r="I113" i="66"/>
  <c r="J113" i="66"/>
  <c r="K113" i="66"/>
  <c r="L113" i="66"/>
  <c r="M113" i="66"/>
  <c r="N113" i="66"/>
  <c r="O113" i="66"/>
  <c r="P113" i="66"/>
  <c r="Q113" i="66"/>
  <c r="R113" i="66"/>
  <c r="S113" i="66"/>
  <c r="T113" i="66"/>
  <c r="U113" i="66"/>
  <c r="W113" i="66"/>
  <c r="X113" i="66"/>
  <c r="Y113" i="66"/>
  <c r="B115" i="66"/>
  <c r="C115" i="66"/>
  <c r="D115" i="66"/>
  <c r="E115" i="66"/>
  <c r="F115" i="66"/>
  <c r="G115" i="66"/>
  <c r="H115" i="66"/>
  <c r="I115" i="66"/>
  <c r="J115" i="66"/>
  <c r="K115" i="66"/>
  <c r="L115" i="66"/>
  <c r="M115" i="66"/>
  <c r="N115" i="66"/>
  <c r="O115" i="66"/>
  <c r="P115" i="66"/>
  <c r="Q115" i="66"/>
  <c r="R115" i="66"/>
  <c r="S115" i="66"/>
  <c r="T115" i="66"/>
  <c r="U115" i="66"/>
  <c r="W115" i="66"/>
  <c r="X115" i="66"/>
  <c r="Y115" i="66"/>
  <c r="B117" i="66"/>
  <c r="C117" i="66"/>
  <c r="D117" i="66"/>
  <c r="E117" i="66"/>
  <c r="F117" i="66"/>
  <c r="G117" i="66"/>
  <c r="H117" i="66"/>
  <c r="I117" i="66"/>
  <c r="J117" i="66"/>
  <c r="K117" i="66"/>
  <c r="L117" i="66"/>
  <c r="M117" i="66"/>
  <c r="N117" i="66"/>
  <c r="O117" i="66"/>
  <c r="P117" i="66"/>
  <c r="Q117" i="66"/>
  <c r="R117" i="66"/>
  <c r="S117" i="66"/>
  <c r="T117" i="66"/>
  <c r="U117" i="66"/>
  <c r="B118" i="66"/>
  <c r="C118" i="66"/>
  <c r="D118" i="66"/>
  <c r="E118" i="66"/>
  <c r="F118" i="66"/>
  <c r="G118" i="66"/>
  <c r="H118" i="66"/>
  <c r="I118" i="66"/>
  <c r="J118" i="66"/>
  <c r="K118" i="66"/>
  <c r="L118" i="66"/>
  <c r="M118" i="66"/>
  <c r="N118" i="66"/>
  <c r="O118" i="66"/>
  <c r="P118" i="66"/>
  <c r="Q118" i="66"/>
  <c r="R118" i="66"/>
  <c r="S118" i="66"/>
  <c r="T118" i="66"/>
  <c r="U118" i="66"/>
  <c r="W118" i="66"/>
  <c r="X118" i="66"/>
  <c r="Y118" i="66"/>
  <c r="C120" i="66"/>
  <c r="D120" i="66"/>
  <c r="E120" i="66"/>
  <c r="F120" i="66"/>
  <c r="G120" i="66"/>
  <c r="H120" i="66"/>
  <c r="I120" i="66"/>
  <c r="J120" i="66"/>
  <c r="K120" i="66"/>
  <c r="L120" i="66"/>
  <c r="M120" i="66"/>
  <c r="N120" i="66"/>
  <c r="O120" i="66"/>
  <c r="P120" i="66"/>
  <c r="Q120" i="66"/>
  <c r="S120" i="66"/>
  <c r="T120" i="66"/>
  <c r="U120" i="66"/>
  <c r="B121" i="66"/>
  <c r="C121" i="66"/>
  <c r="D121" i="66"/>
  <c r="E121" i="66"/>
  <c r="F121" i="66"/>
  <c r="G121" i="66"/>
  <c r="H121" i="66"/>
  <c r="I121" i="66"/>
  <c r="J121" i="66"/>
  <c r="K121" i="66"/>
  <c r="L121" i="66"/>
  <c r="M121" i="66"/>
  <c r="N121" i="66"/>
  <c r="O121" i="66"/>
  <c r="P121" i="66"/>
  <c r="Q121" i="66"/>
  <c r="R121" i="66"/>
  <c r="S121" i="66"/>
  <c r="T121" i="66"/>
  <c r="U121" i="66"/>
  <c r="T122" i="66"/>
  <c r="U122" i="66"/>
  <c r="B123" i="66"/>
  <c r="C123" i="66"/>
  <c r="D123" i="66"/>
  <c r="E123" i="66"/>
  <c r="F123" i="66"/>
  <c r="G123" i="66"/>
  <c r="H123" i="66"/>
  <c r="I123" i="66"/>
  <c r="J123" i="66"/>
  <c r="K123" i="66"/>
  <c r="L123" i="66"/>
  <c r="M123" i="66"/>
  <c r="N123" i="66"/>
  <c r="O123" i="66"/>
  <c r="P123" i="66"/>
  <c r="Q123" i="66"/>
  <c r="R123" i="66"/>
  <c r="S123" i="66"/>
  <c r="T123" i="66"/>
  <c r="U123" i="66"/>
  <c r="B124" i="66"/>
  <c r="C124" i="66"/>
  <c r="D124" i="66"/>
  <c r="E124" i="66"/>
  <c r="F124" i="66"/>
  <c r="G124" i="66"/>
  <c r="H124" i="66"/>
  <c r="I124" i="66"/>
  <c r="J124" i="66"/>
  <c r="K124" i="66"/>
  <c r="L124" i="66"/>
  <c r="M124" i="66"/>
  <c r="N124" i="66"/>
  <c r="O124" i="66"/>
  <c r="P124" i="66"/>
  <c r="Q124" i="66"/>
  <c r="R124" i="66"/>
  <c r="S124" i="66"/>
  <c r="T124" i="66"/>
  <c r="U124" i="66"/>
  <c r="B126" i="66"/>
  <c r="C126" i="66"/>
  <c r="D126" i="66"/>
  <c r="E126" i="66"/>
  <c r="F126" i="66"/>
  <c r="G126" i="66"/>
  <c r="H126" i="66"/>
  <c r="I126" i="66"/>
  <c r="J126" i="66"/>
  <c r="K126" i="66"/>
  <c r="L126" i="66"/>
  <c r="M126" i="66"/>
  <c r="N126" i="66"/>
  <c r="O126" i="66"/>
  <c r="P126" i="66"/>
  <c r="Q126" i="66"/>
  <c r="R126" i="66"/>
  <c r="S126" i="66"/>
  <c r="T126" i="66"/>
  <c r="U126" i="66"/>
  <c r="W126" i="66"/>
  <c r="X126" i="66"/>
  <c r="Y126" i="66"/>
  <c r="B131" i="66"/>
  <c r="C131" i="66"/>
  <c r="D131" i="66"/>
  <c r="E131" i="66"/>
  <c r="F131" i="66"/>
  <c r="G131" i="66"/>
  <c r="H131" i="66"/>
  <c r="I131" i="66"/>
  <c r="J131" i="66"/>
  <c r="K131" i="66"/>
  <c r="L131" i="66"/>
  <c r="M131" i="66"/>
  <c r="N131" i="66"/>
  <c r="O131" i="66"/>
  <c r="P131" i="66"/>
  <c r="Q131" i="66"/>
  <c r="R131" i="66"/>
  <c r="S131" i="66"/>
  <c r="T131" i="66"/>
  <c r="U131" i="66"/>
  <c r="W131" i="66"/>
  <c r="X131" i="66"/>
  <c r="Y131" i="66"/>
  <c r="B133" i="66"/>
  <c r="C133" i="66"/>
  <c r="D133" i="66"/>
  <c r="E133" i="66"/>
  <c r="F133" i="66"/>
  <c r="G133" i="66"/>
  <c r="H133" i="66"/>
  <c r="I133" i="66"/>
  <c r="J133" i="66"/>
  <c r="K133" i="66"/>
  <c r="L133" i="66"/>
  <c r="M133" i="66"/>
  <c r="N133" i="66"/>
  <c r="O133" i="66"/>
  <c r="P133" i="66"/>
  <c r="Q133" i="66"/>
  <c r="R133" i="66"/>
  <c r="S133" i="66"/>
  <c r="T133" i="66"/>
  <c r="U133" i="66"/>
  <c r="W133" i="66"/>
  <c r="X133" i="66"/>
  <c r="Y133" i="66"/>
  <c r="B135" i="66"/>
  <c r="C135" i="66"/>
  <c r="D135" i="66"/>
  <c r="E135" i="66"/>
  <c r="F135" i="66"/>
  <c r="G135" i="66"/>
  <c r="H135" i="66"/>
  <c r="I135" i="66"/>
  <c r="J135" i="66"/>
  <c r="K135" i="66"/>
  <c r="L135" i="66"/>
  <c r="M135" i="66"/>
  <c r="N135" i="66"/>
  <c r="O135" i="66"/>
  <c r="P135" i="66"/>
  <c r="Q135" i="66"/>
  <c r="R135" i="66"/>
  <c r="S135" i="66"/>
  <c r="T135" i="66"/>
  <c r="U135" i="66"/>
  <c r="W135" i="66"/>
  <c r="X135" i="66"/>
  <c r="Y135" i="66"/>
  <c r="B137" i="66"/>
  <c r="C137" i="66"/>
  <c r="D137" i="66"/>
  <c r="E137" i="66"/>
  <c r="F137" i="66"/>
  <c r="G137" i="66"/>
  <c r="H137" i="66"/>
  <c r="I137" i="66"/>
  <c r="J137" i="66"/>
  <c r="K137" i="66"/>
  <c r="L137" i="66"/>
  <c r="M137" i="66"/>
  <c r="N137" i="66"/>
  <c r="O137" i="66"/>
  <c r="P137" i="66"/>
  <c r="Q137" i="66"/>
  <c r="R137" i="66"/>
  <c r="S137" i="66"/>
  <c r="T137" i="66"/>
  <c r="U137" i="66"/>
  <c r="W137" i="66"/>
  <c r="X137" i="66"/>
  <c r="Y137" i="66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AA10" i="38"/>
  <c r="AB10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AA11" i="38"/>
  <c r="AB11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AA12" i="38"/>
  <c r="AB12" i="38"/>
  <c r="AA13" i="38"/>
  <c r="AB13" i="38"/>
  <c r="AA14" i="38"/>
  <c r="AB14" i="38"/>
  <c r="AA15" i="38"/>
  <c r="AB15" i="38"/>
  <c r="AA16" i="38"/>
  <c r="AB16" i="38"/>
  <c r="AA17" i="38"/>
  <c r="AB17" i="38"/>
  <c r="AA18" i="38"/>
  <c r="AB18" i="38"/>
  <c r="AA19" i="38"/>
  <c r="AB19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AA20" i="38"/>
  <c r="AB20" i="38"/>
  <c r="AA21" i="38"/>
  <c r="AB21" i="38"/>
  <c r="AA22" i="38"/>
  <c r="AB22" i="38"/>
  <c r="AA23" i="38"/>
  <c r="AB23" i="38"/>
  <c r="AA24" i="38"/>
  <c r="AB24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AA25" i="38"/>
  <c r="AB25" i="38"/>
  <c r="AA26" i="38"/>
  <c r="AB26" i="38"/>
  <c r="AA27" i="38"/>
  <c r="AB27" i="38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AA28" i="38"/>
  <c r="AB28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AA29" i="38"/>
  <c r="AB29" i="38"/>
  <c r="AA30" i="38"/>
  <c r="AB30" i="38"/>
  <c r="AA31" i="38"/>
  <c r="AB31" i="38"/>
  <c r="AA32" i="38"/>
  <c r="AB32" i="38"/>
  <c r="AA33" i="38"/>
  <c r="AB33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AA34" i="38"/>
  <c r="AB34" i="38"/>
  <c r="AA35" i="38"/>
  <c r="AB35" i="38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AA36" i="38"/>
  <c r="AB36" i="38"/>
  <c r="AA37" i="38"/>
  <c r="AB37" i="38"/>
  <c r="AA38" i="38"/>
  <c r="AB38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AA39" i="38"/>
  <c r="AB39" i="38"/>
  <c r="AA40" i="38"/>
  <c r="AB40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AA41" i="38"/>
  <c r="AB41" i="38"/>
  <c r="AA42" i="38"/>
  <c r="AB42" i="38"/>
  <c r="AA43" i="38"/>
  <c r="AB43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AA44" i="38"/>
  <c r="AB44" i="38"/>
  <c r="AA45" i="38"/>
  <c r="AB45" i="38"/>
  <c r="AA46" i="38"/>
  <c r="AB46" i="38"/>
  <c r="AA47" i="38"/>
  <c r="AB47" i="38"/>
  <c r="AA48" i="38"/>
  <c r="AB48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AA49" i="38"/>
  <c r="AB49" i="38"/>
  <c r="AA50" i="38"/>
  <c r="AB50" i="38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AA51" i="38"/>
  <c r="AB51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AA52" i="38"/>
  <c r="AB52" i="38"/>
  <c r="AA53" i="38"/>
  <c r="AB53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AA54" i="38"/>
  <c r="AB54" i="38"/>
  <c r="AA55" i="38"/>
  <c r="AB55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AA56" i="38"/>
  <c r="AB56" i="38"/>
  <c r="AA57" i="38"/>
  <c r="AB57" i="38"/>
  <c r="AA58" i="38"/>
  <c r="AB58" i="38"/>
  <c r="AA59" i="38"/>
  <c r="AB59" i="38"/>
  <c r="AA60" i="38"/>
  <c r="AB60" i="38"/>
  <c r="AA61" i="38"/>
  <c r="AB61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AA62" i="38"/>
  <c r="AB62" i="38"/>
  <c r="AA63" i="38"/>
  <c r="AB63" i="38"/>
  <c r="E64" i="38"/>
  <c r="F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AA64" i="38"/>
  <c r="AB64" i="38"/>
  <c r="AA65" i="38"/>
  <c r="AB65" i="38"/>
  <c r="AA66" i="38"/>
  <c r="AB66" i="38"/>
  <c r="AA67" i="38"/>
  <c r="AB67" i="38"/>
  <c r="AA68" i="38"/>
  <c r="AB68" i="38"/>
  <c r="E69" i="38"/>
  <c r="F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AA69" i="38"/>
  <c r="AB69" i="38"/>
  <c r="AA70" i="38"/>
  <c r="AB70" i="38"/>
  <c r="E71" i="38"/>
  <c r="F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AA71" i="38"/>
  <c r="AB71" i="38"/>
  <c r="AA72" i="38"/>
  <c r="AB72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AA73" i="38"/>
  <c r="AB73" i="38"/>
  <c r="AA74" i="38"/>
  <c r="AB74" i="38"/>
  <c r="AA75" i="38"/>
  <c r="AB75" i="38"/>
  <c r="C76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AA76" i="38"/>
  <c r="AB76" i="38"/>
  <c r="C77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AA77" i="38"/>
  <c r="AB77" i="38"/>
  <c r="AA78" i="38"/>
  <c r="AB78" i="38"/>
  <c r="AA79" i="38"/>
  <c r="AB79" i="38"/>
  <c r="AA80" i="38"/>
  <c r="AB80" i="38"/>
  <c r="AA81" i="38"/>
  <c r="AB81" i="38"/>
  <c r="AA82" i="38"/>
  <c r="AB82" i="38"/>
  <c r="AA83" i="38"/>
  <c r="AB83" i="38"/>
  <c r="AA84" i="38"/>
  <c r="AB84" i="38"/>
  <c r="AA85" i="38"/>
  <c r="AB85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AA86" i="38"/>
  <c r="AB86" i="38"/>
  <c r="AA87" i="38"/>
  <c r="AB87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AA88" i="38"/>
  <c r="AB88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AA89" i="38"/>
  <c r="AB89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AA90" i="38"/>
  <c r="AB90" i="38"/>
  <c r="R91" i="38"/>
  <c r="AA91" i="38"/>
  <c r="AB91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AA92" i="38"/>
  <c r="AB92" i="38"/>
  <c r="AA93" i="38"/>
  <c r="AB93" i="38"/>
  <c r="AA94" i="38"/>
  <c r="AB94" i="38"/>
  <c r="E95" i="38"/>
  <c r="Y95" i="38"/>
  <c r="AA95" i="38"/>
  <c r="AB95" i="38"/>
  <c r="AA96" i="38"/>
  <c r="AB96" i="38"/>
  <c r="Y97" i="38"/>
  <c r="AA97" i="38"/>
  <c r="AB97" i="38"/>
  <c r="AA98" i="38"/>
  <c r="AB98" i="38"/>
  <c r="Y99" i="38"/>
  <c r="AA99" i="38"/>
  <c r="AB99" i="38"/>
  <c r="AA100" i="38"/>
  <c r="AB100" i="38"/>
  <c r="AA101" i="38"/>
  <c r="AB101" i="38"/>
  <c r="D102" i="38"/>
  <c r="AA102" i="38"/>
  <c r="AB102" i="38"/>
  <c r="D103" i="38"/>
  <c r="AA103" i="38"/>
  <c r="AB103" i="38"/>
  <c r="AA104" i="38"/>
  <c r="AB104" i="38"/>
  <c r="D105" i="38"/>
  <c r="AA105" i="38"/>
  <c r="AB105" i="38"/>
  <c r="AA106" i="38"/>
  <c r="AB106" i="38"/>
  <c r="F107" i="38"/>
  <c r="G107" i="38"/>
  <c r="H107" i="38"/>
  <c r="I107" i="38"/>
  <c r="J107" i="38"/>
  <c r="K107" i="38"/>
  <c r="L107" i="38"/>
  <c r="M107" i="38"/>
  <c r="N107" i="38"/>
  <c r="O107" i="38"/>
  <c r="P107" i="38"/>
  <c r="Q107" i="38"/>
  <c r="R107" i="38"/>
  <c r="S107" i="38"/>
  <c r="T107" i="38"/>
  <c r="U107" i="38"/>
  <c r="V107" i="38"/>
  <c r="W107" i="38"/>
  <c r="X107" i="38"/>
  <c r="Y107" i="38"/>
  <c r="AA107" i="38"/>
  <c r="AB107" i="38"/>
  <c r="AA108" i="38"/>
  <c r="AB108" i="38"/>
  <c r="D109" i="38"/>
  <c r="F109" i="38"/>
  <c r="G109" i="38"/>
  <c r="H109" i="38"/>
  <c r="I109" i="38"/>
  <c r="J109" i="38"/>
  <c r="K109" i="38"/>
  <c r="L109" i="38"/>
  <c r="M109" i="38"/>
  <c r="N109" i="38"/>
  <c r="O109" i="38"/>
  <c r="P109" i="38"/>
  <c r="Q109" i="38"/>
  <c r="R109" i="38"/>
  <c r="AA109" i="38"/>
  <c r="AB109" i="38"/>
  <c r="D110" i="38"/>
  <c r="F110" i="38"/>
  <c r="G110" i="38"/>
  <c r="H110" i="38"/>
  <c r="I110" i="38"/>
  <c r="J110" i="38"/>
  <c r="K110" i="38"/>
  <c r="L110" i="38"/>
  <c r="M110" i="38"/>
  <c r="N110" i="38"/>
  <c r="O110" i="38"/>
  <c r="P110" i="38"/>
  <c r="Q110" i="38"/>
  <c r="R110" i="38"/>
  <c r="AA110" i="38"/>
  <c r="AB110" i="38"/>
  <c r="AA111" i="38"/>
  <c r="AB111" i="38"/>
  <c r="AA112" i="38"/>
  <c r="AB112" i="38"/>
  <c r="D113" i="38"/>
  <c r="AA113" i="38"/>
  <c r="AB113" i="38"/>
  <c r="AA114" i="38"/>
  <c r="AB114" i="38"/>
  <c r="F115" i="38"/>
  <c r="G115" i="38"/>
  <c r="H115" i="38"/>
  <c r="I115" i="38"/>
  <c r="J115" i="38"/>
  <c r="K115" i="38"/>
  <c r="L115" i="38"/>
  <c r="M115" i="38"/>
  <c r="N115" i="38"/>
  <c r="O115" i="38"/>
  <c r="P115" i="38"/>
  <c r="Q115" i="38"/>
  <c r="R115" i="38"/>
  <c r="AA115" i="38"/>
  <c r="AB115" i="38"/>
  <c r="D116" i="38"/>
  <c r="F116" i="38"/>
  <c r="G116" i="38"/>
  <c r="H116" i="38"/>
  <c r="I116" i="38"/>
  <c r="J116" i="38"/>
  <c r="K116" i="38"/>
  <c r="L116" i="38"/>
  <c r="M116" i="38"/>
  <c r="N116" i="38"/>
  <c r="O116" i="38"/>
  <c r="P116" i="38"/>
  <c r="Q116" i="38"/>
  <c r="R116" i="38"/>
  <c r="AA116" i="38"/>
  <c r="AB116" i="38"/>
  <c r="AA117" i="38"/>
  <c r="AB117" i="38"/>
  <c r="AA118" i="38"/>
  <c r="AB118" i="38"/>
  <c r="F119" i="38"/>
  <c r="G119" i="38"/>
  <c r="H119" i="38"/>
  <c r="I119" i="38"/>
  <c r="J119" i="38"/>
  <c r="K119" i="38"/>
  <c r="L119" i="38"/>
  <c r="M119" i="38"/>
  <c r="N119" i="38"/>
  <c r="O119" i="38"/>
  <c r="P119" i="38"/>
  <c r="Q119" i="38"/>
  <c r="R119" i="38"/>
  <c r="S119" i="38"/>
  <c r="T119" i="38"/>
  <c r="U119" i="38"/>
  <c r="V119" i="38"/>
  <c r="W119" i="38"/>
  <c r="X119" i="38"/>
  <c r="Y119" i="38"/>
  <c r="AA119" i="38"/>
  <c r="AB119" i="38"/>
  <c r="AA120" i="38"/>
  <c r="AB120" i="38"/>
  <c r="A121" i="38"/>
  <c r="F121" i="38"/>
  <c r="G121" i="38"/>
  <c r="H121" i="38"/>
  <c r="I121" i="38"/>
  <c r="J121" i="38"/>
  <c r="K121" i="38"/>
  <c r="L121" i="38"/>
  <c r="M121" i="38"/>
  <c r="N121" i="38"/>
  <c r="O121" i="38"/>
  <c r="P121" i="38"/>
  <c r="Q121" i="38"/>
  <c r="R121" i="38"/>
  <c r="S121" i="38"/>
  <c r="T121" i="38"/>
  <c r="U121" i="38"/>
  <c r="V121" i="38"/>
  <c r="W121" i="38"/>
  <c r="X121" i="38"/>
  <c r="Y121" i="38"/>
  <c r="AA121" i="38"/>
  <c r="AB121" i="38"/>
  <c r="F122" i="38"/>
  <c r="G122" i="38"/>
  <c r="H122" i="38"/>
  <c r="I122" i="38"/>
  <c r="J122" i="38"/>
  <c r="K122" i="38"/>
  <c r="L122" i="38"/>
  <c r="M122" i="38"/>
  <c r="N122" i="38"/>
  <c r="O122" i="38"/>
  <c r="P122" i="38"/>
  <c r="Q122" i="38"/>
  <c r="R122" i="38"/>
  <c r="S122" i="38"/>
  <c r="T122" i="38"/>
  <c r="U122" i="38"/>
  <c r="V122" i="38"/>
  <c r="W122" i="38"/>
  <c r="X122" i="38"/>
  <c r="Y122" i="38"/>
  <c r="AA122" i="38"/>
  <c r="AB122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3" i="38"/>
  <c r="AB123" i="38"/>
  <c r="F124" i="38"/>
  <c r="G124" i="38"/>
  <c r="H124" i="38"/>
  <c r="I124" i="38"/>
  <c r="J124" i="38"/>
  <c r="K124" i="38"/>
  <c r="L124" i="38"/>
  <c r="M124" i="38"/>
  <c r="N124" i="38"/>
  <c r="O124" i="38"/>
  <c r="P124" i="38"/>
  <c r="Q124" i="38"/>
  <c r="R124" i="38"/>
  <c r="S124" i="38"/>
  <c r="T124" i="38"/>
  <c r="U124" i="38"/>
  <c r="V124" i="38"/>
  <c r="W124" i="38"/>
  <c r="X124" i="38"/>
  <c r="Y124" i="38"/>
  <c r="AA124" i="38"/>
  <c r="AB124" i="38"/>
  <c r="AA125" i="38"/>
  <c r="AB125" i="38"/>
  <c r="C126" i="38"/>
  <c r="F126" i="38"/>
  <c r="G126" i="38"/>
  <c r="H126" i="38"/>
  <c r="I126" i="38"/>
  <c r="J126" i="38"/>
  <c r="K126" i="38"/>
  <c r="L126" i="38"/>
  <c r="M126" i="38"/>
  <c r="N126" i="38"/>
  <c r="O126" i="38"/>
  <c r="P126" i="38"/>
  <c r="Q126" i="38"/>
  <c r="R126" i="38"/>
  <c r="S126" i="38"/>
  <c r="T126" i="38"/>
  <c r="U126" i="38"/>
  <c r="V126" i="38"/>
  <c r="W126" i="38"/>
  <c r="X126" i="38"/>
  <c r="Y126" i="38"/>
  <c r="AA126" i="38"/>
  <c r="AB126" i="38"/>
  <c r="C127" i="38"/>
  <c r="F127" i="38"/>
  <c r="G127" i="38"/>
  <c r="H127" i="38"/>
  <c r="I127" i="38"/>
  <c r="J127" i="38"/>
  <c r="K127" i="38"/>
  <c r="L127" i="38"/>
  <c r="M127" i="38"/>
  <c r="N127" i="38"/>
  <c r="O127" i="38"/>
  <c r="P127" i="38"/>
  <c r="Q127" i="38"/>
  <c r="R127" i="38"/>
  <c r="S127" i="38"/>
  <c r="T127" i="38"/>
  <c r="U127" i="38"/>
  <c r="V127" i="38"/>
  <c r="W127" i="38"/>
  <c r="X127" i="38"/>
  <c r="Y127" i="38"/>
  <c r="AA127" i="38"/>
  <c r="AB127" i="38"/>
  <c r="AA128" i="38"/>
  <c r="AB128" i="38"/>
  <c r="AA129" i="38"/>
  <c r="AB129" i="38"/>
  <c r="AA130" i="38"/>
  <c r="AB130" i="38"/>
  <c r="AA131" i="38"/>
  <c r="AB131" i="38"/>
  <c r="AA132" i="38"/>
  <c r="AB132" i="38"/>
  <c r="AA133" i="38"/>
  <c r="AB133" i="38"/>
  <c r="AA134" i="38"/>
  <c r="AB134" i="38"/>
  <c r="F135" i="38"/>
  <c r="G135" i="38"/>
  <c r="H135" i="38"/>
  <c r="I135" i="38"/>
  <c r="J135" i="38"/>
  <c r="K135" i="38"/>
  <c r="L135" i="38"/>
  <c r="M135" i="38"/>
  <c r="N135" i="38"/>
  <c r="O135" i="38"/>
  <c r="P135" i="38"/>
  <c r="Q135" i="38"/>
  <c r="R135" i="38"/>
  <c r="S135" i="38"/>
  <c r="T135" i="38"/>
  <c r="U135" i="38"/>
  <c r="V135" i="38"/>
  <c r="W135" i="38"/>
  <c r="X135" i="38"/>
  <c r="Y135" i="38"/>
  <c r="AA135" i="38"/>
  <c r="AB135" i="38"/>
  <c r="AA136" i="38"/>
  <c r="AB136" i="38"/>
  <c r="F137" i="38"/>
  <c r="G137" i="38"/>
  <c r="H137" i="38"/>
  <c r="I137" i="38"/>
  <c r="J137" i="38"/>
  <c r="K137" i="38"/>
  <c r="L137" i="38"/>
  <c r="M137" i="38"/>
  <c r="N137" i="38"/>
  <c r="O137" i="38"/>
  <c r="P137" i="38"/>
  <c r="Q137" i="38"/>
  <c r="R137" i="38"/>
  <c r="S137" i="38"/>
  <c r="T137" i="38"/>
  <c r="U137" i="38"/>
  <c r="V137" i="38"/>
  <c r="W137" i="38"/>
  <c r="X137" i="38"/>
  <c r="Y137" i="38"/>
  <c r="AA137" i="38"/>
  <c r="AB137" i="38"/>
  <c r="F138" i="38"/>
  <c r="G138" i="38"/>
  <c r="H138" i="38"/>
  <c r="I138" i="38"/>
  <c r="J138" i="38"/>
  <c r="K138" i="38"/>
  <c r="L138" i="38"/>
  <c r="M138" i="38"/>
  <c r="N138" i="38"/>
  <c r="O138" i="38"/>
  <c r="P138" i="38"/>
  <c r="Q138" i="38"/>
  <c r="R138" i="38"/>
  <c r="S138" i="38"/>
  <c r="T138" i="38"/>
  <c r="U138" i="38"/>
  <c r="V138" i="38"/>
  <c r="W138" i="38"/>
  <c r="X138" i="38"/>
  <c r="Y138" i="38"/>
  <c r="AA138" i="38"/>
  <c r="AB138" i="38"/>
  <c r="F139" i="38"/>
  <c r="G139" i="38"/>
  <c r="H139" i="38"/>
  <c r="I139" i="38"/>
  <c r="J139" i="38"/>
  <c r="K139" i="38"/>
  <c r="L139" i="38"/>
  <c r="M139" i="38"/>
  <c r="N139" i="38"/>
  <c r="O139" i="38"/>
  <c r="P139" i="38"/>
  <c r="Q139" i="38"/>
  <c r="R139" i="38"/>
  <c r="S139" i="38"/>
  <c r="T139" i="38"/>
  <c r="U139" i="38"/>
  <c r="V139" i="38"/>
  <c r="W139" i="38"/>
  <c r="X139" i="38"/>
  <c r="Y139" i="38"/>
  <c r="AA139" i="38"/>
  <c r="AB139" i="38"/>
  <c r="C140" i="38"/>
  <c r="F140" i="38"/>
  <c r="G140" i="38"/>
  <c r="H140" i="38"/>
  <c r="I140" i="38"/>
  <c r="J140" i="38"/>
  <c r="K140" i="38"/>
  <c r="L140" i="38"/>
  <c r="M140" i="38"/>
  <c r="N140" i="38"/>
  <c r="O140" i="38"/>
  <c r="P140" i="38"/>
  <c r="Q140" i="38"/>
  <c r="R140" i="38"/>
  <c r="S140" i="38"/>
  <c r="T140" i="38"/>
  <c r="U140" i="38"/>
  <c r="V140" i="38"/>
  <c r="W140" i="38"/>
  <c r="X140" i="38"/>
  <c r="Y140" i="38"/>
  <c r="AA140" i="38"/>
  <c r="AB140" i="38"/>
  <c r="C141" i="38"/>
  <c r="F141" i="38"/>
  <c r="G141" i="38"/>
  <c r="H141" i="38"/>
  <c r="I141" i="38"/>
  <c r="J141" i="38"/>
  <c r="K141" i="38"/>
  <c r="L141" i="38"/>
  <c r="M141" i="38"/>
  <c r="N141" i="38"/>
  <c r="O141" i="38"/>
  <c r="P141" i="38"/>
  <c r="Q141" i="38"/>
  <c r="R141" i="38"/>
  <c r="S141" i="38"/>
  <c r="T141" i="38"/>
  <c r="U141" i="38"/>
  <c r="V141" i="38"/>
  <c r="W141" i="38"/>
  <c r="X141" i="38"/>
  <c r="Y141" i="38"/>
  <c r="AA141" i="38"/>
  <c r="AB141" i="38"/>
  <c r="F142" i="38"/>
  <c r="G142" i="38"/>
  <c r="H142" i="38"/>
  <c r="I142" i="38"/>
  <c r="J142" i="38"/>
  <c r="K142" i="38"/>
  <c r="L142" i="38"/>
  <c r="M142" i="38"/>
  <c r="N142" i="38"/>
  <c r="O142" i="38"/>
  <c r="P142" i="38"/>
  <c r="Q142" i="38"/>
  <c r="R142" i="38"/>
  <c r="S142" i="38"/>
  <c r="T142" i="38"/>
  <c r="U142" i="38"/>
  <c r="V142" i="38"/>
  <c r="W142" i="38"/>
  <c r="X142" i="38"/>
  <c r="Y142" i="38"/>
  <c r="AA142" i="38"/>
  <c r="AB142" i="38"/>
  <c r="AA143" i="38"/>
  <c r="AB143" i="38"/>
  <c r="A144" i="38"/>
  <c r="F144" i="38"/>
  <c r="G144" i="38"/>
  <c r="H144" i="38"/>
  <c r="I144" i="38"/>
  <c r="J144" i="38"/>
  <c r="K144" i="38"/>
  <c r="L144" i="38"/>
  <c r="M144" i="38"/>
  <c r="N144" i="38"/>
  <c r="O144" i="38"/>
  <c r="P144" i="38"/>
  <c r="Q144" i="38"/>
  <c r="R144" i="38"/>
  <c r="S144" i="38"/>
  <c r="T144" i="38"/>
  <c r="U144" i="38"/>
  <c r="V144" i="38"/>
  <c r="W144" i="38"/>
  <c r="X144" i="38"/>
  <c r="Y144" i="38"/>
  <c r="AA144" i="38"/>
  <c r="AB144" i="38"/>
  <c r="F145" i="38"/>
  <c r="G145" i="38"/>
  <c r="H145" i="38"/>
  <c r="I145" i="38"/>
  <c r="J145" i="38"/>
  <c r="K145" i="38"/>
  <c r="L145" i="38"/>
  <c r="M145" i="38"/>
  <c r="N145" i="38"/>
  <c r="O145" i="38"/>
  <c r="P145" i="38"/>
  <c r="Q145" i="38"/>
  <c r="R145" i="38"/>
  <c r="S145" i="38"/>
  <c r="T145" i="38"/>
  <c r="U145" i="38"/>
  <c r="V145" i="38"/>
  <c r="W145" i="38"/>
  <c r="X145" i="38"/>
  <c r="Y145" i="38"/>
  <c r="AA145" i="38"/>
  <c r="AB145" i="38"/>
  <c r="AA146" i="38"/>
  <c r="AB146" i="38"/>
  <c r="AA147" i="38"/>
  <c r="AB147" i="38"/>
  <c r="AA148" i="38"/>
  <c r="AB148" i="38"/>
  <c r="AA149" i="38"/>
  <c r="AB149" i="38"/>
  <c r="A150" i="38"/>
  <c r="F150" i="38"/>
  <c r="G150" i="38"/>
  <c r="H150" i="38"/>
  <c r="I150" i="38"/>
  <c r="J150" i="38"/>
  <c r="K150" i="38"/>
  <c r="L150" i="38"/>
  <c r="M150" i="38"/>
  <c r="N150" i="38"/>
  <c r="O150" i="38"/>
  <c r="P150" i="38"/>
  <c r="Q150" i="38"/>
  <c r="R150" i="38"/>
  <c r="S150" i="38"/>
  <c r="T150" i="38"/>
  <c r="U150" i="38"/>
  <c r="V150" i="38"/>
  <c r="W150" i="38"/>
  <c r="X150" i="38"/>
  <c r="Y150" i="38"/>
  <c r="AA150" i="38"/>
  <c r="AB150" i="38"/>
  <c r="AA151" i="38"/>
  <c r="AB151" i="38"/>
  <c r="F152" i="38"/>
  <c r="G152" i="38"/>
  <c r="H152" i="38"/>
  <c r="I152" i="38"/>
  <c r="J152" i="38"/>
  <c r="K152" i="38"/>
  <c r="L152" i="38"/>
  <c r="M152" i="38"/>
  <c r="N152" i="38"/>
  <c r="O152" i="38"/>
  <c r="P152" i="38"/>
  <c r="Q152" i="38"/>
  <c r="R152" i="38"/>
  <c r="S152" i="38"/>
  <c r="T152" i="38"/>
  <c r="U152" i="38"/>
  <c r="V152" i="38"/>
  <c r="W152" i="38"/>
  <c r="X152" i="38"/>
  <c r="Y152" i="38"/>
  <c r="AA152" i="38"/>
  <c r="C155" i="38"/>
  <c r="C156" i="38"/>
  <c r="D160" i="38"/>
  <c r="D162" i="38"/>
  <c r="D163" i="38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AA10" i="9"/>
  <c r="AB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AA11" i="9"/>
  <c r="AB11" i="9"/>
  <c r="AA12" i="9"/>
  <c r="AB12" i="9"/>
  <c r="AA13" i="9"/>
  <c r="AB13" i="9"/>
  <c r="AA14" i="9"/>
  <c r="AB14" i="9"/>
  <c r="AA15" i="9"/>
  <c r="AB15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AA16" i="9"/>
  <c r="AB16" i="9"/>
  <c r="AA17" i="9"/>
  <c r="AB17" i="9"/>
  <c r="AA18" i="9"/>
  <c r="AB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AA19" i="9"/>
  <c r="AB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AA20" i="9"/>
  <c r="AB20" i="9"/>
  <c r="AA21" i="9"/>
  <c r="AB21" i="9"/>
  <c r="AA22" i="9"/>
  <c r="AB22" i="9"/>
  <c r="AA23" i="9"/>
  <c r="AB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AA24" i="9"/>
  <c r="AB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AA25" i="9"/>
  <c r="AB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AA26" i="9"/>
  <c r="AB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AA27" i="9"/>
  <c r="AB27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AA28" i="9"/>
  <c r="AB28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AA29" i="9"/>
  <c r="AB29" i="9"/>
  <c r="AA30" i="9"/>
  <c r="AB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AA31" i="9"/>
  <c r="AB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AA32" i="9"/>
  <c r="AB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AA33" i="9"/>
  <c r="AB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AA34" i="9"/>
  <c r="AB34" i="9"/>
  <c r="AA35" i="9"/>
  <c r="AB35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AA36" i="9"/>
  <c r="AB36" i="9"/>
  <c r="AA37" i="9"/>
  <c r="AB37" i="9"/>
  <c r="AA38" i="9"/>
  <c r="AB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AA39" i="9"/>
  <c r="AB39" i="9"/>
  <c r="AA40" i="9"/>
  <c r="AB40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AA41" i="9"/>
  <c r="AB41" i="9"/>
  <c r="AA42" i="9"/>
  <c r="AB42" i="9"/>
  <c r="AA43" i="9"/>
  <c r="AB43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AA44" i="9"/>
  <c r="AB44" i="9"/>
  <c r="AA45" i="9"/>
  <c r="AB45" i="9"/>
  <c r="AA46" i="9"/>
  <c r="AB46" i="9"/>
  <c r="AA47" i="9"/>
  <c r="AB47" i="9"/>
  <c r="AA48" i="9"/>
  <c r="AB48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AA49" i="9"/>
  <c r="AB49" i="9"/>
  <c r="AA50" i="9"/>
  <c r="AB50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AA51" i="9"/>
  <c r="AB51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AA52" i="9"/>
  <c r="AB52" i="9"/>
  <c r="AA53" i="9"/>
  <c r="AB53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AA54" i="9"/>
  <c r="AB54" i="9"/>
  <c r="AA55" i="9"/>
  <c r="AB55" i="9"/>
  <c r="AA56" i="9"/>
  <c r="AB56" i="9"/>
  <c r="AA57" i="9"/>
  <c r="AB57" i="9"/>
  <c r="AA58" i="9"/>
  <c r="AB58" i="9"/>
  <c r="AA59" i="9"/>
  <c r="AB59" i="9"/>
  <c r="AA60" i="9"/>
  <c r="AB60" i="9"/>
  <c r="AA61" i="9"/>
  <c r="AB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AA62" i="9"/>
  <c r="AB62" i="9"/>
  <c r="AA63" i="9"/>
  <c r="AB63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AA64" i="9"/>
  <c r="AB64" i="9"/>
  <c r="AA65" i="9"/>
  <c r="AB65" i="9"/>
  <c r="AA66" i="9"/>
  <c r="AB66" i="9"/>
  <c r="AA67" i="9"/>
  <c r="AB67" i="9"/>
  <c r="AA68" i="9"/>
  <c r="AB68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AA69" i="9"/>
  <c r="AB69" i="9"/>
  <c r="AA70" i="9"/>
  <c r="AB70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AA71" i="9"/>
  <c r="AB71" i="9"/>
  <c r="AA72" i="9"/>
  <c r="AB72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AA73" i="9"/>
  <c r="AB73" i="9"/>
  <c r="AA74" i="9"/>
  <c r="AB74" i="9"/>
  <c r="AA75" i="9"/>
  <c r="AB75" i="9"/>
  <c r="C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AA76" i="9"/>
  <c r="AB76" i="9"/>
  <c r="C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AA77" i="9"/>
  <c r="AB77" i="9"/>
  <c r="AA78" i="9"/>
  <c r="AB78" i="9"/>
  <c r="AA79" i="9"/>
  <c r="AB79" i="9"/>
  <c r="AA80" i="9"/>
  <c r="AB80" i="9"/>
  <c r="AA81" i="9"/>
  <c r="AB81" i="9"/>
  <c r="AA82" i="9"/>
  <c r="AB82" i="9"/>
  <c r="AA83" i="9"/>
  <c r="AB83" i="9"/>
  <c r="AA84" i="9"/>
  <c r="AB84" i="9"/>
  <c r="AA85" i="9"/>
  <c r="AB85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AA86" i="9"/>
  <c r="AB86" i="9"/>
  <c r="AA87" i="9"/>
  <c r="AB87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AA88" i="9"/>
  <c r="AB88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AA89" i="9"/>
  <c r="AB89" i="9"/>
  <c r="Y90" i="9"/>
  <c r="AA90" i="9"/>
  <c r="AB90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AA91" i="9"/>
  <c r="AB91" i="9"/>
  <c r="AA92" i="9"/>
  <c r="AB92" i="9"/>
  <c r="AA93" i="9"/>
  <c r="AB93" i="9"/>
  <c r="E94" i="9"/>
  <c r="Y94" i="9"/>
  <c r="AA94" i="9"/>
  <c r="AB94" i="9"/>
  <c r="AA95" i="9"/>
  <c r="AB95" i="9"/>
  <c r="Y96" i="9"/>
  <c r="AA96" i="9"/>
  <c r="AB96" i="9"/>
  <c r="AA97" i="9"/>
  <c r="AB97" i="9"/>
  <c r="Y98" i="9"/>
  <c r="AA98" i="9"/>
  <c r="AB98" i="9"/>
  <c r="AA99" i="9"/>
  <c r="AB99" i="9"/>
  <c r="AA100" i="9"/>
  <c r="AB100" i="9"/>
  <c r="D101" i="9"/>
  <c r="AA101" i="9"/>
  <c r="AB101" i="9"/>
  <c r="D102" i="9"/>
  <c r="AA102" i="9"/>
  <c r="AB102" i="9"/>
  <c r="AA103" i="9"/>
  <c r="AB103" i="9"/>
  <c r="D104" i="9"/>
  <c r="AA104" i="9"/>
  <c r="AB104" i="9"/>
  <c r="AA105" i="9"/>
  <c r="AB105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AA106" i="9"/>
  <c r="AB106" i="9"/>
  <c r="AA107" i="9"/>
  <c r="AB107" i="9"/>
  <c r="D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AA108" i="9"/>
  <c r="AB108" i="9"/>
  <c r="D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AA109" i="9"/>
  <c r="AB109" i="9"/>
  <c r="AA110" i="9"/>
  <c r="AB110" i="9"/>
  <c r="AA111" i="9"/>
  <c r="AB111" i="9"/>
  <c r="D112" i="9"/>
  <c r="AA112" i="9"/>
  <c r="AB112" i="9"/>
  <c r="AA113" i="9"/>
  <c r="AB113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AA114" i="9"/>
  <c r="AB114" i="9"/>
  <c r="D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AA115" i="9"/>
  <c r="AB115" i="9"/>
  <c r="AA116" i="9"/>
  <c r="AB116" i="9"/>
  <c r="AA117" i="9"/>
  <c r="AB117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AA118" i="9"/>
  <c r="AB118" i="9"/>
  <c r="AA119" i="9"/>
  <c r="AB119" i="9"/>
  <c r="A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AA120" i="9"/>
  <c r="AB120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AA121" i="9"/>
  <c r="AB121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AA122" i="9"/>
  <c r="AB122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AA123" i="9"/>
  <c r="AB123" i="9"/>
  <c r="AA124" i="9"/>
  <c r="AB124" i="9"/>
  <c r="C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AA125" i="9"/>
  <c r="AB125" i="9"/>
  <c r="C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AA126" i="9"/>
  <c r="AB126" i="9"/>
  <c r="AA127" i="9"/>
  <c r="AB127" i="9"/>
  <c r="AA128" i="9"/>
  <c r="AB128" i="9"/>
  <c r="AA129" i="9"/>
  <c r="AB129" i="9"/>
  <c r="AA130" i="9"/>
  <c r="AB130" i="9"/>
  <c r="AA131" i="9"/>
  <c r="AB131" i="9"/>
  <c r="AA132" i="9"/>
  <c r="AB132" i="9"/>
  <c r="AA133" i="9"/>
  <c r="AB133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AA134" i="9"/>
  <c r="AB134" i="9"/>
  <c r="AA135" i="9"/>
  <c r="AB135" i="9"/>
  <c r="AA136" i="9"/>
  <c r="AB136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AA137" i="9"/>
  <c r="AB137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AA138" i="9"/>
  <c r="AB138" i="9"/>
  <c r="C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AA139" i="9"/>
  <c r="AB139" i="9"/>
  <c r="C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AA140" i="9"/>
  <c r="AB140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AA141" i="9"/>
  <c r="AB141" i="9"/>
  <c r="AA142" i="9"/>
  <c r="AB142" i="9"/>
  <c r="A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AA143" i="9"/>
  <c r="AB143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AA144" i="9"/>
  <c r="AB144" i="9"/>
  <c r="AA145" i="9"/>
  <c r="AB145" i="9"/>
  <c r="AA146" i="9"/>
  <c r="AB146" i="9"/>
  <c r="AA147" i="9"/>
  <c r="AB147" i="9"/>
  <c r="AA148" i="9"/>
  <c r="AB148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AA149" i="9"/>
  <c r="AB149" i="9"/>
  <c r="AA150" i="9"/>
  <c r="AB150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AA151" i="9"/>
  <c r="AB151" i="9"/>
  <c r="C154" i="9"/>
  <c r="D159" i="9"/>
  <c r="D161" i="9"/>
  <c r="D162" i="9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AA10" i="10"/>
  <c r="AB10" i="10"/>
  <c r="AA11" i="10"/>
  <c r="AB11" i="10"/>
  <c r="AA12" i="10"/>
  <c r="AB12" i="10"/>
  <c r="AA13" i="10"/>
  <c r="AB13" i="10"/>
  <c r="AA14" i="10"/>
  <c r="AB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AA15" i="10"/>
  <c r="AB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AA16" i="10"/>
  <c r="AB16" i="10"/>
  <c r="AA17" i="10"/>
  <c r="AB17" i="10"/>
  <c r="AA18" i="10"/>
  <c r="AB18" i="10"/>
  <c r="AA19" i="10"/>
  <c r="AB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AA20" i="10"/>
  <c r="AB20" i="10"/>
  <c r="AA21" i="10"/>
  <c r="AB21" i="10"/>
  <c r="AA22" i="10"/>
  <c r="AB22" i="10"/>
  <c r="AA23" i="10"/>
  <c r="AB23" i="10"/>
  <c r="AA24" i="10"/>
  <c r="AB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AA25" i="10"/>
  <c r="AB25" i="10"/>
  <c r="AA26" i="10"/>
  <c r="AB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AA27" i="10"/>
  <c r="AB27" i="10"/>
  <c r="AA28" i="10"/>
  <c r="AB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AA29" i="10"/>
  <c r="AB29" i="10"/>
  <c r="AA30" i="10"/>
  <c r="AB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AA31" i="10"/>
  <c r="AB31" i="10"/>
  <c r="AA32" i="10"/>
  <c r="AB32" i="10"/>
  <c r="AA33" i="10"/>
  <c r="AB33" i="10"/>
  <c r="AA34" i="10"/>
  <c r="AB34" i="10"/>
  <c r="AA35" i="10"/>
  <c r="AB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AA36" i="10"/>
  <c r="AB36" i="10"/>
  <c r="AA37" i="10"/>
  <c r="AB37" i="10"/>
  <c r="AA38" i="10"/>
  <c r="AB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AA39" i="10"/>
  <c r="AB39" i="10"/>
  <c r="AA40" i="10"/>
  <c r="AB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AA41" i="10"/>
  <c r="AB41" i="10"/>
  <c r="AA42" i="10"/>
  <c r="AB42" i="10"/>
  <c r="AA43" i="10"/>
  <c r="AB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AA44" i="10"/>
  <c r="AB44" i="10"/>
  <c r="AA45" i="10"/>
  <c r="AB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AA46" i="10"/>
  <c r="AB46" i="10"/>
  <c r="AA47" i="10"/>
  <c r="AB47" i="10"/>
  <c r="AA48" i="10"/>
  <c r="AB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AA49" i="10"/>
  <c r="AB49" i="10"/>
  <c r="AA50" i="10"/>
  <c r="AB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AA51" i="10"/>
  <c r="AB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AA52" i="10"/>
  <c r="AB52" i="10"/>
  <c r="AA53" i="10"/>
  <c r="AB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AA54" i="10"/>
  <c r="AB54" i="10"/>
  <c r="AA55" i="10"/>
  <c r="AB55" i="10"/>
  <c r="AA56" i="10"/>
  <c r="AB56" i="10"/>
  <c r="AA57" i="10"/>
  <c r="AB57" i="10"/>
  <c r="AA58" i="10"/>
  <c r="AB58" i="10"/>
  <c r="AA59" i="10"/>
  <c r="AB59" i="10"/>
  <c r="AA60" i="10"/>
  <c r="AB60" i="10"/>
  <c r="AA61" i="10"/>
  <c r="AB61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AA62" i="10"/>
  <c r="AB62" i="10"/>
  <c r="AA63" i="10"/>
  <c r="AB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AA64" i="10"/>
  <c r="AB64" i="10"/>
  <c r="AA65" i="10"/>
  <c r="AB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AA66" i="10"/>
  <c r="AB66" i="10"/>
  <c r="AA67" i="10"/>
  <c r="AB67" i="10"/>
  <c r="AA68" i="10"/>
  <c r="AB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AA69" i="10"/>
  <c r="AB69" i="10"/>
  <c r="AA70" i="10"/>
  <c r="AB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AA71" i="10"/>
  <c r="AB71" i="10"/>
  <c r="AA72" i="10"/>
  <c r="AB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AA73" i="10"/>
  <c r="AB73" i="10"/>
  <c r="AA74" i="10"/>
  <c r="AB74" i="10"/>
  <c r="AA75" i="10"/>
  <c r="AB75" i="10"/>
  <c r="C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AA76" i="10"/>
  <c r="AB76" i="10"/>
  <c r="C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AA77" i="10"/>
  <c r="AB77" i="10"/>
  <c r="AA78" i="10"/>
  <c r="AB78" i="10"/>
  <c r="AA79" i="10"/>
  <c r="AB79" i="10"/>
  <c r="AA80" i="10"/>
  <c r="AB80" i="10"/>
  <c r="AA81" i="10"/>
  <c r="AB81" i="10"/>
  <c r="AA82" i="10"/>
  <c r="AB82" i="10"/>
  <c r="AA83" i="10"/>
  <c r="AB83" i="10"/>
  <c r="AA84" i="10"/>
  <c r="AB84" i="10"/>
  <c r="AA85" i="10"/>
  <c r="AB85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AA86" i="10"/>
  <c r="AB86" i="10"/>
  <c r="AA87" i="10"/>
  <c r="AB87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AA88" i="10"/>
  <c r="AB88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AA89" i="10"/>
  <c r="AB89" i="10"/>
  <c r="Y90" i="10"/>
  <c r="AA90" i="10"/>
  <c r="AB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AA91" i="10"/>
  <c r="AB91" i="10"/>
  <c r="AA92" i="10"/>
  <c r="AB92" i="10"/>
  <c r="AA93" i="10"/>
  <c r="AB93" i="10"/>
  <c r="E94" i="10"/>
  <c r="Y94" i="10"/>
  <c r="AA94" i="10"/>
  <c r="AB94" i="10"/>
  <c r="AA95" i="10"/>
  <c r="AB95" i="10"/>
  <c r="Y96" i="10"/>
  <c r="AA96" i="10"/>
  <c r="AB96" i="10"/>
  <c r="AA97" i="10"/>
  <c r="AB97" i="10"/>
  <c r="Y98" i="10"/>
  <c r="AA98" i="10"/>
  <c r="AB98" i="10"/>
  <c r="AA99" i="10"/>
  <c r="AB99" i="10"/>
  <c r="AA100" i="10"/>
  <c r="AB100" i="10"/>
  <c r="D101" i="10"/>
  <c r="AA101" i="10"/>
  <c r="AB101" i="10"/>
  <c r="D102" i="10"/>
  <c r="AA102" i="10"/>
  <c r="AB102" i="10"/>
  <c r="AA103" i="10"/>
  <c r="AB103" i="10"/>
  <c r="D104" i="10"/>
  <c r="AA104" i="10"/>
  <c r="AB104" i="10"/>
  <c r="AA105" i="10"/>
  <c r="AB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AA106" i="10"/>
  <c r="AB106" i="10"/>
  <c r="AA107" i="10"/>
  <c r="AB107" i="10"/>
  <c r="D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AA108" i="10"/>
  <c r="AB108" i="10"/>
  <c r="D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AA109" i="10"/>
  <c r="AB109" i="10"/>
  <c r="AA110" i="10"/>
  <c r="AB110" i="10"/>
  <c r="AA111" i="10"/>
  <c r="AB111" i="10"/>
  <c r="D112" i="10"/>
  <c r="AA112" i="10"/>
  <c r="AB112" i="10"/>
  <c r="AA113" i="10"/>
  <c r="AB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AA114" i="10"/>
  <c r="AB114" i="10"/>
  <c r="D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AA115" i="10"/>
  <c r="AB115" i="10"/>
  <c r="AA116" i="10"/>
  <c r="AB116" i="10"/>
  <c r="AA117" i="10"/>
  <c r="AB117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AA118" i="10"/>
  <c r="AB118" i="10"/>
  <c r="AA119" i="10"/>
  <c r="AB119" i="10"/>
  <c r="A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AA120" i="10"/>
  <c r="AB120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AA121" i="10"/>
  <c r="AB121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AA122" i="10"/>
  <c r="AB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AA123" i="10"/>
  <c r="AB123" i="10"/>
  <c r="AA124" i="10"/>
  <c r="AB124" i="10"/>
  <c r="C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AA125" i="10"/>
  <c r="AB125" i="10"/>
  <c r="C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AA126" i="10"/>
  <c r="AB126" i="10"/>
  <c r="AA127" i="10"/>
  <c r="AB127" i="10"/>
  <c r="AA128" i="10"/>
  <c r="AB128" i="10"/>
  <c r="AA129" i="10"/>
  <c r="AB129" i="10"/>
  <c r="AA130" i="10"/>
  <c r="AB130" i="10"/>
  <c r="AA131" i="10"/>
  <c r="AB131" i="10"/>
  <c r="AA132" i="10"/>
  <c r="AB132" i="10"/>
  <c r="AA133" i="10"/>
  <c r="AB133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AA134" i="10"/>
  <c r="AB134" i="10"/>
  <c r="AA135" i="10"/>
  <c r="AB135" i="10"/>
  <c r="AA136" i="10"/>
  <c r="AB136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AA137" i="10"/>
  <c r="AB137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AA138" i="10"/>
  <c r="AB138" i="10"/>
  <c r="C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AA139" i="10"/>
  <c r="AB139" i="10"/>
  <c r="C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AA140" i="10"/>
  <c r="AB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AA141" i="10"/>
  <c r="AB141" i="10"/>
  <c r="AA142" i="10"/>
  <c r="AB142" i="10"/>
  <c r="A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AA143" i="10"/>
  <c r="AB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AA144" i="10"/>
  <c r="AB144" i="10"/>
  <c r="AA145" i="10"/>
  <c r="AB145" i="10"/>
  <c r="AA146" i="10"/>
  <c r="AB146" i="10"/>
  <c r="AA147" i="10"/>
  <c r="AB147" i="10"/>
  <c r="AA148" i="10"/>
  <c r="AB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AA149" i="10"/>
  <c r="AB149" i="10"/>
  <c r="AA150" i="10"/>
  <c r="AB150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AA151" i="10"/>
  <c r="AB151" i="10"/>
  <c r="C154" i="10"/>
  <c r="D159" i="10"/>
  <c r="F160" i="10"/>
  <c r="D161" i="10"/>
  <c r="D162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E5" i="25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AA10" i="25"/>
  <c r="AB10" i="25"/>
  <c r="AA11" i="25"/>
  <c r="AB11" i="25"/>
  <c r="AA12" i="25"/>
  <c r="AB12" i="25"/>
  <c r="AA13" i="25"/>
  <c r="AB13" i="25"/>
  <c r="AA14" i="25"/>
  <c r="AB14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AA15" i="25"/>
  <c r="AB15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AA16" i="25"/>
  <c r="AB16" i="25"/>
  <c r="AA17" i="25"/>
  <c r="AB17" i="25"/>
  <c r="AA18" i="25"/>
  <c r="AB18" i="25"/>
  <c r="AA19" i="25"/>
  <c r="AB19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AA20" i="25"/>
  <c r="AB20" i="25"/>
  <c r="AA21" i="25"/>
  <c r="AB21" i="25"/>
  <c r="AA22" i="25"/>
  <c r="AB22" i="25"/>
  <c r="AA23" i="25"/>
  <c r="AB23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AA24" i="25"/>
  <c r="AB24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AA25" i="25"/>
  <c r="AB25" i="25"/>
  <c r="AA26" i="25"/>
  <c r="AB26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AA27" i="25"/>
  <c r="AB27" i="25"/>
  <c r="AA28" i="25"/>
  <c r="AB28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AA29" i="25"/>
  <c r="AB29" i="25"/>
  <c r="AA30" i="25"/>
  <c r="AB30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AA31" i="25"/>
  <c r="AB31" i="25"/>
  <c r="AA32" i="25"/>
  <c r="AB32" i="25"/>
  <c r="AA33" i="25"/>
  <c r="AB33" i="25"/>
  <c r="AA34" i="25"/>
  <c r="AB34" i="25"/>
  <c r="AA35" i="25"/>
  <c r="AB35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AA36" i="25"/>
  <c r="AB36" i="25"/>
  <c r="AA37" i="25"/>
  <c r="AB37" i="25"/>
  <c r="AA38" i="25"/>
  <c r="AB38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AA39" i="25"/>
  <c r="AB39" i="25"/>
  <c r="AA40" i="25"/>
  <c r="AB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AA41" i="25"/>
  <c r="AB41" i="25"/>
  <c r="AA42" i="25"/>
  <c r="AB42" i="25"/>
  <c r="AA43" i="25"/>
  <c r="AB43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AA44" i="25"/>
  <c r="AB44" i="25"/>
  <c r="AA45" i="25"/>
  <c r="AB45" i="25"/>
  <c r="F46" i="25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X46" i="25"/>
  <c r="Y46" i="25"/>
  <c r="AA46" i="25"/>
  <c r="AB46" i="25"/>
  <c r="AA47" i="25"/>
  <c r="AB47" i="25"/>
  <c r="AA48" i="25"/>
  <c r="AB48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AA49" i="25"/>
  <c r="AB49" i="25"/>
  <c r="AA50" i="25"/>
  <c r="AB50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AA51" i="25"/>
  <c r="AB51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X52" i="25"/>
  <c r="Y52" i="25"/>
  <c r="AA52" i="25"/>
  <c r="AB52" i="25"/>
  <c r="AA53" i="25"/>
  <c r="AB53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AA54" i="25"/>
  <c r="AB54" i="25"/>
  <c r="AA55" i="25"/>
  <c r="AB55" i="25"/>
  <c r="AA56" i="25"/>
  <c r="AB56" i="25"/>
  <c r="AA57" i="25"/>
  <c r="AB57" i="25"/>
  <c r="AA58" i="25"/>
  <c r="AB58" i="25"/>
  <c r="AA59" i="25"/>
  <c r="AB59" i="25"/>
  <c r="AA60" i="25"/>
  <c r="AB60" i="25"/>
  <c r="AA61" i="25"/>
  <c r="AB61" i="25"/>
  <c r="E62" i="25"/>
  <c r="F62" i="25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X62" i="25"/>
  <c r="Y62" i="25"/>
  <c r="AA62" i="25"/>
  <c r="AB62" i="25"/>
  <c r="AA63" i="25"/>
  <c r="AB63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AA64" i="25"/>
  <c r="AB64" i="25"/>
  <c r="AA65" i="25"/>
  <c r="AB65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AA66" i="25"/>
  <c r="AB66" i="25"/>
  <c r="AA67" i="25"/>
  <c r="AB67" i="25"/>
  <c r="AA68" i="25"/>
  <c r="AB68" i="25"/>
  <c r="F69" i="25"/>
  <c r="G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X69" i="25"/>
  <c r="Y69" i="25"/>
  <c r="AA69" i="25"/>
  <c r="AB69" i="25"/>
  <c r="AA70" i="25"/>
  <c r="AB70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AA71" i="25"/>
  <c r="AB71" i="25"/>
  <c r="AA72" i="25"/>
  <c r="AB72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AA73" i="25"/>
  <c r="AB73" i="25"/>
  <c r="AA74" i="25"/>
  <c r="AB74" i="25"/>
  <c r="AA75" i="25"/>
  <c r="AB75" i="25"/>
  <c r="C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AA76" i="25"/>
  <c r="AB76" i="25"/>
  <c r="C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AA77" i="25"/>
  <c r="AB77" i="25"/>
  <c r="AA78" i="25"/>
  <c r="AB78" i="25"/>
  <c r="AA79" i="25"/>
  <c r="AB79" i="25"/>
  <c r="AA80" i="25"/>
  <c r="AB80" i="25"/>
  <c r="AA81" i="25"/>
  <c r="AB81" i="25"/>
  <c r="AA82" i="25"/>
  <c r="AB82" i="25"/>
  <c r="AA83" i="25"/>
  <c r="AB83" i="25"/>
  <c r="AA84" i="25"/>
  <c r="AB84" i="25"/>
  <c r="AA85" i="25"/>
  <c r="AB85" i="25"/>
  <c r="E86" i="25"/>
  <c r="F86" i="25"/>
  <c r="G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X86" i="25"/>
  <c r="Y86" i="25"/>
  <c r="AA86" i="25"/>
  <c r="AB86" i="25"/>
  <c r="AA87" i="25"/>
  <c r="AB87" i="25"/>
  <c r="F88" i="25"/>
  <c r="G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X88" i="25"/>
  <c r="Y88" i="25"/>
  <c r="AA88" i="25"/>
  <c r="AB88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AA89" i="25"/>
  <c r="AB89" i="25"/>
  <c r="Y90" i="25"/>
  <c r="AA90" i="25"/>
  <c r="AB90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AA91" i="25"/>
  <c r="AB91" i="25"/>
  <c r="AA92" i="25"/>
  <c r="AB92" i="25"/>
  <c r="AA93" i="25"/>
  <c r="AB93" i="25"/>
  <c r="E94" i="25"/>
  <c r="Y94" i="25"/>
  <c r="AA94" i="25"/>
  <c r="AB94" i="25"/>
  <c r="AA95" i="25"/>
  <c r="AB95" i="25"/>
  <c r="Y96" i="25"/>
  <c r="AA96" i="25"/>
  <c r="AB96" i="25"/>
  <c r="AA97" i="25"/>
  <c r="AB97" i="25"/>
  <c r="Y98" i="25"/>
  <c r="AA98" i="25"/>
  <c r="AB98" i="25"/>
  <c r="AA99" i="25"/>
  <c r="AB99" i="25"/>
  <c r="AA100" i="25"/>
  <c r="AB100" i="25"/>
  <c r="D101" i="25"/>
  <c r="AA101" i="25"/>
  <c r="AB101" i="25"/>
  <c r="D102" i="25"/>
  <c r="AA102" i="25"/>
  <c r="AB102" i="25"/>
  <c r="AA103" i="25"/>
  <c r="AB103" i="25"/>
  <c r="D104" i="25"/>
  <c r="AA104" i="25"/>
  <c r="AB104" i="25"/>
  <c r="AA105" i="25"/>
  <c r="AB105" i="25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AA106" i="25"/>
  <c r="AB106" i="25"/>
  <c r="AA107" i="25"/>
  <c r="AB107" i="25"/>
  <c r="D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AA108" i="25"/>
  <c r="AB108" i="25"/>
  <c r="D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AA109" i="25"/>
  <c r="AB109" i="25"/>
  <c r="AA110" i="25"/>
  <c r="AB110" i="25"/>
  <c r="AA111" i="25"/>
  <c r="AB111" i="25"/>
  <c r="D112" i="25"/>
  <c r="AA112" i="25"/>
  <c r="AB112" i="25"/>
  <c r="AA113" i="25"/>
  <c r="AB113" i="25"/>
  <c r="F114" i="25"/>
  <c r="G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X114" i="25"/>
  <c r="Y114" i="25"/>
  <c r="AA114" i="25"/>
  <c r="AB114" i="25"/>
  <c r="D115" i="25"/>
  <c r="F115" i="25"/>
  <c r="G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X115" i="25"/>
  <c r="Y115" i="25"/>
  <c r="AA115" i="25"/>
  <c r="AB115" i="25"/>
  <c r="AA116" i="25"/>
  <c r="AB116" i="25"/>
  <c r="AA117" i="25"/>
  <c r="AB117" i="25"/>
  <c r="F118" i="25"/>
  <c r="G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X118" i="25"/>
  <c r="Y118" i="25"/>
  <c r="AA118" i="25"/>
  <c r="AB118" i="25"/>
  <c r="AA119" i="25"/>
  <c r="AB119" i="25"/>
  <c r="A120" i="25"/>
  <c r="F120" i="25"/>
  <c r="G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X120" i="25"/>
  <c r="Y120" i="25"/>
  <c r="AA120" i="25"/>
  <c r="AB120" i="25"/>
  <c r="F121" i="25"/>
  <c r="G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/>
  <c r="X121" i="25"/>
  <c r="Y121" i="25"/>
  <c r="AA121" i="25"/>
  <c r="AB121" i="25"/>
  <c r="F122" i="25"/>
  <c r="G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X122" i="25"/>
  <c r="Y122" i="25"/>
  <c r="AA122" i="25"/>
  <c r="AB122" i="25"/>
  <c r="F123" i="25"/>
  <c r="G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X123" i="25"/>
  <c r="Y123" i="25"/>
  <c r="AA123" i="25"/>
  <c r="AB123" i="25"/>
  <c r="AA124" i="25"/>
  <c r="AB124" i="25"/>
  <c r="C125" i="25"/>
  <c r="F125" i="25"/>
  <c r="G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X125" i="25"/>
  <c r="Y125" i="25"/>
  <c r="AA125" i="25"/>
  <c r="AB125" i="25"/>
  <c r="C126" i="25"/>
  <c r="F126" i="25"/>
  <c r="G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X126" i="25"/>
  <c r="Y126" i="25"/>
  <c r="AA126" i="25"/>
  <c r="AB126" i="25"/>
  <c r="AA127" i="25"/>
  <c r="AB127" i="25"/>
  <c r="AA128" i="25"/>
  <c r="AB128" i="25"/>
  <c r="AA129" i="25"/>
  <c r="AB129" i="25"/>
  <c r="AA130" i="25"/>
  <c r="AB130" i="25"/>
  <c r="AA131" i="25"/>
  <c r="AB131" i="25"/>
  <c r="AA132" i="25"/>
  <c r="AB132" i="25"/>
  <c r="AA133" i="25"/>
  <c r="AB133" i="25"/>
  <c r="F134" i="25"/>
  <c r="G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X134" i="25"/>
  <c r="Y134" i="25"/>
  <c r="AA134" i="25"/>
  <c r="AB134" i="25"/>
  <c r="AA135" i="25"/>
  <c r="AB135" i="25"/>
  <c r="AA136" i="25"/>
  <c r="AB136" i="25"/>
  <c r="F137" i="25"/>
  <c r="G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X137" i="25"/>
  <c r="Y137" i="25"/>
  <c r="AA137" i="25"/>
  <c r="AB137" i="25"/>
  <c r="F138" i="25"/>
  <c r="G138" i="25"/>
  <c r="H138" i="25"/>
  <c r="I138" i="25"/>
  <c r="J138" i="25"/>
  <c r="K138" i="25"/>
  <c r="L138" i="25"/>
  <c r="M138" i="25"/>
  <c r="N138" i="25"/>
  <c r="O138" i="25"/>
  <c r="P138" i="25"/>
  <c r="Q138" i="25"/>
  <c r="R138" i="25"/>
  <c r="S138" i="25"/>
  <c r="T138" i="25"/>
  <c r="U138" i="25"/>
  <c r="V138" i="25"/>
  <c r="W138" i="25"/>
  <c r="X138" i="25"/>
  <c r="Y138" i="25"/>
  <c r="AA138" i="25"/>
  <c r="AB138" i="25"/>
  <c r="C139" i="25"/>
  <c r="F139" i="25"/>
  <c r="G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/>
  <c r="X139" i="25"/>
  <c r="Y139" i="25"/>
  <c r="AA139" i="25"/>
  <c r="AB139" i="25"/>
  <c r="C140" i="25"/>
  <c r="F140" i="25"/>
  <c r="G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/>
  <c r="X140" i="25"/>
  <c r="Y140" i="25"/>
  <c r="AA140" i="25"/>
  <c r="AB140" i="25"/>
  <c r="F141" i="25"/>
  <c r="G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X141" i="25"/>
  <c r="Y141" i="25"/>
  <c r="AA141" i="25"/>
  <c r="AB141" i="25"/>
  <c r="AA142" i="25"/>
  <c r="AB142" i="25"/>
  <c r="A143" i="25"/>
  <c r="F143" i="25"/>
  <c r="G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/>
  <c r="X143" i="25"/>
  <c r="Y143" i="25"/>
  <c r="AA143" i="25"/>
  <c r="AB143" i="25"/>
  <c r="F144" i="25"/>
  <c r="G144" i="25"/>
  <c r="H144" i="25"/>
  <c r="I144" i="25"/>
  <c r="J144" i="25"/>
  <c r="K144" i="25"/>
  <c r="L144" i="25"/>
  <c r="M144" i="25"/>
  <c r="N144" i="25"/>
  <c r="O144" i="25"/>
  <c r="P144" i="25"/>
  <c r="Q144" i="25"/>
  <c r="R144" i="25"/>
  <c r="S144" i="25"/>
  <c r="T144" i="25"/>
  <c r="U144" i="25"/>
  <c r="V144" i="25"/>
  <c r="W144" i="25"/>
  <c r="X144" i="25"/>
  <c r="Y144" i="25"/>
  <c r="AA144" i="25"/>
  <c r="AB144" i="25"/>
  <c r="AA145" i="25"/>
  <c r="AB145" i="25"/>
  <c r="AA146" i="25"/>
  <c r="AB146" i="25"/>
  <c r="AA147" i="25"/>
  <c r="AB147" i="25"/>
  <c r="AA148" i="25"/>
  <c r="AB148" i="25"/>
  <c r="F149" i="25"/>
  <c r="G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/>
  <c r="X149" i="25"/>
  <c r="Y149" i="25"/>
  <c r="AA149" i="25"/>
  <c r="AB149" i="25"/>
  <c r="AA150" i="25"/>
  <c r="AB150" i="25"/>
  <c r="F151" i="25"/>
  <c r="G151" i="25"/>
  <c r="H151" i="25"/>
  <c r="I151" i="25"/>
  <c r="J151" i="25"/>
  <c r="K151" i="25"/>
  <c r="L151" i="25"/>
  <c r="M151" i="25"/>
  <c r="N151" i="25"/>
  <c r="O151" i="25"/>
  <c r="P151" i="25"/>
  <c r="Q151" i="25"/>
  <c r="R151" i="25"/>
  <c r="S151" i="25"/>
  <c r="T151" i="25"/>
  <c r="U151" i="25"/>
  <c r="V151" i="25"/>
  <c r="W151" i="25"/>
  <c r="X151" i="25"/>
  <c r="Y151" i="25"/>
  <c r="AA151" i="25"/>
  <c r="AB151" i="25"/>
  <c r="C154" i="25"/>
  <c r="D159" i="25"/>
  <c r="F160" i="25"/>
  <c r="D161" i="25"/>
  <c r="D162" i="25"/>
  <c r="F167" i="25"/>
  <c r="G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/>
  <c r="X167" i="25"/>
  <c r="Y167" i="25"/>
  <c r="F168" i="25"/>
  <c r="G168" i="25"/>
  <c r="H168" i="25"/>
  <c r="I168" i="25"/>
  <c r="J168" i="25"/>
  <c r="K168" i="25"/>
  <c r="L168" i="25"/>
  <c r="M168" i="25"/>
  <c r="N168" i="25"/>
  <c r="O168" i="25"/>
  <c r="P168" i="25"/>
  <c r="Q168" i="25"/>
  <c r="R168" i="25"/>
  <c r="S168" i="25"/>
  <c r="T168" i="25"/>
  <c r="U168" i="25"/>
  <c r="V168" i="25"/>
  <c r="W168" i="25"/>
  <c r="X168" i="25"/>
  <c r="Y168" i="25"/>
  <c r="F169" i="25"/>
  <c r="G169" i="25"/>
  <c r="H169" i="25"/>
  <c r="I169" i="25"/>
  <c r="J169" i="25"/>
  <c r="K169" i="25"/>
  <c r="L169" i="25"/>
  <c r="M169" i="25"/>
  <c r="N169" i="25"/>
  <c r="O169" i="25"/>
  <c r="P169" i="25"/>
  <c r="Q169" i="25"/>
  <c r="R169" i="25"/>
  <c r="S169" i="25"/>
  <c r="T169" i="25"/>
  <c r="U169" i="25"/>
  <c r="V169" i="25"/>
  <c r="W169" i="25"/>
  <c r="X169" i="25"/>
  <c r="Y169" i="25"/>
  <c r="F171" i="25"/>
  <c r="G171" i="25"/>
  <c r="H171" i="25"/>
  <c r="I171" i="25"/>
  <c r="J171" i="25"/>
  <c r="K171" i="25"/>
  <c r="L171" i="25"/>
  <c r="M171" i="25"/>
  <c r="N171" i="25"/>
  <c r="O171" i="25"/>
  <c r="P171" i="25"/>
  <c r="Q171" i="25"/>
  <c r="R171" i="25"/>
  <c r="S171" i="25"/>
  <c r="T171" i="25"/>
  <c r="U171" i="25"/>
  <c r="V171" i="25"/>
  <c r="W171" i="25"/>
  <c r="X171" i="25"/>
  <c r="Y171" i="25"/>
  <c r="F172" i="25"/>
  <c r="G172" i="25"/>
  <c r="H172" i="25"/>
  <c r="I172" i="25"/>
  <c r="J172" i="25"/>
  <c r="K172" i="25"/>
  <c r="L172" i="25"/>
  <c r="M172" i="25"/>
  <c r="N172" i="25"/>
  <c r="O172" i="25"/>
  <c r="P172" i="25"/>
  <c r="Q172" i="25"/>
  <c r="R172" i="25"/>
  <c r="S172" i="25"/>
  <c r="T172" i="25"/>
  <c r="U172" i="25"/>
  <c r="V172" i="25"/>
  <c r="W172" i="25"/>
  <c r="X172" i="25"/>
  <c r="Y172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R174" i="25"/>
  <c r="S174" i="25"/>
  <c r="T174" i="25"/>
  <c r="U174" i="25"/>
  <c r="V174" i="25"/>
  <c r="W174" i="25"/>
  <c r="X174" i="25"/>
  <c r="Y174" i="25"/>
  <c r="F176" i="25"/>
  <c r="G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T176" i="25"/>
  <c r="U176" i="25"/>
  <c r="V176" i="25"/>
  <c r="W176" i="25"/>
  <c r="X176" i="25"/>
  <c r="Y176" i="25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AA10" i="11"/>
  <c r="AB10" i="11"/>
  <c r="AA11" i="11"/>
  <c r="AB11" i="11"/>
  <c r="AA12" i="11"/>
  <c r="AB12" i="11"/>
  <c r="AA13" i="11"/>
  <c r="AB13" i="11"/>
  <c r="AA14" i="11"/>
  <c r="AB14" i="11"/>
  <c r="AA15" i="11"/>
  <c r="AB15" i="11"/>
  <c r="AA16" i="11"/>
  <c r="AB16" i="11"/>
  <c r="AA17" i="11"/>
  <c r="AB17" i="11"/>
  <c r="AA18" i="11"/>
  <c r="AB18" i="11"/>
  <c r="AA19" i="11"/>
  <c r="AB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AA20" i="11"/>
  <c r="AB20" i="11"/>
  <c r="AA21" i="11"/>
  <c r="AB21" i="11"/>
  <c r="AA22" i="11"/>
  <c r="AB22" i="11"/>
  <c r="AA23" i="11"/>
  <c r="AB23" i="11"/>
  <c r="AA24" i="11"/>
  <c r="AB24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AA25" i="11"/>
  <c r="AB25" i="11"/>
  <c r="H26" i="11"/>
  <c r="I26" i="11"/>
  <c r="J26" i="11"/>
  <c r="K26" i="11"/>
  <c r="L26" i="11"/>
  <c r="M26" i="11"/>
  <c r="N26" i="11"/>
  <c r="O26" i="11"/>
  <c r="P26" i="11"/>
  <c r="Q26" i="11"/>
  <c r="R26" i="11"/>
  <c r="AA26" i="11"/>
  <c r="AB26" i="11"/>
  <c r="AA27" i="11"/>
  <c r="AB27" i="11"/>
  <c r="AA28" i="11"/>
  <c r="AB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AA29" i="11"/>
  <c r="AB29" i="11"/>
  <c r="AA30" i="11"/>
  <c r="AB30" i="11"/>
  <c r="AA31" i="11"/>
  <c r="AB31" i="11"/>
  <c r="AA32" i="11"/>
  <c r="AB32" i="11"/>
  <c r="AA33" i="11"/>
  <c r="AB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AA34" i="11"/>
  <c r="AB34" i="11"/>
  <c r="AA35" i="11"/>
  <c r="AB35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AA36" i="11"/>
  <c r="AB36" i="11"/>
  <c r="AA37" i="11"/>
  <c r="AB37" i="11"/>
  <c r="AA38" i="11"/>
  <c r="AB38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AA39" i="11"/>
  <c r="AB39" i="11"/>
  <c r="AA40" i="11"/>
  <c r="AB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AA41" i="11"/>
  <c r="AB41" i="11"/>
  <c r="AA42" i="11"/>
  <c r="AB42" i="11"/>
  <c r="AA43" i="11"/>
  <c r="AB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AA44" i="11"/>
  <c r="AB44" i="11"/>
  <c r="AA45" i="11"/>
  <c r="AB45" i="11"/>
  <c r="AA46" i="11"/>
  <c r="AB46" i="11"/>
  <c r="AA47" i="11"/>
  <c r="AB47" i="11"/>
  <c r="AA48" i="11"/>
  <c r="AB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AA49" i="11"/>
  <c r="AB49" i="11"/>
  <c r="AA50" i="11"/>
  <c r="AB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AA51" i="11"/>
  <c r="AB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AA52" i="11"/>
  <c r="AB52" i="11"/>
  <c r="AA53" i="11"/>
  <c r="AB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AA54" i="11"/>
  <c r="AB54" i="11"/>
  <c r="AA55" i="11"/>
  <c r="AB55" i="11"/>
  <c r="AA56" i="11"/>
  <c r="AB56" i="11"/>
  <c r="AA57" i="11"/>
  <c r="AB57" i="11"/>
  <c r="AA58" i="11"/>
  <c r="AB58" i="11"/>
  <c r="AA59" i="11"/>
  <c r="AB59" i="11"/>
  <c r="AA60" i="11"/>
  <c r="AB60" i="11"/>
  <c r="AA61" i="11"/>
  <c r="AB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AA62" i="11"/>
  <c r="AB62" i="11"/>
  <c r="AA63" i="11"/>
  <c r="AB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AA64" i="11"/>
  <c r="AB64" i="11"/>
  <c r="AA65" i="11"/>
  <c r="AB65" i="11"/>
  <c r="AA66" i="11"/>
  <c r="AB66" i="11"/>
  <c r="AA67" i="11"/>
  <c r="AB67" i="11"/>
  <c r="AA68" i="11"/>
  <c r="AB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AA69" i="11"/>
  <c r="AB69" i="11"/>
  <c r="AA70" i="11"/>
  <c r="AB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AA71" i="11"/>
  <c r="AB71" i="11"/>
  <c r="AA72" i="11"/>
  <c r="AB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AA73" i="11"/>
  <c r="AB73" i="11"/>
  <c r="AA74" i="11"/>
  <c r="AB74" i="11"/>
  <c r="AA75" i="11"/>
  <c r="AB75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AA76" i="11"/>
  <c r="AB76" i="11"/>
  <c r="C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AA77" i="11"/>
  <c r="AB77" i="11"/>
  <c r="AA78" i="11"/>
  <c r="AB78" i="11"/>
  <c r="AA79" i="11"/>
  <c r="AB79" i="11"/>
  <c r="AA80" i="11"/>
  <c r="AB80" i="11"/>
  <c r="AA81" i="11"/>
  <c r="AB81" i="11"/>
  <c r="AA82" i="11"/>
  <c r="AB82" i="11"/>
  <c r="AA83" i="11"/>
  <c r="AB83" i="11"/>
  <c r="AA84" i="11"/>
  <c r="AB84" i="11"/>
  <c r="AA85" i="11"/>
  <c r="AB85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AA86" i="11"/>
  <c r="AB86" i="11"/>
  <c r="AA87" i="11"/>
  <c r="AB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AA88" i="11"/>
  <c r="AB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AA89" i="11"/>
  <c r="AB89" i="11"/>
  <c r="W90" i="11"/>
  <c r="AA90" i="11"/>
  <c r="AB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AA91" i="11"/>
  <c r="AB91" i="11"/>
  <c r="AA92" i="11"/>
  <c r="AB92" i="11"/>
  <c r="AA93" i="11"/>
  <c r="AB93" i="11"/>
  <c r="E94" i="11"/>
  <c r="Y94" i="11"/>
  <c r="AA94" i="11"/>
  <c r="AB94" i="11"/>
  <c r="AA95" i="11"/>
  <c r="AB95" i="11"/>
  <c r="Y96" i="11"/>
  <c r="AA96" i="11"/>
  <c r="AB96" i="11"/>
  <c r="AA97" i="11"/>
  <c r="AB97" i="11"/>
  <c r="Y98" i="11"/>
  <c r="AA98" i="11"/>
  <c r="AB98" i="11"/>
  <c r="AA99" i="11"/>
  <c r="AB99" i="11"/>
  <c r="AA100" i="11"/>
  <c r="AB100" i="11"/>
  <c r="D101" i="11"/>
  <c r="AA101" i="11"/>
  <c r="AB101" i="11"/>
  <c r="D102" i="11"/>
  <c r="AA102" i="11"/>
  <c r="AB102" i="11"/>
  <c r="AA103" i="11"/>
  <c r="AB103" i="11"/>
  <c r="D104" i="11"/>
  <c r="AA104" i="11"/>
  <c r="AB104" i="11"/>
  <c r="AA105" i="11"/>
  <c r="AB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AA106" i="11"/>
  <c r="AB106" i="11"/>
  <c r="AA107" i="11"/>
  <c r="AB107" i="11"/>
  <c r="D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AA108" i="11"/>
  <c r="AB108" i="11"/>
  <c r="D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AA109" i="11"/>
  <c r="AB109" i="11"/>
  <c r="AA110" i="11"/>
  <c r="AB110" i="11"/>
  <c r="AA111" i="11"/>
  <c r="AB111" i="11"/>
  <c r="D112" i="11"/>
  <c r="AA112" i="11"/>
  <c r="AB112" i="11"/>
  <c r="AA113" i="11"/>
  <c r="AB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AA114" i="11"/>
  <c r="AB114" i="11"/>
  <c r="D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AA115" i="11"/>
  <c r="AB115" i="11"/>
  <c r="AA116" i="11"/>
  <c r="AB116" i="11"/>
  <c r="AA117" i="11"/>
  <c r="AB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AA118" i="11"/>
  <c r="AB118" i="11"/>
  <c r="AA119" i="11"/>
  <c r="AB119" i="11"/>
  <c r="A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AA120" i="11"/>
  <c r="AB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AA121" i="11"/>
  <c r="AB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AA122" i="11"/>
  <c r="AB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AA123" i="11"/>
  <c r="AB123" i="11"/>
  <c r="AA124" i="11"/>
  <c r="AB124" i="11"/>
  <c r="C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AA125" i="11"/>
  <c r="AB125" i="11"/>
  <c r="C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AA126" i="11"/>
  <c r="AB126" i="11"/>
  <c r="AA127" i="11"/>
  <c r="AB127" i="11"/>
  <c r="AA128" i="11"/>
  <c r="AB128" i="11"/>
  <c r="AA129" i="11"/>
  <c r="AB129" i="11"/>
  <c r="AA130" i="11"/>
  <c r="AB130" i="11"/>
  <c r="AA131" i="11"/>
  <c r="AB131" i="11"/>
  <c r="AA132" i="11"/>
  <c r="AB132" i="11"/>
  <c r="AA133" i="11"/>
  <c r="AB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AA134" i="11"/>
  <c r="AB134" i="11"/>
  <c r="AA135" i="11"/>
  <c r="AB135" i="11"/>
  <c r="AA136" i="11"/>
  <c r="AB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AA137" i="11"/>
  <c r="AB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AA138" i="11"/>
  <c r="AB138" i="11"/>
  <c r="C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AA139" i="11"/>
  <c r="AB139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AA140" i="11"/>
  <c r="AB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AA141" i="11"/>
  <c r="AB141" i="11"/>
  <c r="AA142" i="11"/>
  <c r="AB142" i="11"/>
  <c r="A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AA143" i="11"/>
  <c r="AB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AA144" i="11"/>
  <c r="AB144" i="11"/>
  <c r="AA145" i="11"/>
  <c r="AB145" i="11"/>
  <c r="AA146" i="11"/>
  <c r="AB146" i="11"/>
  <c r="AA147" i="11"/>
  <c r="AB147" i="11"/>
  <c r="AA148" i="11"/>
  <c r="AB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AA149" i="11"/>
  <c r="AB149" i="11"/>
  <c r="AA150" i="11"/>
  <c r="AB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AA151" i="11"/>
  <c r="AB151" i="11"/>
  <c r="C154" i="11"/>
  <c r="D159" i="11"/>
  <c r="F160" i="11"/>
  <c r="D161" i="11"/>
  <c r="D162" i="11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E10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AA10" i="39"/>
  <c r="AB10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AA11" i="39"/>
  <c r="AB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AA12" i="39"/>
  <c r="AB12" i="39"/>
  <c r="AA13" i="39"/>
  <c r="AB13" i="39"/>
  <c r="AA14" i="39"/>
  <c r="AB14" i="39"/>
  <c r="AA15" i="39"/>
  <c r="AB15" i="39"/>
  <c r="AA16" i="39"/>
  <c r="AB16" i="39"/>
  <c r="AA17" i="39"/>
  <c r="AB17" i="39"/>
  <c r="AA18" i="39"/>
  <c r="AB18" i="39"/>
  <c r="AA19" i="39"/>
  <c r="AB19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AA20" i="39"/>
  <c r="AB20" i="39"/>
  <c r="AA21" i="39"/>
  <c r="AB21" i="39"/>
  <c r="AA22" i="39"/>
  <c r="AB22" i="39"/>
  <c r="AA23" i="39"/>
  <c r="AB23" i="39"/>
  <c r="AA24" i="39"/>
  <c r="AB24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AA25" i="39"/>
  <c r="AB25" i="39"/>
  <c r="AA26" i="39"/>
  <c r="AB26" i="39"/>
  <c r="AA27" i="39"/>
  <c r="AB27" i="39"/>
  <c r="AA28" i="39"/>
  <c r="AB28" i="39"/>
  <c r="AA29" i="39"/>
  <c r="AB29" i="39"/>
  <c r="AA30" i="39"/>
  <c r="AB30" i="39"/>
  <c r="AA31" i="39"/>
  <c r="AB31" i="39"/>
  <c r="AA32" i="39"/>
  <c r="AB32" i="39"/>
  <c r="AA33" i="39"/>
  <c r="AB33" i="39"/>
  <c r="AA34" i="39"/>
  <c r="AB34" i="39"/>
  <c r="AA35" i="39"/>
  <c r="AB35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AA36" i="39"/>
  <c r="AB36" i="39"/>
  <c r="AA37" i="39"/>
  <c r="AB37" i="39"/>
  <c r="AA38" i="39"/>
  <c r="AB38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AA39" i="39"/>
  <c r="AB39" i="39"/>
  <c r="AA40" i="39"/>
  <c r="AB40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AA41" i="39"/>
  <c r="AB41" i="39"/>
  <c r="AA42" i="39"/>
  <c r="AB42" i="39"/>
  <c r="AA43" i="39"/>
  <c r="AB43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AA44" i="39"/>
  <c r="AB44" i="39"/>
  <c r="AA45" i="39"/>
  <c r="AB45" i="39"/>
  <c r="AA46" i="39"/>
  <c r="AB46" i="39"/>
  <c r="AA47" i="39"/>
  <c r="AB47" i="39"/>
  <c r="AA48" i="39"/>
  <c r="AB48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AA49" i="39"/>
  <c r="AB49" i="39"/>
  <c r="AA50" i="39"/>
  <c r="AB50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V51" i="39"/>
  <c r="W51" i="39"/>
  <c r="X51" i="39"/>
  <c r="Y51" i="39"/>
  <c r="AA51" i="39"/>
  <c r="AB51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AA52" i="39"/>
  <c r="AB52" i="39"/>
  <c r="AA53" i="39"/>
  <c r="AB53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AA54" i="39"/>
  <c r="AB54" i="39"/>
  <c r="AA55" i="39"/>
  <c r="AB55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AA56" i="39"/>
  <c r="AB56" i="39"/>
  <c r="AA57" i="39"/>
  <c r="AB57" i="39"/>
  <c r="AA58" i="39"/>
  <c r="AB58" i="39"/>
  <c r="AA59" i="39"/>
  <c r="AB59" i="39"/>
  <c r="AA60" i="39"/>
  <c r="AB60" i="39"/>
  <c r="AA61" i="39"/>
  <c r="AB61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AA62" i="39"/>
  <c r="AB62" i="39"/>
  <c r="AA63" i="39"/>
  <c r="AB63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AA64" i="39"/>
  <c r="AB64" i="39"/>
  <c r="AA65" i="39"/>
  <c r="AB65" i="39"/>
  <c r="AA66" i="39"/>
  <c r="AB66" i="39"/>
  <c r="AA67" i="39"/>
  <c r="AB67" i="39"/>
  <c r="AA68" i="39"/>
  <c r="AB68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AA69" i="39"/>
  <c r="AB69" i="39"/>
  <c r="AA70" i="39"/>
  <c r="AB70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AA71" i="39"/>
  <c r="AB71" i="39"/>
  <c r="AA72" i="39"/>
  <c r="AB72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AA73" i="39"/>
  <c r="AB73" i="39"/>
  <c r="AA74" i="39"/>
  <c r="AB74" i="39"/>
  <c r="AA75" i="39"/>
  <c r="AB75" i="39"/>
  <c r="C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AA76" i="39"/>
  <c r="AB76" i="39"/>
  <c r="C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AA77" i="39"/>
  <c r="AB77" i="39"/>
  <c r="AA78" i="39"/>
  <c r="AB78" i="39"/>
  <c r="AA79" i="39"/>
  <c r="AB79" i="39"/>
  <c r="AA80" i="39"/>
  <c r="AB80" i="39"/>
  <c r="AA81" i="39"/>
  <c r="AB81" i="39"/>
  <c r="AA82" i="39"/>
  <c r="AB82" i="39"/>
  <c r="AA83" i="39"/>
  <c r="AB83" i="39"/>
  <c r="AA84" i="39"/>
  <c r="AB84" i="39"/>
  <c r="AA85" i="39"/>
  <c r="AB85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AA86" i="39"/>
  <c r="AB86" i="39"/>
  <c r="AA87" i="39"/>
  <c r="AB87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AA88" i="39"/>
  <c r="AB88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V89" i="39"/>
  <c r="W89" i="39"/>
  <c r="X89" i="39"/>
  <c r="Y89" i="39"/>
  <c r="AA89" i="39"/>
  <c r="AB89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AA90" i="39"/>
  <c r="AB90" i="39"/>
  <c r="X91" i="39"/>
  <c r="AA91" i="39"/>
  <c r="AB91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AA92" i="39"/>
  <c r="AB92" i="39"/>
  <c r="AA93" i="39"/>
  <c r="AB93" i="39"/>
  <c r="AA94" i="39"/>
  <c r="AB94" i="39"/>
  <c r="E95" i="39"/>
  <c r="Y95" i="39"/>
  <c r="AA95" i="39"/>
  <c r="AB95" i="39"/>
  <c r="AA96" i="39"/>
  <c r="AB96" i="39"/>
  <c r="Y97" i="39"/>
  <c r="AA97" i="39"/>
  <c r="AB97" i="39"/>
  <c r="AA98" i="39"/>
  <c r="AB98" i="39"/>
  <c r="Y99" i="39"/>
  <c r="AA99" i="39"/>
  <c r="AB99" i="39"/>
  <c r="AA100" i="39"/>
  <c r="AB100" i="39"/>
  <c r="AA101" i="39"/>
  <c r="AB101" i="39"/>
  <c r="D102" i="39"/>
  <c r="AA102" i="39"/>
  <c r="AB102" i="39"/>
  <c r="D103" i="39"/>
  <c r="AA103" i="39"/>
  <c r="AB103" i="39"/>
  <c r="AA104" i="39"/>
  <c r="AB104" i="39"/>
  <c r="D105" i="39"/>
  <c r="AA105" i="39"/>
  <c r="AB105" i="39"/>
  <c r="AA106" i="39"/>
  <c r="AB106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V107" i="39"/>
  <c r="W107" i="39"/>
  <c r="X107" i="39"/>
  <c r="Y107" i="39"/>
  <c r="AA107" i="39"/>
  <c r="AB107" i="39"/>
  <c r="AA108" i="39"/>
  <c r="AB108" i="39"/>
  <c r="D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V109" i="39"/>
  <c r="W109" i="39"/>
  <c r="X109" i="39"/>
  <c r="AA109" i="39"/>
  <c r="AB109" i="39"/>
  <c r="D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V110" i="39"/>
  <c r="W110" i="39"/>
  <c r="X110" i="39"/>
  <c r="AA110" i="39"/>
  <c r="AB110" i="39"/>
  <c r="AA111" i="39"/>
  <c r="AB111" i="39"/>
  <c r="AA112" i="39"/>
  <c r="AB112" i="39"/>
  <c r="D113" i="39"/>
  <c r="AA113" i="39"/>
  <c r="AB113" i="39"/>
  <c r="AA114" i="39"/>
  <c r="AB114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V115" i="39"/>
  <c r="W115" i="39"/>
  <c r="X115" i="39"/>
  <c r="AA115" i="39"/>
  <c r="AB115" i="39"/>
  <c r="D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V116" i="39"/>
  <c r="W116" i="39"/>
  <c r="X116" i="39"/>
  <c r="AA116" i="39"/>
  <c r="AB116" i="39"/>
  <c r="AA117" i="39"/>
  <c r="AB117" i="39"/>
  <c r="AA118" i="39"/>
  <c r="AB118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V119" i="39"/>
  <c r="W119" i="39"/>
  <c r="X119" i="39"/>
  <c r="Y119" i="39"/>
  <c r="AA119" i="39"/>
  <c r="AB119" i="39"/>
  <c r="AA120" i="39"/>
  <c r="AB120" i="39"/>
  <c r="A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V121" i="39"/>
  <c r="W121" i="39"/>
  <c r="X121" i="39"/>
  <c r="Y121" i="39"/>
  <c r="AA121" i="39"/>
  <c r="AB121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V122" i="39"/>
  <c r="W122" i="39"/>
  <c r="X122" i="39"/>
  <c r="Y122" i="39"/>
  <c r="AA122" i="39"/>
  <c r="AB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3" i="39"/>
  <c r="AB123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V124" i="39"/>
  <c r="W124" i="39"/>
  <c r="X124" i="39"/>
  <c r="Y124" i="39"/>
  <c r="AA124" i="39"/>
  <c r="AB124" i="39"/>
  <c r="AA125" i="39"/>
  <c r="AB125" i="39"/>
  <c r="C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V126" i="39"/>
  <c r="W126" i="39"/>
  <c r="X126" i="39"/>
  <c r="Y126" i="39"/>
  <c r="AA126" i="39"/>
  <c r="AB126" i="39"/>
  <c r="C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V127" i="39"/>
  <c r="W127" i="39"/>
  <c r="X127" i="39"/>
  <c r="Y127" i="39"/>
  <c r="AA127" i="39"/>
  <c r="AB127" i="39"/>
  <c r="AA128" i="39"/>
  <c r="AB128" i="39"/>
  <c r="AA129" i="39"/>
  <c r="AB129" i="39"/>
  <c r="AA130" i="39"/>
  <c r="AB130" i="39"/>
  <c r="AA131" i="39"/>
  <c r="AB131" i="39"/>
  <c r="AA132" i="39"/>
  <c r="AB132" i="39"/>
  <c r="AA133" i="39"/>
  <c r="AB133" i="39"/>
  <c r="AA134" i="39"/>
  <c r="AB134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V135" i="39"/>
  <c r="W135" i="39"/>
  <c r="X135" i="39"/>
  <c r="Y135" i="39"/>
  <c r="AA135" i="39"/>
  <c r="AB135" i="39"/>
  <c r="AA136" i="39"/>
  <c r="AB136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V137" i="39"/>
  <c r="W137" i="39"/>
  <c r="X137" i="39"/>
  <c r="Y137" i="39"/>
  <c r="AA137" i="39"/>
  <c r="AB137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V138" i="39"/>
  <c r="W138" i="39"/>
  <c r="X138" i="39"/>
  <c r="Y138" i="39"/>
  <c r="AA138" i="39"/>
  <c r="AB138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V139" i="39"/>
  <c r="W139" i="39"/>
  <c r="X139" i="39"/>
  <c r="Y139" i="39"/>
  <c r="AA139" i="39"/>
  <c r="AB139" i="39"/>
  <c r="C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V140" i="39"/>
  <c r="W140" i="39"/>
  <c r="X140" i="39"/>
  <c r="Y140" i="39"/>
  <c r="AA140" i="39"/>
  <c r="AB140" i="39"/>
  <c r="C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V141" i="39"/>
  <c r="W141" i="39"/>
  <c r="X141" i="39"/>
  <c r="Y141" i="39"/>
  <c r="AA141" i="39"/>
  <c r="AB141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V142" i="39"/>
  <c r="W142" i="39"/>
  <c r="X142" i="39"/>
  <c r="Y142" i="39"/>
  <c r="AA142" i="39"/>
  <c r="AB142" i="39"/>
  <c r="AA143" i="39"/>
  <c r="AB143" i="39"/>
  <c r="A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V144" i="39"/>
  <c r="W144" i="39"/>
  <c r="X144" i="39"/>
  <c r="Y144" i="39"/>
  <c r="AA144" i="39"/>
  <c r="AB144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V145" i="39"/>
  <c r="W145" i="39"/>
  <c r="X145" i="39"/>
  <c r="Y145" i="39"/>
  <c r="AA145" i="39"/>
  <c r="AB145" i="39"/>
  <c r="AA146" i="39"/>
  <c r="AB146" i="39"/>
  <c r="AA147" i="39"/>
  <c r="AB147" i="39"/>
  <c r="AA148" i="39"/>
  <c r="AB148" i="39"/>
  <c r="AA149" i="39"/>
  <c r="AB149" i="39"/>
  <c r="A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V150" i="39"/>
  <c r="W150" i="39"/>
  <c r="X150" i="39"/>
  <c r="Y150" i="39"/>
  <c r="AA150" i="39"/>
  <c r="AB150" i="39"/>
  <c r="AA151" i="39"/>
  <c r="AB151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V152" i="39"/>
  <c r="W152" i="39"/>
  <c r="X152" i="39"/>
  <c r="Y152" i="39"/>
  <c r="AA152" i="39"/>
  <c r="C155" i="39"/>
  <c r="C156" i="39"/>
  <c r="D160" i="39"/>
  <c r="D162" i="39"/>
  <c r="D163" i="39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AA10" i="40"/>
  <c r="AB10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AA11" i="40"/>
  <c r="AB11" i="40"/>
  <c r="AA12" i="40"/>
  <c r="AB12" i="40"/>
  <c r="AA13" i="40"/>
  <c r="AB13" i="40"/>
  <c r="AA14" i="40"/>
  <c r="AB14" i="40"/>
  <c r="AA15" i="40"/>
  <c r="AB15" i="40"/>
  <c r="AA16" i="40"/>
  <c r="AB16" i="40"/>
  <c r="AA17" i="40"/>
  <c r="AB17" i="40"/>
  <c r="AA18" i="40"/>
  <c r="AB18" i="40"/>
  <c r="AA19" i="40"/>
  <c r="AB19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AA20" i="40"/>
  <c r="AB20" i="40"/>
  <c r="AA21" i="40"/>
  <c r="AB21" i="40"/>
  <c r="AA22" i="40"/>
  <c r="AB22" i="40"/>
  <c r="AA23" i="40"/>
  <c r="AB23" i="40"/>
  <c r="AA24" i="40"/>
  <c r="AB24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AA25" i="40"/>
  <c r="AB25" i="40"/>
  <c r="AA26" i="40"/>
  <c r="AB26" i="40"/>
  <c r="AA27" i="40"/>
  <c r="AB27" i="40"/>
  <c r="AA28" i="40"/>
  <c r="AB28" i="40"/>
  <c r="AA29" i="40"/>
  <c r="AB29" i="40"/>
  <c r="AA30" i="40"/>
  <c r="AB30" i="40"/>
  <c r="AA31" i="40"/>
  <c r="AB31" i="40"/>
  <c r="AA32" i="40"/>
  <c r="AB32" i="40"/>
  <c r="AA33" i="40"/>
  <c r="AB33" i="40"/>
  <c r="AA34" i="40"/>
  <c r="AB34" i="40"/>
  <c r="AA35" i="40"/>
  <c r="AB35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X36" i="40"/>
  <c r="Y36" i="40"/>
  <c r="AA36" i="40"/>
  <c r="AB36" i="40"/>
  <c r="AA37" i="40"/>
  <c r="AB37" i="40"/>
  <c r="AA38" i="40"/>
  <c r="AB38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AA39" i="40"/>
  <c r="AB39" i="40"/>
  <c r="AA40" i="40"/>
  <c r="AB40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AA41" i="40"/>
  <c r="AB41" i="40"/>
  <c r="AA42" i="40"/>
  <c r="AB42" i="40"/>
  <c r="AA43" i="40"/>
  <c r="AB43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AA44" i="40"/>
  <c r="AB44" i="40"/>
  <c r="AA45" i="40"/>
  <c r="AB45" i="40"/>
  <c r="AA46" i="40"/>
  <c r="AB46" i="40"/>
  <c r="AA47" i="40"/>
  <c r="AB47" i="40"/>
  <c r="AA48" i="40"/>
  <c r="AB48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AA49" i="40"/>
  <c r="AB49" i="40"/>
  <c r="AA50" i="40"/>
  <c r="AB50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AA51" i="40"/>
  <c r="AB51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AA52" i="40"/>
  <c r="AB52" i="40"/>
  <c r="AA53" i="40"/>
  <c r="AB53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X54" i="40"/>
  <c r="Y54" i="40"/>
  <c r="AA54" i="40"/>
  <c r="AB54" i="40"/>
  <c r="AA55" i="40"/>
  <c r="AB55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AA56" i="40"/>
  <c r="AB56" i="40"/>
  <c r="AA57" i="40"/>
  <c r="AB57" i="40"/>
  <c r="AA58" i="40"/>
  <c r="AB58" i="40"/>
  <c r="AA59" i="40"/>
  <c r="AB59" i="40"/>
  <c r="AA60" i="40"/>
  <c r="AB60" i="40"/>
  <c r="AA61" i="40"/>
  <c r="AB61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AA62" i="40"/>
  <c r="AB62" i="40"/>
  <c r="AA63" i="40"/>
  <c r="AB63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AA64" i="40"/>
  <c r="AB64" i="40"/>
  <c r="AA65" i="40"/>
  <c r="AB65" i="40"/>
  <c r="AA66" i="40"/>
  <c r="AB66" i="40"/>
  <c r="AA67" i="40"/>
  <c r="AB67" i="40"/>
  <c r="AA68" i="40"/>
  <c r="AB68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X69" i="40"/>
  <c r="Y69" i="40"/>
  <c r="AA69" i="40"/>
  <c r="AB69" i="40"/>
  <c r="AA70" i="40"/>
  <c r="AB70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X71" i="40"/>
  <c r="Y71" i="40"/>
  <c r="AA71" i="40"/>
  <c r="AB71" i="40"/>
  <c r="AA72" i="40"/>
  <c r="AB72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X73" i="40"/>
  <c r="Y73" i="40"/>
  <c r="AA73" i="40"/>
  <c r="AB73" i="40"/>
  <c r="AA74" i="40"/>
  <c r="AB74" i="40"/>
  <c r="AA75" i="40"/>
  <c r="AB75" i="40"/>
  <c r="C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X76" i="40"/>
  <c r="Y76" i="40"/>
  <c r="AA76" i="40"/>
  <c r="AB76" i="40"/>
  <c r="C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X77" i="40"/>
  <c r="Y77" i="40"/>
  <c r="AA77" i="40"/>
  <c r="AB77" i="40"/>
  <c r="AA78" i="40"/>
  <c r="AB78" i="40"/>
  <c r="AA79" i="40"/>
  <c r="AB79" i="40"/>
  <c r="AA80" i="40"/>
  <c r="AB80" i="40"/>
  <c r="AA81" i="40"/>
  <c r="AB81" i="40"/>
  <c r="AA82" i="40"/>
  <c r="AB82" i="40"/>
  <c r="AA83" i="40"/>
  <c r="AB83" i="40"/>
  <c r="AA84" i="40"/>
  <c r="AB84" i="40"/>
  <c r="AA85" i="40"/>
  <c r="AB85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R86" i="40"/>
  <c r="S86" i="40"/>
  <c r="T86" i="40"/>
  <c r="U86" i="40"/>
  <c r="V86" i="40"/>
  <c r="W86" i="40"/>
  <c r="X86" i="40"/>
  <c r="Y86" i="40"/>
  <c r="AA86" i="40"/>
  <c r="AB86" i="40"/>
  <c r="AA87" i="40"/>
  <c r="AB87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X88" i="40"/>
  <c r="Y88" i="40"/>
  <c r="AA88" i="40"/>
  <c r="AB88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R89" i="40"/>
  <c r="S89" i="40"/>
  <c r="T89" i="40"/>
  <c r="U89" i="40"/>
  <c r="V89" i="40"/>
  <c r="W89" i="40"/>
  <c r="X89" i="40"/>
  <c r="Y89" i="40"/>
  <c r="AA89" i="40"/>
  <c r="AB89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R90" i="40"/>
  <c r="S90" i="40"/>
  <c r="T90" i="40"/>
  <c r="U90" i="40"/>
  <c r="V90" i="40"/>
  <c r="W90" i="40"/>
  <c r="X90" i="40"/>
  <c r="Y90" i="40"/>
  <c r="AA90" i="40"/>
  <c r="AB90" i="40"/>
  <c r="U91" i="40"/>
  <c r="AA91" i="40"/>
  <c r="AB91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R92" i="40"/>
  <c r="S92" i="40"/>
  <c r="T92" i="40"/>
  <c r="U92" i="40"/>
  <c r="V92" i="40"/>
  <c r="W92" i="40"/>
  <c r="X92" i="40"/>
  <c r="Y92" i="40"/>
  <c r="AA92" i="40"/>
  <c r="AB92" i="40"/>
  <c r="AA93" i="40"/>
  <c r="AB93" i="40"/>
  <c r="AA94" i="40"/>
  <c r="AB94" i="40"/>
  <c r="E95" i="40"/>
  <c r="Y95" i="40"/>
  <c r="AA95" i="40"/>
  <c r="AB95" i="40"/>
  <c r="AA96" i="40"/>
  <c r="AB96" i="40"/>
  <c r="Y97" i="40"/>
  <c r="AA97" i="40"/>
  <c r="AB97" i="40"/>
  <c r="AA98" i="40"/>
  <c r="AB98" i="40"/>
  <c r="Y99" i="40"/>
  <c r="AA99" i="40"/>
  <c r="AB99" i="40"/>
  <c r="AA100" i="40"/>
  <c r="AB100" i="40"/>
  <c r="AA101" i="40"/>
  <c r="AB101" i="40"/>
  <c r="D102" i="40"/>
  <c r="AA102" i="40"/>
  <c r="AB102" i="40"/>
  <c r="D103" i="40"/>
  <c r="AA103" i="40"/>
  <c r="AB103" i="40"/>
  <c r="AA104" i="40"/>
  <c r="AB104" i="40"/>
  <c r="D105" i="40"/>
  <c r="AA105" i="40"/>
  <c r="AB105" i="40"/>
  <c r="AA106" i="40"/>
  <c r="AB106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R107" i="40"/>
  <c r="S107" i="40"/>
  <c r="T107" i="40"/>
  <c r="U107" i="40"/>
  <c r="V107" i="40"/>
  <c r="W107" i="40"/>
  <c r="X107" i="40"/>
  <c r="Y107" i="40"/>
  <c r="AA107" i="40"/>
  <c r="AB107" i="40"/>
  <c r="AA108" i="40"/>
  <c r="AB108" i="40"/>
  <c r="D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R109" i="40"/>
  <c r="S109" i="40"/>
  <c r="T109" i="40"/>
  <c r="U109" i="40"/>
  <c r="AA109" i="40"/>
  <c r="AB109" i="40"/>
  <c r="D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R110" i="40"/>
  <c r="S110" i="40"/>
  <c r="T110" i="40"/>
  <c r="U110" i="40"/>
  <c r="AA110" i="40"/>
  <c r="AB110" i="40"/>
  <c r="AA111" i="40"/>
  <c r="AB111" i="40"/>
  <c r="AA112" i="40"/>
  <c r="AB112" i="40"/>
  <c r="D113" i="40"/>
  <c r="AA113" i="40"/>
  <c r="AB113" i="40"/>
  <c r="AA114" i="40"/>
  <c r="AB114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R115" i="40"/>
  <c r="S115" i="40"/>
  <c r="T115" i="40"/>
  <c r="U115" i="40"/>
  <c r="AA115" i="40"/>
  <c r="AB115" i="40"/>
  <c r="D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R116" i="40"/>
  <c r="S116" i="40"/>
  <c r="T116" i="40"/>
  <c r="U116" i="40"/>
  <c r="AA116" i="40"/>
  <c r="AB116" i="40"/>
  <c r="AA117" i="40"/>
  <c r="AB117" i="40"/>
  <c r="AA118" i="40"/>
  <c r="AB118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R119" i="40"/>
  <c r="S119" i="40"/>
  <c r="T119" i="40"/>
  <c r="U119" i="40"/>
  <c r="V119" i="40"/>
  <c r="W119" i="40"/>
  <c r="X119" i="40"/>
  <c r="Y119" i="40"/>
  <c r="AA119" i="40"/>
  <c r="AB119" i="40"/>
  <c r="AA120" i="40"/>
  <c r="AB120" i="40"/>
  <c r="A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R121" i="40"/>
  <c r="S121" i="40"/>
  <c r="T121" i="40"/>
  <c r="U121" i="40"/>
  <c r="V121" i="40"/>
  <c r="W121" i="40"/>
  <c r="X121" i="40"/>
  <c r="Y121" i="40"/>
  <c r="AA121" i="40"/>
  <c r="AB121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R122" i="40"/>
  <c r="S122" i="40"/>
  <c r="T122" i="40"/>
  <c r="U122" i="40"/>
  <c r="V122" i="40"/>
  <c r="W122" i="40"/>
  <c r="X122" i="40"/>
  <c r="Y122" i="40"/>
  <c r="AA122" i="40"/>
  <c r="AB122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3" i="40"/>
  <c r="AB123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R124" i="40"/>
  <c r="S124" i="40"/>
  <c r="T124" i="40"/>
  <c r="U124" i="40"/>
  <c r="V124" i="40"/>
  <c r="W124" i="40"/>
  <c r="X124" i="40"/>
  <c r="Y124" i="40"/>
  <c r="AA124" i="40"/>
  <c r="AB124" i="40"/>
  <c r="AA125" i="40"/>
  <c r="AB125" i="40"/>
  <c r="C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R126" i="40"/>
  <c r="S126" i="40"/>
  <c r="T126" i="40"/>
  <c r="U126" i="40"/>
  <c r="V126" i="40"/>
  <c r="W126" i="40"/>
  <c r="X126" i="40"/>
  <c r="Y126" i="40"/>
  <c r="AA126" i="40"/>
  <c r="AB126" i="40"/>
  <c r="C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R127" i="40"/>
  <c r="S127" i="40"/>
  <c r="T127" i="40"/>
  <c r="U127" i="40"/>
  <c r="V127" i="40"/>
  <c r="W127" i="40"/>
  <c r="X127" i="40"/>
  <c r="Y127" i="40"/>
  <c r="AA127" i="40"/>
  <c r="AB127" i="40"/>
  <c r="AA128" i="40"/>
  <c r="AB128" i="40"/>
  <c r="AA129" i="40"/>
  <c r="AB129" i="40"/>
  <c r="AA130" i="40"/>
  <c r="AB130" i="40"/>
  <c r="AA131" i="40"/>
  <c r="AB131" i="40"/>
  <c r="AA132" i="40"/>
  <c r="AB132" i="40"/>
  <c r="AA133" i="40"/>
  <c r="AB133" i="40"/>
  <c r="AA134" i="40"/>
  <c r="AB134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R135" i="40"/>
  <c r="S135" i="40"/>
  <c r="T135" i="40"/>
  <c r="U135" i="40"/>
  <c r="V135" i="40"/>
  <c r="W135" i="40"/>
  <c r="X135" i="40"/>
  <c r="Y135" i="40"/>
  <c r="AA135" i="40"/>
  <c r="AB135" i="40"/>
  <c r="AA136" i="40"/>
  <c r="AB136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R137" i="40"/>
  <c r="S137" i="40"/>
  <c r="T137" i="40"/>
  <c r="U137" i="40"/>
  <c r="V137" i="40"/>
  <c r="W137" i="40"/>
  <c r="X137" i="40"/>
  <c r="Y137" i="40"/>
  <c r="AA137" i="40"/>
  <c r="AB137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R138" i="40"/>
  <c r="S138" i="40"/>
  <c r="T138" i="40"/>
  <c r="U138" i="40"/>
  <c r="V138" i="40"/>
  <c r="W138" i="40"/>
  <c r="X138" i="40"/>
  <c r="Y138" i="40"/>
  <c r="AA138" i="40"/>
  <c r="AB138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R139" i="40"/>
  <c r="S139" i="40"/>
  <c r="T139" i="40"/>
  <c r="U139" i="40"/>
  <c r="V139" i="40"/>
  <c r="W139" i="40"/>
  <c r="X139" i="40"/>
  <c r="Y139" i="40"/>
  <c r="AA139" i="40"/>
  <c r="AB139" i="40"/>
  <c r="C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R140" i="40"/>
  <c r="S140" i="40"/>
  <c r="T140" i="40"/>
  <c r="U140" i="40"/>
  <c r="V140" i="40"/>
  <c r="W140" i="40"/>
  <c r="X140" i="40"/>
  <c r="Y140" i="40"/>
  <c r="AA140" i="40"/>
  <c r="AB140" i="40"/>
  <c r="C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R141" i="40"/>
  <c r="S141" i="40"/>
  <c r="T141" i="40"/>
  <c r="U141" i="40"/>
  <c r="V141" i="40"/>
  <c r="W141" i="40"/>
  <c r="X141" i="40"/>
  <c r="Y141" i="40"/>
  <c r="AA141" i="40"/>
  <c r="AB141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R142" i="40"/>
  <c r="S142" i="40"/>
  <c r="T142" i="40"/>
  <c r="U142" i="40"/>
  <c r="V142" i="40"/>
  <c r="W142" i="40"/>
  <c r="X142" i="40"/>
  <c r="Y142" i="40"/>
  <c r="AA142" i="40"/>
  <c r="AB142" i="40"/>
  <c r="AA143" i="40"/>
  <c r="AB143" i="40"/>
  <c r="A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R144" i="40"/>
  <c r="S144" i="40"/>
  <c r="T144" i="40"/>
  <c r="U144" i="40"/>
  <c r="V144" i="40"/>
  <c r="W144" i="40"/>
  <c r="X144" i="40"/>
  <c r="Y144" i="40"/>
  <c r="AA144" i="40"/>
  <c r="AB144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R145" i="40"/>
  <c r="S145" i="40"/>
  <c r="T145" i="40"/>
  <c r="U145" i="40"/>
  <c r="V145" i="40"/>
  <c r="W145" i="40"/>
  <c r="X145" i="40"/>
  <c r="Y145" i="40"/>
  <c r="AA145" i="40"/>
  <c r="AB145" i="40"/>
  <c r="AA146" i="40"/>
  <c r="AB146" i="40"/>
  <c r="AA147" i="40"/>
  <c r="AB147" i="40"/>
  <c r="AA148" i="40"/>
  <c r="AB148" i="40"/>
  <c r="AA149" i="40"/>
  <c r="AB149" i="40"/>
  <c r="A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R150" i="40"/>
  <c r="S150" i="40"/>
  <c r="T150" i="40"/>
  <c r="U150" i="40"/>
  <c r="V150" i="40"/>
  <c r="W150" i="40"/>
  <c r="X150" i="40"/>
  <c r="Y150" i="40"/>
  <c r="AA150" i="40"/>
  <c r="AB150" i="40"/>
  <c r="AA151" i="40"/>
  <c r="AB151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R152" i="40"/>
  <c r="S152" i="40"/>
  <c r="T152" i="40"/>
  <c r="U152" i="40"/>
  <c r="V152" i="40"/>
  <c r="W152" i="40"/>
  <c r="X152" i="40"/>
  <c r="Y152" i="40"/>
  <c r="AA152" i="40"/>
  <c r="C155" i="40"/>
  <c r="C156" i="40"/>
  <c r="D160" i="40"/>
  <c r="D162" i="40"/>
  <c r="D163" i="40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AA10" i="23"/>
  <c r="AB10" i="23"/>
  <c r="AA11" i="23"/>
  <c r="AB11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AA12" i="23"/>
  <c r="AB12" i="23"/>
  <c r="AA13" i="23"/>
  <c r="AB13" i="23"/>
  <c r="AA14" i="23"/>
  <c r="AB14" i="23"/>
  <c r="AA15" i="23"/>
  <c r="AB15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AA16" i="23"/>
  <c r="AB16" i="23"/>
  <c r="AA17" i="23"/>
  <c r="AB17" i="23"/>
  <c r="AA18" i="23"/>
  <c r="AB18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AA19" i="23"/>
  <c r="AB19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AA20" i="23"/>
  <c r="AB20" i="23"/>
  <c r="AA21" i="23"/>
  <c r="AB21" i="23"/>
  <c r="AA22" i="23"/>
  <c r="AB22" i="23"/>
  <c r="AA23" i="23"/>
  <c r="AB23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AA24" i="23"/>
  <c r="AB24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AA25" i="23"/>
  <c r="AB25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AA26" i="23"/>
  <c r="AB26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AA27" i="23"/>
  <c r="AB27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AA28" i="23"/>
  <c r="AB28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AA29" i="23"/>
  <c r="AB29" i="23"/>
  <c r="AA30" i="23"/>
  <c r="AB30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AA31" i="23"/>
  <c r="AB31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AA32" i="23"/>
  <c r="AB32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AA33" i="23"/>
  <c r="AB33" i="23"/>
  <c r="AA34" i="23"/>
  <c r="AB34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AA35" i="23"/>
  <c r="AB35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AA36" i="23"/>
  <c r="AB36" i="23"/>
  <c r="AA37" i="23"/>
  <c r="AB37" i="23"/>
  <c r="AA38" i="23"/>
  <c r="AB38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AA39" i="23"/>
  <c r="AB39" i="23"/>
  <c r="AA40" i="23"/>
  <c r="AB40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AA41" i="23"/>
  <c r="AB41" i="23"/>
  <c r="AA42" i="23"/>
  <c r="AB42" i="23"/>
  <c r="AA43" i="23"/>
  <c r="AB43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AA44" i="23"/>
  <c r="AB44" i="23"/>
  <c r="AA45" i="23"/>
  <c r="AB45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AA46" i="23"/>
  <c r="AB46" i="23"/>
  <c r="AA47" i="23"/>
  <c r="AB47" i="23"/>
  <c r="AA48" i="23"/>
  <c r="AB48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AA49" i="23"/>
  <c r="AB49" i="23"/>
  <c r="AA50" i="23"/>
  <c r="AB50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AA51" i="23"/>
  <c r="AB51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AA52" i="23"/>
  <c r="AB52" i="23"/>
  <c r="AA53" i="23"/>
  <c r="AB53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AA54" i="23"/>
  <c r="AB54" i="23"/>
  <c r="AA55" i="23"/>
  <c r="AB55" i="23"/>
  <c r="AA56" i="23"/>
  <c r="AB56" i="23"/>
  <c r="AA57" i="23"/>
  <c r="AB57" i="23"/>
  <c r="AA58" i="23"/>
  <c r="AB58" i="23"/>
  <c r="AA59" i="23"/>
  <c r="AB59" i="23"/>
  <c r="AA60" i="23"/>
  <c r="AB60" i="23"/>
  <c r="AA61" i="23"/>
  <c r="AB61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AA62" i="23"/>
  <c r="AB62" i="23"/>
  <c r="AA63" i="23"/>
  <c r="AB63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AA64" i="23"/>
  <c r="AB64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AA65" i="23"/>
  <c r="AB65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AA66" i="23"/>
  <c r="AB66" i="23"/>
  <c r="AA67" i="23"/>
  <c r="AB67" i="23"/>
  <c r="AA68" i="23"/>
  <c r="AB68" i="23"/>
  <c r="F69" i="23"/>
  <c r="G69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AA69" i="23"/>
  <c r="AB69" i="23"/>
  <c r="AA70" i="23"/>
  <c r="AB70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AA71" i="23"/>
  <c r="AB71" i="23"/>
  <c r="AA72" i="23"/>
  <c r="AB72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AA73" i="23"/>
  <c r="AB73" i="23"/>
  <c r="AA74" i="23"/>
  <c r="AB74" i="23"/>
  <c r="AA75" i="23"/>
  <c r="AB75" i="23"/>
  <c r="C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AA76" i="23"/>
  <c r="AB76" i="23"/>
  <c r="C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AA77" i="23"/>
  <c r="AB77" i="23"/>
  <c r="AA78" i="23"/>
  <c r="AB78" i="23"/>
  <c r="AA79" i="23"/>
  <c r="AB79" i="23"/>
  <c r="AA80" i="23"/>
  <c r="AB80" i="23"/>
  <c r="AA81" i="23"/>
  <c r="AB81" i="23"/>
  <c r="AA82" i="23"/>
  <c r="AB82" i="23"/>
  <c r="AA83" i="23"/>
  <c r="AB83" i="23"/>
  <c r="AA84" i="23"/>
  <c r="AB84" i="23"/>
  <c r="AA85" i="23"/>
  <c r="AB85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W86" i="23"/>
  <c r="X86" i="23"/>
  <c r="Y86" i="23"/>
  <c r="AA86" i="23"/>
  <c r="AB86" i="23"/>
  <c r="AA87" i="23"/>
  <c r="AB87" i="23"/>
  <c r="F88" i="23"/>
  <c r="G88" i="23"/>
  <c r="H88" i="23"/>
  <c r="I88" i="23"/>
  <c r="J88" i="23"/>
  <c r="K88" i="23"/>
  <c r="L88" i="23"/>
  <c r="M88" i="23"/>
  <c r="N88" i="23"/>
  <c r="O88" i="23"/>
  <c r="P88" i="23"/>
  <c r="Q88" i="23"/>
  <c r="R88" i="23"/>
  <c r="S88" i="23"/>
  <c r="T88" i="23"/>
  <c r="U88" i="23"/>
  <c r="V88" i="23"/>
  <c r="W88" i="23"/>
  <c r="X88" i="23"/>
  <c r="Y88" i="23"/>
  <c r="AA88" i="23"/>
  <c r="AB88" i="23"/>
  <c r="F89" i="23"/>
  <c r="G89" i="23"/>
  <c r="H89" i="23"/>
  <c r="I89" i="23"/>
  <c r="J89" i="23"/>
  <c r="K89" i="23"/>
  <c r="L89" i="23"/>
  <c r="M89" i="23"/>
  <c r="N89" i="23"/>
  <c r="O89" i="23"/>
  <c r="P89" i="23"/>
  <c r="Q89" i="23"/>
  <c r="R89" i="23"/>
  <c r="S89" i="23"/>
  <c r="T89" i="23"/>
  <c r="U89" i="23"/>
  <c r="V89" i="23"/>
  <c r="W89" i="23"/>
  <c r="X89" i="23"/>
  <c r="Y89" i="23"/>
  <c r="AA89" i="23"/>
  <c r="AB89" i="23"/>
  <c r="Y90" i="23"/>
  <c r="AA90" i="23"/>
  <c r="AB90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W91" i="23"/>
  <c r="X91" i="23"/>
  <c r="Y91" i="23"/>
  <c r="AA91" i="23"/>
  <c r="AB91" i="23"/>
  <c r="AA92" i="23"/>
  <c r="AB92" i="23"/>
  <c r="AA93" i="23"/>
  <c r="AB93" i="23"/>
  <c r="E94" i="23"/>
  <c r="Y94" i="23"/>
  <c r="AA94" i="23"/>
  <c r="AB94" i="23"/>
  <c r="AA95" i="23"/>
  <c r="AB95" i="23"/>
  <c r="Y96" i="23"/>
  <c r="AA96" i="23"/>
  <c r="AB96" i="23"/>
  <c r="AA97" i="23"/>
  <c r="AB97" i="23"/>
  <c r="Y98" i="23"/>
  <c r="AA98" i="23"/>
  <c r="AB98" i="23"/>
  <c r="AA99" i="23"/>
  <c r="AB99" i="23"/>
  <c r="D100" i="23"/>
  <c r="AA100" i="23"/>
  <c r="AB100" i="23"/>
  <c r="D101" i="23"/>
  <c r="AA101" i="23"/>
  <c r="AB101" i="23"/>
  <c r="D102" i="23"/>
  <c r="AA102" i="23"/>
  <c r="AB102" i="23"/>
  <c r="AA103" i="23"/>
  <c r="AB103" i="23"/>
  <c r="D104" i="23"/>
  <c r="AA104" i="23"/>
  <c r="AB104" i="23"/>
  <c r="AA105" i="23"/>
  <c r="AB105" i="23"/>
  <c r="F106" i="23"/>
  <c r="G106" i="23"/>
  <c r="H106" i="23"/>
  <c r="I106" i="23"/>
  <c r="J106" i="23"/>
  <c r="K106" i="23"/>
  <c r="L106" i="23"/>
  <c r="M106" i="23"/>
  <c r="N106" i="23"/>
  <c r="O106" i="23"/>
  <c r="P106" i="23"/>
  <c r="Q106" i="23"/>
  <c r="R106" i="23"/>
  <c r="S106" i="23"/>
  <c r="T106" i="23"/>
  <c r="U106" i="23"/>
  <c r="V106" i="23"/>
  <c r="W106" i="23"/>
  <c r="X106" i="23"/>
  <c r="Y106" i="23"/>
  <c r="AA106" i="23"/>
  <c r="AB106" i="23"/>
  <c r="AA107" i="23"/>
  <c r="AB107" i="23"/>
  <c r="D108" i="23"/>
  <c r="F108" i="23"/>
  <c r="G108" i="23"/>
  <c r="H108" i="23"/>
  <c r="I108" i="23"/>
  <c r="J108" i="23"/>
  <c r="K108" i="23"/>
  <c r="L108" i="23"/>
  <c r="M108" i="23"/>
  <c r="N108" i="23"/>
  <c r="O108" i="23"/>
  <c r="P108" i="23"/>
  <c r="Q108" i="23"/>
  <c r="R108" i="23"/>
  <c r="S108" i="23"/>
  <c r="T108" i="23"/>
  <c r="U108" i="23"/>
  <c r="V108" i="23"/>
  <c r="W108" i="23"/>
  <c r="X108" i="23"/>
  <c r="Y108" i="23"/>
  <c r="AA108" i="23"/>
  <c r="AB108" i="23"/>
  <c r="D109" i="23"/>
  <c r="F109" i="23"/>
  <c r="G109" i="23"/>
  <c r="H109" i="23"/>
  <c r="I109" i="23"/>
  <c r="J109" i="23"/>
  <c r="K109" i="23"/>
  <c r="L109" i="23"/>
  <c r="M109" i="23"/>
  <c r="N109" i="23"/>
  <c r="O109" i="23"/>
  <c r="P109" i="23"/>
  <c r="Q109" i="23"/>
  <c r="R109" i="23"/>
  <c r="S109" i="23"/>
  <c r="T109" i="23"/>
  <c r="U109" i="23"/>
  <c r="V109" i="23"/>
  <c r="W109" i="23"/>
  <c r="X109" i="23"/>
  <c r="Y109" i="23"/>
  <c r="AA109" i="23"/>
  <c r="AB109" i="23"/>
  <c r="AA110" i="23"/>
  <c r="AB110" i="23"/>
  <c r="AA111" i="23"/>
  <c r="AB111" i="23"/>
  <c r="D112" i="23"/>
  <c r="AA112" i="23"/>
  <c r="AB112" i="23"/>
  <c r="AA113" i="23"/>
  <c r="AB113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W114" i="23"/>
  <c r="X114" i="23"/>
  <c r="Y114" i="23"/>
  <c r="AA114" i="23"/>
  <c r="AB114" i="23"/>
  <c r="D115" i="23"/>
  <c r="F115" i="23"/>
  <c r="G115" i="23"/>
  <c r="H115" i="23"/>
  <c r="I115" i="23"/>
  <c r="J115" i="23"/>
  <c r="K115" i="23"/>
  <c r="L115" i="23"/>
  <c r="M115" i="23"/>
  <c r="N115" i="23"/>
  <c r="O115" i="23"/>
  <c r="P115" i="23"/>
  <c r="Q115" i="23"/>
  <c r="R115" i="23"/>
  <c r="S115" i="23"/>
  <c r="T115" i="23"/>
  <c r="U115" i="23"/>
  <c r="V115" i="23"/>
  <c r="W115" i="23"/>
  <c r="X115" i="23"/>
  <c r="Y115" i="23"/>
  <c r="AA115" i="23"/>
  <c r="AB115" i="23"/>
  <c r="AA116" i="23"/>
  <c r="AB116" i="23"/>
  <c r="AA117" i="23"/>
  <c r="AB117" i="23"/>
  <c r="F118" i="23"/>
  <c r="G118" i="23"/>
  <c r="H118" i="23"/>
  <c r="I118" i="23"/>
  <c r="J118" i="23"/>
  <c r="K118" i="23"/>
  <c r="L118" i="23"/>
  <c r="M118" i="23"/>
  <c r="N118" i="23"/>
  <c r="O118" i="23"/>
  <c r="P118" i="23"/>
  <c r="Q118" i="23"/>
  <c r="R118" i="23"/>
  <c r="S118" i="23"/>
  <c r="T118" i="23"/>
  <c r="U118" i="23"/>
  <c r="V118" i="23"/>
  <c r="W118" i="23"/>
  <c r="X118" i="23"/>
  <c r="Y118" i="23"/>
  <c r="AA118" i="23"/>
  <c r="AB118" i="23"/>
  <c r="AA119" i="23"/>
  <c r="AB119" i="23"/>
  <c r="A120" i="23"/>
  <c r="F120" i="23"/>
  <c r="G120" i="23"/>
  <c r="H120" i="23"/>
  <c r="I120" i="23"/>
  <c r="J120" i="23"/>
  <c r="K120" i="23"/>
  <c r="L120" i="23"/>
  <c r="M120" i="23"/>
  <c r="N120" i="23"/>
  <c r="O120" i="23"/>
  <c r="P120" i="23"/>
  <c r="Q120" i="23"/>
  <c r="R120" i="23"/>
  <c r="S120" i="23"/>
  <c r="T120" i="23"/>
  <c r="U120" i="23"/>
  <c r="V120" i="23"/>
  <c r="W120" i="23"/>
  <c r="X120" i="23"/>
  <c r="Y120" i="23"/>
  <c r="AA120" i="23"/>
  <c r="AB120" i="23"/>
  <c r="F121" i="23"/>
  <c r="G121" i="23"/>
  <c r="H121" i="23"/>
  <c r="I121" i="23"/>
  <c r="J121" i="23"/>
  <c r="K121" i="23"/>
  <c r="L121" i="23"/>
  <c r="M121" i="23"/>
  <c r="N121" i="23"/>
  <c r="O121" i="23"/>
  <c r="P121" i="23"/>
  <c r="Q121" i="23"/>
  <c r="R121" i="23"/>
  <c r="S121" i="23"/>
  <c r="T121" i="23"/>
  <c r="U121" i="23"/>
  <c r="V121" i="23"/>
  <c r="W121" i="23"/>
  <c r="X121" i="23"/>
  <c r="Y121" i="23"/>
  <c r="AA121" i="23"/>
  <c r="AB121" i="23"/>
  <c r="F122" i="23"/>
  <c r="G122" i="23"/>
  <c r="H122" i="23"/>
  <c r="I122" i="23"/>
  <c r="J122" i="23"/>
  <c r="K122" i="23"/>
  <c r="L122" i="23"/>
  <c r="M122" i="23"/>
  <c r="N122" i="23"/>
  <c r="O122" i="23"/>
  <c r="P122" i="23"/>
  <c r="Q122" i="23"/>
  <c r="R122" i="23"/>
  <c r="S122" i="23"/>
  <c r="T122" i="23"/>
  <c r="U122" i="23"/>
  <c r="V122" i="23"/>
  <c r="W122" i="23"/>
  <c r="X122" i="23"/>
  <c r="Y122" i="23"/>
  <c r="AA122" i="23"/>
  <c r="AB122" i="23"/>
  <c r="F123" i="23"/>
  <c r="G123" i="23"/>
  <c r="H123" i="23"/>
  <c r="I123" i="23"/>
  <c r="J123" i="23"/>
  <c r="K123" i="23"/>
  <c r="L123" i="23"/>
  <c r="M123" i="23"/>
  <c r="N123" i="23"/>
  <c r="O123" i="23"/>
  <c r="P123" i="23"/>
  <c r="Q123" i="23"/>
  <c r="R123" i="23"/>
  <c r="S123" i="23"/>
  <c r="T123" i="23"/>
  <c r="U123" i="23"/>
  <c r="V123" i="23"/>
  <c r="W123" i="23"/>
  <c r="X123" i="23"/>
  <c r="Y123" i="23"/>
  <c r="AA123" i="23"/>
  <c r="AB123" i="23"/>
  <c r="AA124" i="23"/>
  <c r="AB124" i="23"/>
  <c r="C125" i="23"/>
  <c r="F125" i="23"/>
  <c r="G125" i="23"/>
  <c r="H125" i="23"/>
  <c r="I125" i="23"/>
  <c r="J125" i="23"/>
  <c r="K125" i="23"/>
  <c r="L125" i="23"/>
  <c r="M125" i="23"/>
  <c r="N125" i="23"/>
  <c r="O125" i="23"/>
  <c r="P125" i="23"/>
  <c r="Q125" i="23"/>
  <c r="R125" i="23"/>
  <c r="S125" i="23"/>
  <c r="T125" i="23"/>
  <c r="U125" i="23"/>
  <c r="V125" i="23"/>
  <c r="W125" i="23"/>
  <c r="X125" i="23"/>
  <c r="Y125" i="23"/>
  <c r="AA125" i="23"/>
  <c r="AB125" i="23"/>
  <c r="C126" i="23"/>
  <c r="F126" i="23"/>
  <c r="G126" i="23"/>
  <c r="H126" i="23"/>
  <c r="I126" i="23"/>
  <c r="J126" i="23"/>
  <c r="K126" i="23"/>
  <c r="L126" i="23"/>
  <c r="M126" i="23"/>
  <c r="N126" i="23"/>
  <c r="O126" i="23"/>
  <c r="P126" i="23"/>
  <c r="Q126" i="23"/>
  <c r="R126" i="23"/>
  <c r="S126" i="23"/>
  <c r="T126" i="23"/>
  <c r="U126" i="23"/>
  <c r="V126" i="23"/>
  <c r="W126" i="23"/>
  <c r="X126" i="23"/>
  <c r="Y126" i="23"/>
  <c r="AA126" i="23"/>
  <c r="AB126" i="23"/>
  <c r="AA127" i="23"/>
  <c r="AB127" i="23"/>
  <c r="AA128" i="23"/>
  <c r="AB128" i="23"/>
  <c r="AA129" i="23"/>
  <c r="AB129" i="23"/>
  <c r="AA130" i="23"/>
  <c r="AB130" i="23"/>
  <c r="AA131" i="23"/>
  <c r="AB131" i="23"/>
  <c r="AA132" i="23"/>
  <c r="AB132" i="23"/>
  <c r="AA133" i="23"/>
  <c r="AB133" i="23"/>
  <c r="F134" i="23"/>
  <c r="G134" i="23"/>
  <c r="H134" i="23"/>
  <c r="I134" i="23"/>
  <c r="J134" i="23"/>
  <c r="K134" i="23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AA134" i="23"/>
  <c r="AB134" i="23"/>
  <c r="AA135" i="23"/>
  <c r="AB135" i="23"/>
  <c r="AA136" i="23"/>
  <c r="AB136" i="23"/>
  <c r="F137" i="23"/>
  <c r="G137" i="23"/>
  <c r="H137" i="23"/>
  <c r="I137" i="23"/>
  <c r="J137" i="23"/>
  <c r="K137" i="23"/>
  <c r="L137" i="23"/>
  <c r="M137" i="23"/>
  <c r="N137" i="23"/>
  <c r="O137" i="23"/>
  <c r="P137" i="23"/>
  <c r="Q137" i="23"/>
  <c r="R137" i="23"/>
  <c r="S137" i="23"/>
  <c r="T137" i="23"/>
  <c r="U137" i="23"/>
  <c r="V137" i="23"/>
  <c r="W137" i="23"/>
  <c r="X137" i="23"/>
  <c r="Y137" i="23"/>
  <c r="AA137" i="23"/>
  <c r="AB137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W138" i="23"/>
  <c r="X138" i="23"/>
  <c r="Y138" i="23"/>
  <c r="AA138" i="23"/>
  <c r="AB138" i="23"/>
  <c r="C139" i="23"/>
  <c r="F139" i="23"/>
  <c r="G139" i="23"/>
  <c r="H139" i="23"/>
  <c r="I139" i="23"/>
  <c r="J139" i="23"/>
  <c r="K139" i="23"/>
  <c r="L139" i="23"/>
  <c r="M139" i="23"/>
  <c r="N139" i="23"/>
  <c r="O139" i="23"/>
  <c r="P139" i="23"/>
  <c r="Q139" i="23"/>
  <c r="R139" i="23"/>
  <c r="S139" i="23"/>
  <c r="T139" i="23"/>
  <c r="U139" i="23"/>
  <c r="V139" i="23"/>
  <c r="W139" i="23"/>
  <c r="X139" i="23"/>
  <c r="Y139" i="23"/>
  <c r="AA139" i="23"/>
  <c r="AB139" i="23"/>
  <c r="C140" i="23"/>
  <c r="F140" i="23"/>
  <c r="G140" i="23"/>
  <c r="H140" i="23"/>
  <c r="I140" i="23"/>
  <c r="J140" i="23"/>
  <c r="K140" i="23"/>
  <c r="L140" i="23"/>
  <c r="M140" i="23"/>
  <c r="N140" i="23"/>
  <c r="O140" i="23"/>
  <c r="P140" i="23"/>
  <c r="Q140" i="23"/>
  <c r="R140" i="23"/>
  <c r="S140" i="23"/>
  <c r="T140" i="23"/>
  <c r="U140" i="23"/>
  <c r="V140" i="23"/>
  <c r="W140" i="23"/>
  <c r="X140" i="23"/>
  <c r="Y140" i="23"/>
  <c r="AA140" i="23"/>
  <c r="AB140" i="23"/>
  <c r="F141" i="23"/>
  <c r="G141" i="23"/>
  <c r="H141" i="23"/>
  <c r="I141" i="23"/>
  <c r="J141" i="23"/>
  <c r="K141" i="23"/>
  <c r="L141" i="23"/>
  <c r="M141" i="23"/>
  <c r="N141" i="23"/>
  <c r="O141" i="23"/>
  <c r="P141" i="23"/>
  <c r="Q141" i="23"/>
  <c r="R141" i="23"/>
  <c r="S141" i="23"/>
  <c r="T141" i="23"/>
  <c r="U141" i="23"/>
  <c r="V141" i="23"/>
  <c r="W141" i="23"/>
  <c r="X141" i="23"/>
  <c r="Y141" i="23"/>
  <c r="AA141" i="23"/>
  <c r="AB141" i="23"/>
  <c r="AA142" i="23"/>
  <c r="AB142" i="23"/>
  <c r="A143" i="23"/>
  <c r="F143" i="23"/>
  <c r="G143" i="23"/>
  <c r="H143" i="23"/>
  <c r="I143" i="23"/>
  <c r="J143" i="23"/>
  <c r="K143" i="23"/>
  <c r="L143" i="23"/>
  <c r="M143" i="23"/>
  <c r="N143" i="23"/>
  <c r="O143" i="23"/>
  <c r="P143" i="23"/>
  <c r="Q143" i="23"/>
  <c r="R143" i="23"/>
  <c r="S143" i="23"/>
  <c r="T143" i="23"/>
  <c r="U143" i="23"/>
  <c r="V143" i="23"/>
  <c r="W143" i="23"/>
  <c r="X143" i="23"/>
  <c r="Y143" i="23"/>
  <c r="AA143" i="23"/>
  <c r="AB143" i="23"/>
  <c r="F144" i="23"/>
  <c r="G144" i="23"/>
  <c r="H144" i="23"/>
  <c r="I144" i="23"/>
  <c r="J144" i="23"/>
  <c r="K144" i="23"/>
  <c r="L144" i="23"/>
  <c r="M144" i="23"/>
  <c r="N144" i="23"/>
  <c r="O144" i="23"/>
  <c r="P144" i="23"/>
  <c r="Q144" i="23"/>
  <c r="R144" i="23"/>
  <c r="S144" i="23"/>
  <c r="T144" i="23"/>
  <c r="U144" i="23"/>
  <c r="V144" i="23"/>
  <c r="W144" i="23"/>
  <c r="X144" i="23"/>
  <c r="Y144" i="23"/>
  <c r="AA144" i="23"/>
  <c r="AB144" i="23"/>
  <c r="AA145" i="23"/>
  <c r="AB145" i="23"/>
  <c r="AA146" i="23"/>
  <c r="AB146" i="23"/>
  <c r="AA147" i="23"/>
  <c r="AB147" i="23"/>
  <c r="AA148" i="23"/>
  <c r="AB148" i="23"/>
  <c r="F149" i="23"/>
  <c r="G149" i="23"/>
  <c r="H149" i="23"/>
  <c r="I149" i="23"/>
  <c r="J149" i="23"/>
  <c r="K149" i="23"/>
  <c r="L149" i="23"/>
  <c r="M149" i="23"/>
  <c r="N149" i="23"/>
  <c r="O149" i="23"/>
  <c r="P149" i="23"/>
  <c r="Q149" i="23"/>
  <c r="R149" i="23"/>
  <c r="S149" i="23"/>
  <c r="T149" i="23"/>
  <c r="U149" i="23"/>
  <c r="V149" i="23"/>
  <c r="W149" i="23"/>
  <c r="X149" i="23"/>
  <c r="Y149" i="23"/>
  <c r="AA149" i="23"/>
  <c r="AB149" i="23"/>
  <c r="AA150" i="23"/>
  <c r="AB150" i="23"/>
  <c r="F151" i="23"/>
  <c r="G151" i="23"/>
  <c r="H151" i="23"/>
  <c r="I151" i="23"/>
  <c r="J151" i="23"/>
  <c r="K151" i="23"/>
  <c r="L151" i="23"/>
  <c r="M151" i="23"/>
  <c r="N151" i="23"/>
  <c r="O151" i="23"/>
  <c r="P151" i="23"/>
  <c r="Q151" i="23"/>
  <c r="R151" i="23"/>
  <c r="S151" i="23"/>
  <c r="T151" i="23"/>
  <c r="U151" i="23"/>
  <c r="V151" i="23"/>
  <c r="W151" i="23"/>
  <c r="X151" i="23"/>
  <c r="Y151" i="23"/>
  <c r="AA151" i="23"/>
  <c r="AB151" i="23"/>
  <c r="C154" i="23"/>
  <c r="C155" i="23"/>
  <c r="D159" i="23"/>
  <c r="F160" i="23"/>
  <c r="D161" i="23"/>
  <c r="D162" i="23"/>
  <c r="B5" i="65"/>
  <c r="C5" i="65"/>
  <c r="D5" i="65"/>
  <c r="E5" i="65"/>
  <c r="F5" i="65"/>
  <c r="G5" i="65"/>
  <c r="H5" i="65"/>
  <c r="I5" i="65"/>
  <c r="J5" i="65"/>
  <c r="K5" i="65"/>
  <c r="L5" i="65"/>
  <c r="M5" i="65"/>
  <c r="N5" i="65"/>
  <c r="O5" i="65"/>
  <c r="P5" i="65"/>
  <c r="Q5" i="65"/>
  <c r="R5" i="65"/>
  <c r="S5" i="65"/>
  <c r="T5" i="65"/>
  <c r="U5" i="65"/>
  <c r="Y7" i="65"/>
  <c r="Z7" i="65"/>
  <c r="AA7" i="65"/>
  <c r="AB7" i="65"/>
  <c r="AC7" i="65"/>
  <c r="AD7" i="65"/>
  <c r="AE7" i="65"/>
  <c r="AF7" i="65"/>
  <c r="AG7" i="65"/>
  <c r="AH7" i="65"/>
  <c r="AI7" i="65"/>
  <c r="AJ7" i="65"/>
  <c r="AK7" i="65"/>
  <c r="AL7" i="65"/>
  <c r="AM7" i="65"/>
  <c r="AN7" i="65"/>
  <c r="AO7" i="65"/>
  <c r="AP7" i="65"/>
  <c r="AQ7" i="65"/>
  <c r="AR7" i="65"/>
  <c r="AS7" i="65"/>
  <c r="Z8" i="65"/>
  <c r="AA8" i="65"/>
  <c r="AB8" i="65"/>
  <c r="AC8" i="65"/>
  <c r="AD8" i="65"/>
  <c r="AE8" i="65"/>
  <c r="AF8" i="65"/>
  <c r="AG8" i="65"/>
  <c r="AH8" i="65"/>
  <c r="AI8" i="65"/>
  <c r="AJ8" i="65"/>
  <c r="AK8" i="65"/>
  <c r="AL8" i="65"/>
  <c r="AM8" i="65"/>
  <c r="AN8" i="65"/>
  <c r="AO8" i="65"/>
  <c r="AP8" i="65"/>
  <c r="AQ8" i="65"/>
  <c r="AR8" i="65"/>
  <c r="AS8" i="65"/>
  <c r="B9" i="65"/>
  <c r="C9" i="65"/>
  <c r="D9" i="65"/>
  <c r="W9" i="65"/>
  <c r="Z9" i="65"/>
  <c r="AA9" i="65"/>
  <c r="AB9" i="65"/>
  <c r="AC9" i="65"/>
  <c r="AD9" i="65"/>
  <c r="AE9" i="65"/>
  <c r="AF9" i="65"/>
  <c r="AG9" i="65"/>
  <c r="AH9" i="65"/>
  <c r="AI9" i="65"/>
  <c r="AJ9" i="65"/>
  <c r="AK9" i="65"/>
  <c r="AL9" i="65"/>
  <c r="AM9" i="65"/>
  <c r="AN9" i="65"/>
  <c r="AO9" i="65"/>
  <c r="AP9" i="65"/>
  <c r="AQ9" i="65"/>
  <c r="AR9" i="65"/>
  <c r="AS9" i="65"/>
  <c r="B10" i="65"/>
  <c r="C10" i="65"/>
  <c r="D10" i="65"/>
  <c r="W10" i="65"/>
  <c r="B11" i="65"/>
  <c r="C11" i="65"/>
  <c r="D11" i="65"/>
  <c r="W11" i="65"/>
  <c r="B12" i="65"/>
  <c r="C12" i="65"/>
  <c r="D12" i="65"/>
  <c r="W12" i="65"/>
  <c r="E15" i="65"/>
  <c r="F15" i="65"/>
  <c r="G15" i="65"/>
  <c r="H15" i="65"/>
  <c r="I15" i="65"/>
  <c r="J15" i="65"/>
  <c r="K15" i="65"/>
  <c r="L15" i="65"/>
  <c r="M15" i="65"/>
  <c r="N15" i="65"/>
  <c r="O15" i="65"/>
  <c r="P15" i="65"/>
  <c r="Q15" i="65"/>
  <c r="R15" i="65"/>
  <c r="S15" i="65"/>
  <c r="T15" i="65"/>
  <c r="U15" i="65"/>
  <c r="W15" i="65"/>
  <c r="E16" i="65"/>
  <c r="F16" i="65"/>
  <c r="G16" i="65"/>
  <c r="H16" i="65"/>
  <c r="I16" i="65"/>
  <c r="J16" i="65"/>
  <c r="K16" i="65"/>
  <c r="L16" i="65"/>
  <c r="M16" i="65"/>
  <c r="N16" i="65"/>
  <c r="O16" i="65"/>
  <c r="P16" i="65"/>
  <c r="Q16" i="65"/>
  <c r="R16" i="65"/>
  <c r="S16" i="65"/>
  <c r="T16" i="65"/>
  <c r="U16" i="65"/>
  <c r="W16" i="65"/>
  <c r="W17" i="65"/>
  <c r="B18" i="65"/>
  <c r="C18" i="65"/>
  <c r="D18" i="65"/>
  <c r="E18" i="65"/>
  <c r="F18" i="65"/>
  <c r="G18" i="65"/>
  <c r="H18" i="65"/>
  <c r="I18" i="65"/>
  <c r="J18" i="65"/>
  <c r="K18" i="65"/>
  <c r="L18" i="65"/>
  <c r="M18" i="65"/>
  <c r="N18" i="65"/>
  <c r="O18" i="65"/>
  <c r="P18" i="65"/>
  <c r="Q18" i="65"/>
  <c r="R18" i="65"/>
  <c r="S18" i="65"/>
  <c r="T18" i="65"/>
  <c r="U18" i="65"/>
  <c r="W18" i="65"/>
  <c r="B19" i="65"/>
  <c r="C19" i="65"/>
  <c r="D19" i="65"/>
  <c r="E19" i="65"/>
  <c r="F19" i="65"/>
  <c r="G19" i="65"/>
  <c r="H19" i="65"/>
  <c r="I19" i="65"/>
  <c r="J19" i="65"/>
  <c r="K19" i="65"/>
  <c r="L19" i="65"/>
  <c r="M19" i="65"/>
  <c r="N19" i="65"/>
  <c r="O19" i="65"/>
  <c r="P19" i="65"/>
  <c r="Q19" i="65"/>
  <c r="R19" i="65"/>
  <c r="S19" i="65"/>
  <c r="T19" i="65"/>
  <c r="U19" i="65"/>
  <c r="W19" i="65"/>
  <c r="B22" i="65"/>
  <c r="C22" i="65"/>
  <c r="D22" i="65"/>
  <c r="E22" i="65"/>
  <c r="F22" i="65"/>
  <c r="G22" i="65"/>
  <c r="H22" i="65"/>
  <c r="I22" i="65"/>
  <c r="J22" i="65"/>
  <c r="K22" i="65"/>
  <c r="L22" i="65"/>
  <c r="M22" i="65"/>
  <c r="N22" i="65"/>
  <c r="O22" i="65"/>
  <c r="P22" i="65"/>
  <c r="Q22" i="65"/>
  <c r="R22" i="65"/>
  <c r="S22" i="65"/>
  <c r="T22" i="65"/>
  <c r="U22" i="65"/>
  <c r="W22" i="65"/>
  <c r="B23" i="65"/>
  <c r="C23" i="65"/>
  <c r="D23" i="65"/>
  <c r="E23" i="65"/>
  <c r="F23" i="65"/>
  <c r="G23" i="65"/>
  <c r="H23" i="65"/>
  <c r="I23" i="65"/>
  <c r="J23" i="65"/>
  <c r="K23" i="65"/>
  <c r="L23" i="65"/>
  <c r="M23" i="65"/>
  <c r="N23" i="65"/>
  <c r="O23" i="65"/>
  <c r="P23" i="65"/>
  <c r="Q23" i="65"/>
  <c r="R23" i="65"/>
  <c r="S23" i="65"/>
  <c r="T23" i="65"/>
  <c r="U23" i="65"/>
  <c r="W23" i="65"/>
  <c r="B24" i="65"/>
  <c r="C24" i="65"/>
  <c r="D24" i="65"/>
  <c r="E24" i="65"/>
  <c r="F24" i="65"/>
  <c r="G24" i="65"/>
  <c r="H24" i="65"/>
  <c r="I24" i="65"/>
  <c r="J24" i="65"/>
  <c r="K24" i="65"/>
  <c r="L24" i="65"/>
  <c r="M24" i="65"/>
  <c r="N24" i="65"/>
  <c r="O24" i="65"/>
  <c r="P24" i="65"/>
  <c r="Q24" i="65"/>
  <c r="R24" i="65"/>
  <c r="S24" i="65"/>
  <c r="T24" i="65"/>
  <c r="U24" i="65"/>
  <c r="W24" i="65"/>
  <c r="B25" i="65"/>
  <c r="C25" i="65"/>
  <c r="D25" i="65"/>
  <c r="E25" i="65"/>
  <c r="F25" i="65"/>
  <c r="G25" i="65"/>
  <c r="H25" i="65"/>
  <c r="I25" i="65"/>
  <c r="J25" i="65"/>
  <c r="K25" i="65"/>
  <c r="L25" i="65"/>
  <c r="M25" i="65"/>
  <c r="N25" i="65"/>
  <c r="O25" i="65"/>
  <c r="P25" i="65"/>
  <c r="Q25" i="65"/>
  <c r="R25" i="65"/>
  <c r="S25" i="65"/>
  <c r="T25" i="65"/>
  <c r="U25" i="65"/>
  <c r="W25" i="65"/>
  <c r="U26" i="65"/>
  <c r="W26" i="65"/>
  <c r="B27" i="65"/>
  <c r="C27" i="65"/>
  <c r="D27" i="65"/>
  <c r="E27" i="65"/>
  <c r="F27" i="65"/>
  <c r="G27" i="65"/>
  <c r="H27" i="65"/>
  <c r="I27" i="65"/>
  <c r="J27" i="65"/>
  <c r="K27" i="65"/>
  <c r="L27" i="65"/>
  <c r="M27" i="65"/>
  <c r="N27" i="65"/>
  <c r="O27" i="65"/>
  <c r="P27" i="65"/>
  <c r="Q27" i="65"/>
  <c r="R27" i="65"/>
  <c r="S27" i="65"/>
  <c r="T27" i="65"/>
  <c r="U27" i="65"/>
  <c r="W27" i="65"/>
  <c r="B28" i="65"/>
  <c r="C28" i="65"/>
  <c r="D28" i="65"/>
  <c r="E28" i="65"/>
  <c r="F28" i="65"/>
  <c r="G28" i="65"/>
  <c r="H28" i="65"/>
  <c r="I28" i="65"/>
  <c r="J28" i="65"/>
  <c r="K28" i="65"/>
  <c r="L28" i="65"/>
  <c r="M28" i="65"/>
  <c r="N28" i="65"/>
  <c r="O28" i="65"/>
  <c r="P28" i="65"/>
  <c r="Q28" i="65"/>
  <c r="R28" i="65"/>
  <c r="S28" i="65"/>
  <c r="T28" i="65"/>
  <c r="U28" i="65"/>
  <c r="W28" i="65"/>
  <c r="B31" i="65"/>
  <c r="C31" i="65"/>
  <c r="D31" i="65"/>
  <c r="E31" i="65"/>
  <c r="F31" i="65"/>
  <c r="G31" i="65"/>
  <c r="H31" i="65"/>
  <c r="I31" i="65"/>
  <c r="J31" i="65"/>
  <c r="K31" i="65"/>
  <c r="L31" i="65"/>
  <c r="M31" i="65"/>
  <c r="N31" i="65"/>
  <c r="O31" i="65"/>
  <c r="P31" i="65"/>
  <c r="Q31" i="65"/>
  <c r="R31" i="65"/>
  <c r="S31" i="65"/>
  <c r="T31" i="65"/>
  <c r="U31" i="65"/>
  <c r="W31" i="65"/>
  <c r="B33" i="65"/>
  <c r="C33" i="65"/>
  <c r="D33" i="65"/>
  <c r="E33" i="65"/>
  <c r="F33" i="65"/>
  <c r="G33" i="65"/>
  <c r="H33" i="65"/>
  <c r="I33" i="65"/>
  <c r="J33" i="65"/>
  <c r="K33" i="65"/>
  <c r="L33" i="65"/>
  <c r="M33" i="65"/>
  <c r="N33" i="65"/>
  <c r="O33" i="65"/>
  <c r="P33" i="65"/>
  <c r="Q33" i="65"/>
  <c r="R33" i="65"/>
  <c r="S33" i="65"/>
  <c r="T33" i="65"/>
  <c r="U33" i="65"/>
  <c r="W33" i="65"/>
  <c r="B35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O35" i="65"/>
  <c r="P35" i="65"/>
  <c r="Q35" i="65"/>
  <c r="R35" i="65"/>
  <c r="S35" i="65"/>
  <c r="T35" i="65"/>
  <c r="U35" i="65"/>
  <c r="W35" i="65"/>
  <c r="B37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O37" i="65"/>
  <c r="P37" i="65"/>
  <c r="Q37" i="65"/>
  <c r="R37" i="65"/>
  <c r="S37" i="65"/>
  <c r="T37" i="65"/>
  <c r="U37" i="65"/>
  <c r="W37" i="65"/>
  <c r="B39" i="65"/>
  <c r="C39" i="65"/>
  <c r="D39" i="65"/>
  <c r="E39" i="65"/>
  <c r="F39" i="65"/>
  <c r="G39" i="65"/>
  <c r="H39" i="65"/>
  <c r="I39" i="65"/>
  <c r="J39" i="65"/>
  <c r="K39" i="65"/>
  <c r="L39" i="65"/>
  <c r="M39" i="65"/>
  <c r="N39" i="65"/>
  <c r="O39" i="65"/>
  <c r="P39" i="65"/>
  <c r="Q39" i="65"/>
  <c r="R39" i="65"/>
  <c r="S39" i="65"/>
  <c r="T39" i="65"/>
  <c r="U39" i="65"/>
  <c r="W39" i="65"/>
  <c r="B41" i="65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Q41" i="65"/>
  <c r="R41" i="65"/>
  <c r="S41" i="65"/>
  <c r="T41" i="65"/>
  <c r="U41" i="65"/>
  <c r="W41" i="65"/>
  <c r="B42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Q42" i="65"/>
  <c r="R42" i="65"/>
  <c r="S42" i="65"/>
  <c r="T42" i="65"/>
  <c r="U42" i="65"/>
  <c r="W42" i="65"/>
  <c r="B44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Q44" i="65"/>
  <c r="R44" i="65"/>
  <c r="S44" i="65"/>
  <c r="T44" i="65"/>
  <c r="U44" i="65"/>
  <c r="W44" i="65"/>
  <c r="C52" i="65"/>
  <c r="D52" i="65"/>
  <c r="E52" i="65"/>
  <c r="F52" i="65"/>
  <c r="G52" i="65"/>
  <c r="H52" i="65"/>
  <c r="I52" i="65"/>
  <c r="J52" i="65"/>
  <c r="K52" i="65"/>
  <c r="L52" i="65"/>
  <c r="M52" i="65"/>
  <c r="N52" i="65"/>
  <c r="O52" i="65"/>
  <c r="P52" i="65"/>
  <c r="Q52" i="65"/>
  <c r="R52" i="65"/>
  <c r="S52" i="65"/>
  <c r="T52" i="65"/>
  <c r="U52" i="65"/>
  <c r="B54" i="65"/>
  <c r="C54" i="65"/>
  <c r="D54" i="65"/>
  <c r="E54" i="65"/>
  <c r="F54" i="65"/>
  <c r="G54" i="65"/>
  <c r="H54" i="65"/>
  <c r="I54" i="65"/>
  <c r="J54" i="65"/>
  <c r="K54" i="65"/>
  <c r="L54" i="65"/>
  <c r="M54" i="65"/>
  <c r="N54" i="65"/>
  <c r="O54" i="65"/>
  <c r="P54" i="65"/>
  <c r="Q54" i="65"/>
  <c r="R54" i="65"/>
  <c r="S54" i="65"/>
  <c r="T54" i="65"/>
  <c r="U54" i="65"/>
  <c r="W54" i="65"/>
  <c r="B55" i="65"/>
  <c r="C55" i="65"/>
  <c r="D55" i="65"/>
  <c r="E55" i="65"/>
  <c r="F55" i="65"/>
  <c r="G55" i="65"/>
  <c r="H55" i="65"/>
  <c r="I55" i="65"/>
  <c r="J55" i="65"/>
  <c r="K55" i="65"/>
  <c r="L55" i="65"/>
  <c r="M55" i="65"/>
  <c r="N55" i="65"/>
  <c r="O55" i="65"/>
  <c r="P55" i="65"/>
  <c r="Q55" i="65"/>
  <c r="R55" i="65"/>
  <c r="S55" i="65"/>
  <c r="T55" i="65"/>
  <c r="U55" i="65"/>
  <c r="W55" i="65"/>
  <c r="C56" i="65"/>
  <c r="D56" i="65"/>
  <c r="E56" i="65"/>
  <c r="F56" i="65"/>
  <c r="G56" i="65"/>
  <c r="H56" i="65"/>
  <c r="I56" i="65"/>
  <c r="J56" i="65"/>
  <c r="K56" i="65"/>
  <c r="L56" i="65"/>
  <c r="M56" i="65"/>
  <c r="N56" i="65"/>
  <c r="O56" i="65"/>
  <c r="P56" i="65"/>
  <c r="Q56" i="65"/>
  <c r="R56" i="65"/>
  <c r="S56" i="65"/>
  <c r="T56" i="65"/>
  <c r="U56" i="65"/>
  <c r="W56" i="65"/>
  <c r="B57" i="65"/>
  <c r="C57" i="65"/>
  <c r="D57" i="65"/>
  <c r="E57" i="65"/>
  <c r="F57" i="65"/>
  <c r="G57" i="65"/>
  <c r="H57" i="65"/>
  <c r="I57" i="65"/>
  <c r="J57" i="65"/>
  <c r="K57" i="65"/>
  <c r="L57" i="65"/>
  <c r="M57" i="65"/>
  <c r="N57" i="65"/>
  <c r="O57" i="65"/>
  <c r="P57" i="65"/>
  <c r="Q57" i="65"/>
  <c r="R57" i="65"/>
  <c r="S57" i="65"/>
  <c r="T57" i="65"/>
  <c r="U57" i="65"/>
  <c r="W57" i="65"/>
  <c r="B59" i="65"/>
  <c r="C59" i="65"/>
  <c r="D59" i="65"/>
  <c r="E59" i="65"/>
  <c r="F59" i="65"/>
  <c r="G59" i="65"/>
  <c r="H59" i="65"/>
  <c r="I59" i="65"/>
  <c r="J59" i="65"/>
  <c r="K59" i="65"/>
  <c r="L59" i="65"/>
  <c r="M59" i="65"/>
  <c r="N59" i="65"/>
  <c r="O59" i="65"/>
  <c r="P59" i="65"/>
  <c r="Q59" i="65"/>
  <c r="R59" i="65"/>
  <c r="S59" i="65"/>
  <c r="T59" i="65"/>
  <c r="U59" i="65"/>
  <c r="W59" i="65"/>
  <c r="B61" i="65"/>
  <c r="C61" i="65"/>
  <c r="D61" i="65"/>
  <c r="E61" i="65"/>
  <c r="F61" i="65"/>
  <c r="G61" i="65"/>
  <c r="H61" i="65"/>
  <c r="I61" i="65"/>
  <c r="J61" i="65"/>
  <c r="K61" i="65"/>
  <c r="L61" i="65"/>
  <c r="M61" i="65"/>
  <c r="N61" i="65"/>
  <c r="O61" i="65"/>
  <c r="P61" i="65"/>
  <c r="Q61" i="65"/>
  <c r="R61" i="65"/>
  <c r="S61" i="65"/>
  <c r="T61" i="65"/>
  <c r="U61" i="65"/>
  <c r="W61" i="65"/>
  <c r="B62" i="65"/>
  <c r="C62" i="65"/>
  <c r="D62" i="65"/>
  <c r="E62" i="65"/>
  <c r="F62" i="65"/>
  <c r="G62" i="65"/>
  <c r="H62" i="65"/>
  <c r="I62" i="65"/>
  <c r="J62" i="65"/>
  <c r="K62" i="65"/>
  <c r="L62" i="65"/>
  <c r="M62" i="65"/>
  <c r="N62" i="65"/>
  <c r="O62" i="65"/>
  <c r="P62" i="65"/>
  <c r="Q62" i="65"/>
  <c r="R62" i="65"/>
  <c r="S62" i="65"/>
  <c r="T62" i="65"/>
  <c r="U62" i="65"/>
  <c r="W62" i="65"/>
  <c r="B64" i="65"/>
  <c r="C64" i="65"/>
  <c r="D64" i="65"/>
  <c r="E64" i="65"/>
  <c r="F64" i="65"/>
  <c r="G64" i="65"/>
  <c r="H64" i="65"/>
  <c r="I64" i="65"/>
  <c r="J64" i="65"/>
  <c r="K64" i="65"/>
  <c r="L64" i="65"/>
  <c r="M64" i="65"/>
  <c r="N64" i="65"/>
  <c r="O64" i="65"/>
  <c r="P64" i="65"/>
  <c r="Q64" i="65"/>
  <c r="R64" i="65"/>
  <c r="S64" i="65"/>
  <c r="T64" i="65"/>
  <c r="U64" i="65"/>
  <c r="W64" i="65"/>
  <c r="B76" i="65"/>
  <c r="C76" i="65"/>
  <c r="D76" i="65"/>
  <c r="E76" i="65"/>
  <c r="F76" i="65"/>
  <c r="G76" i="65"/>
  <c r="H76" i="65"/>
  <c r="I76" i="65"/>
  <c r="J76" i="65"/>
  <c r="K76" i="65"/>
  <c r="L76" i="65"/>
  <c r="M76" i="65"/>
  <c r="N76" i="65"/>
  <c r="O76" i="65"/>
  <c r="P76" i="65"/>
  <c r="Q76" i="65"/>
  <c r="R76" i="65"/>
  <c r="S76" i="65"/>
  <c r="T76" i="65"/>
  <c r="U76" i="65"/>
  <c r="B77" i="65"/>
  <c r="C77" i="65"/>
  <c r="D77" i="65"/>
  <c r="E77" i="65"/>
  <c r="F77" i="65"/>
  <c r="G77" i="65"/>
  <c r="H77" i="65"/>
  <c r="I77" i="65"/>
  <c r="J77" i="65"/>
  <c r="K77" i="65"/>
  <c r="L77" i="65"/>
  <c r="M77" i="65"/>
  <c r="N77" i="65"/>
  <c r="O77" i="65"/>
  <c r="P77" i="65"/>
  <c r="Q77" i="65"/>
  <c r="R77" i="65"/>
  <c r="S77" i="65"/>
  <c r="T77" i="65"/>
  <c r="U77" i="65"/>
  <c r="B78" i="65"/>
  <c r="C78" i="65"/>
  <c r="D78" i="65"/>
  <c r="E78" i="65"/>
  <c r="F78" i="65"/>
  <c r="G78" i="65"/>
  <c r="H78" i="65"/>
  <c r="I78" i="65"/>
  <c r="J78" i="65"/>
  <c r="K78" i="65"/>
  <c r="L78" i="65"/>
  <c r="M78" i="65"/>
  <c r="N78" i="65"/>
  <c r="O78" i="65"/>
  <c r="P78" i="65"/>
  <c r="Q78" i="65"/>
  <c r="R78" i="65"/>
  <c r="S78" i="65"/>
  <c r="T78" i="65"/>
  <c r="U78" i="65"/>
  <c r="B79" i="65"/>
  <c r="C79" i="65"/>
  <c r="D79" i="65"/>
  <c r="E79" i="65"/>
  <c r="F79" i="65"/>
  <c r="G79" i="65"/>
  <c r="H79" i="65"/>
  <c r="I79" i="65"/>
  <c r="J79" i="65"/>
  <c r="K79" i="65"/>
  <c r="L79" i="65"/>
  <c r="M79" i="65"/>
  <c r="N79" i="65"/>
  <c r="O79" i="65"/>
  <c r="P79" i="65"/>
  <c r="Q79" i="65"/>
  <c r="R79" i="65"/>
  <c r="S79" i="65"/>
  <c r="T79" i="65"/>
  <c r="U79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R80" i="65"/>
  <c r="S80" i="65"/>
  <c r="T80" i="65"/>
  <c r="U80" i="65"/>
  <c r="B86" i="65"/>
  <c r="C86" i="65"/>
  <c r="D86" i="65"/>
  <c r="E86" i="65"/>
  <c r="F86" i="65"/>
  <c r="G86" i="65"/>
  <c r="H86" i="65"/>
  <c r="I86" i="65"/>
  <c r="J86" i="65"/>
  <c r="K86" i="65"/>
  <c r="L86" i="65"/>
  <c r="M86" i="65"/>
  <c r="N86" i="65"/>
  <c r="O86" i="65"/>
  <c r="P86" i="65"/>
  <c r="Q86" i="65"/>
  <c r="R86" i="65"/>
  <c r="S86" i="65"/>
  <c r="T86" i="65"/>
  <c r="U86" i="65"/>
  <c r="W86" i="65"/>
  <c r="B87" i="65"/>
  <c r="C87" i="65"/>
  <c r="D87" i="65"/>
  <c r="E87" i="65"/>
  <c r="F87" i="65"/>
  <c r="G87" i="65"/>
  <c r="H87" i="65"/>
  <c r="I87" i="65"/>
  <c r="J87" i="65"/>
  <c r="K87" i="65"/>
  <c r="L87" i="65"/>
  <c r="M87" i="65"/>
  <c r="N87" i="65"/>
  <c r="O87" i="65"/>
  <c r="P87" i="65"/>
  <c r="Q87" i="65"/>
  <c r="R87" i="65"/>
  <c r="S87" i="65"/>
  <c r="T87" i="65"/>
  <c r="U87" i="65"/>
  <c r="W87" i="65"/>
  <c r="B88" i="65"/>
  <c r="C88" i="65"/>
  <c r="D88" i="65"/>
  <c r="E88" i="65"/>
  <c r="F88" i="65"/>
  <c r="G88" i="65"/>
  <c r="H88" i="65"/>
  <c r="I88" i="65"/>
  <c r="J88" i="65"/>
  <c r="K88" i="65"/>
  <c r="L88" i="65"/>
  <c r="M88" i="65"/>
  <c r="N88" i="65"/>
  <c r="O88" i="65"/>
  <c r="P88" i="65"/>
  <c r="Q88" i="65"/>
  <c r="R88" i="65"/>
  <c r="S88" i="65"/>
  <c r="T88" i="65"/>
  <c r="U88" i="65"/>
  <c r="W88" i="65"/>
  <c r="B89" i="65"/>
  <c r="C89" i="65"/>
  <c r="D89" i="65"/>
  <c r="E89" i="65"/>
  <c r="F89" i="65"/>
  <c r="G89" i="65"/>
  <c r="H89" i="65"/>
  <c r="I89" i="65"/>
  <c r="J89" i="65"/>
  <c r="K89" i="65"/>
  <c r="L89" i="65"/>
  <c r="M89" i="65"/>
  <c r="N89" i="65"/>
  <c r="O89" i="65"/>
  <c r="P89" i="65"/>
  <c r="Q89" i="65"/>
  <c r="R89" i="65"/>
  <c r="S89" i="65"/>
  <c r="T89" i="65"/>
  <c r="U89" i="65"/>
  <c r="W89" i="65"/>
  <c r="B91" i="65"/>
  <c r="C91" i="65"/>
  <c r="D91" i="65"/>
  <c r="E91" i="65"/>
  <c r="F91" i="65"/>
  <c r="G91" i="65"/>
  <c r="H91" i="65"/>
  <c r="I91" i="65"/>
  <c r="J91" i="65"/>
  <c r="K91" i="65"/>
  <c r="L91" i="65"/>
  <c r="M91" i="65"/>
  <c r="N91" i="65"/>
  <c r="O91" i="65"/>
  <c r="P91" i="65"/>
  <c r="Q91" i="65"/>
  <c r="R91" i="65"/>
  <c r="S91" i="65"/>
  <c r="T91" i="65"/>
  <c r="U91" i="65"/>
  <c r="B92" i="65"/>
  <c r="C92" i="65"/>
  <c r="D92" i="65"/>
  <c r="E92" i="65"/>
  <c r="F92" i="65"/>
  <c r="G92" i="65"/>
  <c r="H92" i="65"/>
  <c r="I92" i="65"/>
  <c r="J92" i="65"/>
  <c r="K92" i="65"/>
  <c r="L92" i="65"/>
  <c r="M92" i="65"/>
  <c r="N92" i="65"/>
  <c r="O92" i="65"/>
  <c r="P92" i="65"/>
  <c r="Q92" i="65"/>
  <c r="R92" i="65"/>
  <c r="S92" i="65"/>
  <c r="T92" i="65"/>
  <c r="U92" i="65"/>
  <c r="C94" i="65"/>
  <c r="D94" i="65"/>
  <c r="E94" i="65"/>
  <c r="F94" i="65"/>
  <c r="G94" i="65"/>
  <c r="H94" i="65"/>
  <c r="I94" i="65"/>
  <c r="J94" i="65"/>
  <c r="K94" i="65"/>
  <c r="L94" i="65"/>
  <c r="M94" i="65"/>
  <c r="N94" i="65"/>
  <c r="O94" i="65"/>
  <c r="P94" i="65"/>
  <c r="Q94" i="65"/>
  <c r="S94" i="65"/>
  <c r="T94" i="65"/>
  <c r="U94" i="65"/>
  <c r="B95" i="65"/>
  <c r="C95" i="65"/>
  <c r="D95" i="65"/>
  <c r="E95" i="65"/>
  <c r="F95" i="65"/>
  <c r="G95" i="65"/>
  <c r="H95" i="65"/>
  <c r="I95" i="65"/>
  <c r="J95" i="65"/>
  <c r="K95" i="65"/>
  <c r="L95" i="65"/>
  <c r="M95" i="65"/>
  <c r="N95" i="65"/>
  <c r="O95" i="65"/>
  <c r="P95" i="65"/>
  <c r="Q95" i="65"/>
  <c r="R95" i="65"/>
  <c r="S95" i="65"/>
  <c r="T95" i="65"/>
  <c r="U95" i="65"/>
  <c r="T96" i="65"/>
  <c r="U96" i="65"/>
  <c r="B97" i="65"/>
  <c r="C97" i="65"/>
  <c r="D97" i="65"/>
  <c r="E97" i="65"/>
  <c r="F97" i="65"/>
  <c r="G97" i="65"/>
  <c r="H97" i="65"/>
  <c r="I97" i="65"/>
  <c r="J97" i="65"/>
  <c r="K97" i="65"/>
  <c r="L97" i="65"/>
  <c r="M97" i="65"/>
  <c r="N97" i="65"/>
  <c r="O97" i="65"/>
  <c r="P97" i="65"/>
  <c r="Q97" i="65"/>
  <c r="R97" i="65"/>
  <c r="S97" i="65"/>
  <c r="T97" i="65"/>
  <c r="U97" i="65"/>
  <c r="B98" i="65"/>
  <c r="C98" i="65"/>
  <c r="D98" i="65"/>
  <c r="E98" i="65"/>
  <c r="F98" i="65"/>
  <c r="G98" i="65"/>
  <c r="H98" i="65"/>
  <c r="I98" i="65"/>
  <c r="J98" i="65"/>
  <c r="K98" i="65"/>
  <c r="L98" i="65"/>
  <c r="M98" i="65"/>
  <c r="N98" i="65"/>
  <c r="O98" i="65"/>
  <c r="P98" i="65"/>
  <c r="Q98" i="65"/>
  <c r="R98" i="65"/>
  <c r="S98" i="65"/>
  <c r="T98" i="65"/>
  <c r="U98" i="65"/>
  <c r="B100" i="65"/>
  <c r="C100" i="65"/>
  <c r="D100" i="65"/>
  <c r="E100" i="65"/>
  <c r="F100" i="65"/>
  <c r="G100" i="65"/>
  <c r="H100" i="65"/>
  <c r="I100" i="65"/>
  <c r="J100" i="65"/>
  <c r="K100" i="65"/>
  <c r="L100" i="65"/>
  <c r="M100" i="65"/>
  <c r="N100" i="65"/>
  <c r="O100" i="65"/>
  <c r="P100" i="65"/>
  <c r="Q100" i="65"/>
  <c r="R100" i="65"/>
  <c r="S100" i="65"/>
  <c r="T100" i="65"/>
  <c r="U100" i="65"/>
  <c r="W100" i="65"/>
  <c r="B108" i="65"/>
  <c r="C108" i="65"/>
  <c r="D108" i="65"/>
  <c r="E108" i="65"/>
  <c r="F108" i="65"/>
  <c r="G108" i="65"/>
  <c r="H108" i="65"/>
  <c r="I108" i="65"/>
  <c r="J108" i="65"/>
  <c r="K108" i="65"/>
  <c r="L108" i="65"/>
  <c r="M108" i="65"/>
  <c r="N108" i="65"/>
  <c r="O108" i="65"/>
  <c r="P108" i="65"/>
  <c r="Q108" i="65"/>
  <c r="R108" i="65"/>
  <c r="S108" i="65"/>
  <c r="T108" i="65"/>
  <c r="U108" i="65"/>
  <c r="W108" i="65"/>
  <c r="X108" i="65"/>
  <c r="Y108" i="65"/>
  <c r="B110" i="65"/>
  <c r="C110" i="65"/>
  <c r="D110" i="65"/>
  <c r="E110" i="65"/>
  <c r="F110" i="65"/>
  <c r="G110" i="65"/>
  <c r="H110" i="65"/>
  <c r="I110" i="65"/>
  <c r="J110" i="65"/>
  <c r="K110" i="65"/>
  <c r="L110" i="65"/>
  <c r="M110" i="65"/>
  <c r="N110" i="65"/>
  <c r="O110" i="65"/>
  <c r="P110" i="65"/>
  <c r="Q110" i="65"/>
  <c r="R110" i="65"/>
  <c r="S110" i="65"/>
  <c r="T110" i="65"/>
  <c r="U110" i="65"/>
  <c r="W110" i="65"/>
  <c r="X110" i="65"/>
  <c r="Y110" i="65"/>
  <c r="B112" i="65"/>
  <c r="C112" i="65"/>
  <c r="D112" i="65"/>
  <c r="E112" i="65"/>
  <c r="F112" i="65"/>
  <c r="G112" i="65"/>
  <c r="H112" i="65"/>
  <c r="I112" i="65"/>
  <c r="J112" i="65"/>
  <c r="K112" i="65"/>
  <c r="L112" i="65"/>
  <c r="M112" i="65"/>
  <c r="N112" i="65"/>
  <c r="O112" i="65"/>
  <c r="P112" i="65"/>
  <c r="Q112" i="65"/>
  <c r="R112" i="65"/>
  <c r="S112" i="65"/>
  <c r="T112" i="65"/>
  <c r="U112" i="65"/>
  <c r="W112" i="65"/>
  <c r="X112" i="65"/>
  <c r="Y112" i="65"/>
  <c r="B114" i="65"/>
  <c r="C114" i="65"/>
  <c r="D114" i="65"/>
  <c r="E114" i="65"/>
  <c r="F114" i="65"/>
  <c r="G114" i="65"/>
  <c r="H114" i="65"/>
  <c r="I114" i="65"/>
  <c r="J114" i="65"/>
  <c r="K114" i="65"/>
  <c r="L114" i="65"/>
  <c r="M114" i="65"/>
  <c r="N114" i="65"/>
  <c r="O114" i="65"/>
  <c r="P114" i="65"/>
  <c r="Q114" i="65"/>
  <c r="R114" i="65"/>
  <c r="S114" i="65"/>
  <c r="T114" i="65"/>
  <c r="U114" i="65"/>
  <c r="B115" i="65"/>
  <c r="C115" i="65"/>
  <c r="D115" i="65"/>
  <c r="E115" i="65"/>
  <c r="F115" i="65"/>
  <c r="G115" i="65"/>
  <c r="H115" i="65"/>
  <c r="I115" i="65"/>
  <c r="J115" i="65"/>
  <c r="K115" i="65"/>
  <c r="L115" i="65"/>
  <c r="M115" i="65"/>
  <c r="N115" i="65"/>
  <c r="O115" i="65"/>
  <c r="P115" i="65"/>
  <c r="Q115" i="65"/>
  <c r="R115" i="65"/>
  <c r="S115" i="65"/>
  <c r="T115" i="65"/>
  <c r="U115" i="65"/>
  <c r="W115" i="65"/>
  <c r="X115" i="65"/>
  <c r="Y115" i="65"/>
  <c r="C117" i="65"/>
  <c r="D117" i="65"/>
  <c r="E117" i="65"/>
  <c r="F117" i="65"/>
  <c r="G117" i="65"/>
  <c r="H117" i="65"/>
  <c r="I117" i="65"/>
  <c r="J117" i="65"/>
  <c r="K117" i="65"/>
  <c r="L117" i="65"/>
  <c r="M117" i="65"/>
  <c r="N117" i="65"/>
  <c r="O117" i="65"/>
  <c r="P117" i="65"/>
  <c r="Q117" i="65"/>
  <c r="S117" i="65"/>
  <c r="T117" i="65"/>
  <c r="U117" i="65"/>
  <c r="B118" i="65"/>
  <c r="C118" i="65"/>
  <c r="D118" i="65"/>
  <c r="E118" i="65"/>
  <c r="F118" i="65"/>
  <c r="G118" i="65"/>
  <c r="H118" i="65"/>
  <c r="I118" i="65"/>
  <c r="J118" i="65"/>
  <c r="K118" i="65"/>
  <c r="L118" i="65"/>
  <c r="M118" i="65"/>
  <c r="N118" i="65"/>
  <c r="O118" i="65"/>
  <c r="P118" i="65"/>
  <c r="Q118" i="65"/>
  <c r="R118" i="65"/>
  <c r="S118" i="65"/>
  <c r="T118" i="65"/>
  <c r="U118" i="65"/>
  <c r="T119" i="65"/>
  <c r="U119" i="65"/>
  <c r="B120" i="65"/>
  <c r="C120" i="65"/>
  <c r="D120" i="65"/>
  <c r="E120" i="65"/>
  <c r="F120" i="65"/>
  <c r="G120" i="65"/>
  <c r="H120" i="65"/>
  <c r="I120" i="65"/>
  <c r="J120" i="65"/>
  <c r="K120" i="65"/>
  <c r="L120" i="65"/>
  <c r="M120" i="65"/>
  <c r="N120" i="65"/>
  <c r="O120" i="65"/>
  <c r="P120" i="65"/>
  <c r="Q120" i="65"/>
  <c r="R120" i="65"/>
  <c r="S120" i="65"/>
  <c r="T120" i="65"/>
  <c r="U120" i="65"/>
  <c r="B121" i="65"/>
  <c r="C121" i="65"/>
  <c r="D121" i="65"/>
  <c r="E121" i="65"/>
  <c r="F121" i="65"/>
  <c r="G121" i="65"/>
  <c r="H121" i="65"/>
  <c r="I121" i="65"/>
  <c r="J121" i="65"/>
  <c r="K121" i="65"/>
  <c r="L121" i="65"/>
  <c r="M121" i="65"/>
  <c r="N121" i="65"/>
  <c r="O121" i="65"/>
  <c r="P121" i="65"/>
  <c r="Q121" i="65"/>
  <c r="R121" i="65"/>
  <c r="S121" i="65"/>
  <c r="T121" i="65"/>
  <c r="U121" i="65"/>
  <c r="B123" i="65"/>
  <c r="C123" i="65"/>
  <c r="D123" i="65"/>
  <c r="E123" i="65"/>
  <c r="F123" i="65"/>
  <c r="G123" i="65"/>
  <c r="H123" i="65"/>
  <c r="I123" i="65"/>
  <c r="J123" i="65"/>
  <c r="K123" i="65"/>
  <c r="L123" i="65"/>
  <c r="M123" i="65"/>
  <c r="N123" i="65"/>
  <c r="O123" i="65"/>
  <c r="P123" i="65"/>
  <c r="Q123" i="65"/>
  <c r="R123" i="65"/>
  <c r="S123" i="65"/>
  <c r="T123" i="65"/>
  <c r="U123" i="65"/>
  <c r="W123" i="65"/>
  <c r="X123" i="65"/>
  <c r="Y123" i="65"/>
  <c r="B128" i="65"/>
  <c r="C128" i="65"/>
  <c r="D128" i="65"/>
  <c r="E128" i="65"/>
  <c r="F128" i="65"/>
  <c r="G128" i="65"/>
  <c r="H128" i="65"/>
  <c r="I128" i="65"/>
  <c r="J128" i="65"/>
  <c r="K128" i="65"/>
  <c r="L128" i="65"/>
  <c r="M128" i="65"/>
  <c r="N128" i="65"/>
  <c r="O128" i="65"/>
  <c r="P128" i="65"/>
  <c r="Q128" i="65"/>
  <c r="R128" i="65"/>
  <c r="S128" i="65"/>
  <c r="T128" i="65"/>
  <c r="U128" i="65"/>
  <c r="W128" i="65"/>
  <c r="X128" i="65"/>
  <c r="Y128" i="65"/>
  <c r="B130" i="65"/>
  <c r="C130" i="65"/>
  <c r="D130" i="65"/>
  <c r="E130" i="65"/>
  <c r="F130" i="65"/>
  <c r="G130" i="65"/>
  <c r="H130" i="65"/>
  <c r="I130" i="65"/>
  <c r="J130" i="65"/>
  <c r="K130" i="65"/>
  <c r="L130" i="65"/>
  <c r="M130" i="65"/>
  <c r="N130" i="65"/>
  <c r="O130" i="65"/>
  <c r="P130" i="65"/>
  <c r="Q130" i="65"/>
  <c r="R130" i="65"/>
  <c r="S130" i="65"/>
  <c r="T130" i="65"/>
  <c r="U130" i="65"/>
  <c r="W130" i="65"/>
  <c r="X130" i="65"/>
  <c r="Y130" i="65"/>
  <c r="B132" i="65"/>
  <c r="C132" i="65"/>
  <c r="D132" i="65"/>
  <c r="E132" i="65"/>
  <c r="F132" i="65"/>
  <c r="G132" i="65"/>
  <c r="H132" i="65"/>
  <c r="I132" i="65"/>
  <c r="J132" i="65"/>
  <c r="K132" i="65"/>
  <c r="L132" i="65"/>
  <c r="M132" i="65"/>
  <c r="N132" i="65"/>
  <c r="O132" i="65"/>
  <c r="P132" i="65"/>
  <c r="Q132" i="65"/>
  <c r="R132" i="65"/>
  <c r="S132" i="65"/>
  <c r="T132" i="65"/>
  <c r="U132" i="65"/>
  <c r="W132" i="65"/>
  <c r="X132" i="65"/>
  <c r="Y132" i="65"/>
  <c r="B134" i="65"/>
  <c r="C134" i="65"/>
  <c r="D134" i="65"/>
  <c r="E134" i="65"/>
  <c r="F134" i="65"/>
  <c r="G134" i="65"/>
  <c r="H134" i="65"/>
  <c r="I134" i="65"/>
  <c r="J134" i="65"/>
  <c r="K134" i="65"/>
  <c r="L134" i="65"/>
  <c r="M134" i="65"/>
  <c r="N134" i="65"/>
  <c r="O134" i="65"/>
  <c r="P134" i="65"/>
  <c r="Q134" i="65"/>
  <c r="R134" i="65"/>
  <c r="S134" i="65"/>
  <c r="T134" i="65"/>
  <c r="U134" i="65"/>
  <c r="W134" i="65"/>
  <c r="X134" i="65"/>
  <c r="Y134" i="65"/>
  <c r="C5" i="75"/>
  <c r="D5" i="75"/>
  <c r="E5" i="75"/>
  <c r="F5" i="75"/>
  <c r="G5" i="75"/>
  <c r="H5" i="75"/>
  <c r="I5" i="75"/>
  <c r="J5" i="75"/>
  <c r="K5" i="75"/>
  <c r="L5" i="75"/>
  <c r="M5" i="75"/>
  <c r="N5" i="75"/>
  <c r="O5" i="75"/>
  <c r="P5" i="75"/>
  <c r="Q5" i="75"/>
  <c r="R5" i="75"/>
  <c r="S5" i="75"/>
  <c r="T5" i="75"/>
  <c r="U5" i="75"/>
  <c r="B8" i="75"/>
  <c r="C8" i="75"/>
  <c r="D8" i="75"/>
  <c r="E8" i="75"/>
  <c r="F8" i="75"/>
  <c r="G8" i="75"/>
  <c r="H8" i="75"/>
  <c r="I8" i="75"/>
  <c r="J8" i="75"/>
  <c r="K8" i="75"/>
  <c r="L8" i="75"/>
  <c r="M8" i="75"/>
  <c r="N8" i="75"/>
  <c r="O8" i="75"/>
  <c r="P8" i="75"/>
  <c r="Q8" i="75"/>
  <c r="R8" i="75"/>
  <c r="S8" i="75"/>
  <c r="T8" i="75"/>
  <c r="U8" i="75"/>
  <c r="B11" i="75"/>
  <c r="C11" i="75"/>
  <c r="D11" i="75"/>
  <c r="E11" i="75"/>
  <c r="F11" i="75"/>
  <c r="G11" i="75"/>
  <c r="H11" i="75"/>
  <c r="I11" i="75"/>
  <c r="J11" i="75"/>
  <c r="K11" i="75"/>
  <c r="L11" i="75"/>
  <c r="M11" i="75"/>
  <c r="N11" i="75"/>
  <c r="O11" i="75"/>
  <c r="P11" i="75"/>
  <c r="Q11" i="75"/>
  <c r="R11" i="75"/>
  <c r="S11" i="75"/>
  <c r="T11" i="75"/>
  <c r="U11" i="75"/>
  <c r="B12" i="75"/>
  <c r="C12" i="75"/>
  <c r="D12" i="75"/>
  <c r="E12" i="75"/>
  <c r="F12" i="75"/>
  <c r="G12" i="75"/>
  <c r="H12" i="75"/>
  <c r="I12" i="75"/>
  <c r="J12" i="75"/>
  <c r="K12" i="75"/>
  <c r="L12" i="75"/>
  <c r="M12" i="75"/>
  <c r="N12" i="75"/>
  <c r="O12" i="75"/>
  <c r="P12" i="75"/>
  <c r="Q12" i="75"/>
  <c r="R12" i="75"/>
  <c r="S12" i="75"/>
  <c r="T12" i="75"/>
  <c r="U12" i="75"/>
  <c r="B13" i="75"/>
  <c r="C13" i="75"/>
  <c r="D13" i="75"/>
  <c r="E13" i="75"/>
  <c r="F13" i="75"/>
  <c r="G13" i="75"/>
  <c r="H13" i="75"/>
  <c r="I13" i="75"/>
  <c r="J13" i="75"/>
  <c r="K13" i="75"/>
  <c r="L13" i="75"/>
  <c r="M13" i="75"/>
  <c r="N13" i="75"/>
  <c r="O13" i="75"/>
  <c r="P13" i="75"/>
  <c r="Q13" i="75"/>
  <c r="R13" i="75"/>
  <c r="S13" i="75"/>
  <c r="T13" i="75"/>
  <c r="U13" i="75"/>
  <c r="B15" i="75"/>
  <c r="C15" i="75"/>
  <c r="D15" i="75"/>
  <c r="E15" i="75"/>
  <c r="F15" i="75"/>
  <c r="G15" i="75"/>
  <c r="H15" i="75"/>
  <c r="I15" i="75"/>
  <c r="J15" i="75"/>
  <c r="K15" i="75"/>
  <c r="L15" i="75"/>
  <c r="M15" i="75"/>
  <c r="N15" i="75"/>
  <c r="O15" i="75"/>
  <c r="P15" i="75"/>
  <c r="Q15" i="75"/>
  <c r="R15" i="75"/>
  <c r="S15" i="75"/>
  <c r="T15" i="75"/>
  <c r="U15" i="75"/>
  <c r="B21" i="75"/>
  <c r="C21" i="75"/>
  <c r="D21" i="75"/>
  <c r="E21" i="75"/>
  <c r="F21" i="75"/>
  <c r="G21" i="75"/>
  <c r="H21" i="75"/>
  <c r="I21" i="75"/>
  <c r="J21" i="75"/>
  <c r="K21" i="75"/>
  <c r="L21" i="75"/>
  <c r="M21" i="75"/>
  <c r="N21" i="75"/>
  <c r="O21" i="75"/>
  <c r="P21" i="75"/>
  <c r="Q21" i="75"/>
  <c r="R21" i="75"/>
  <c r="S21" i="75"/>
  <c r="T21" i="75"/>
  <c r="U21" i="75"/>
  <c r="B24" i="75"/>
  <c r="C24" i="75"/>
  <c r="D24" i="75"/>
  <c r="E24" i="75"/>
  <c r="F24" i="75"/>
  <c r="G24" i="75"/>
  <c r="H24" i="75"/>
  <c r="I24" i="75"/>
  <c r="J24" i="75"/>
  <c r="K24" i="75"/>
  <c r="L24" i="75"/>
  <c r="M24" i="75"/>
  <c r="N24" i="75"/>
  <c r="O24" i="75"/>
  <c r="P24" i="75"/>
  <c r="Q24" i="75"/>
  <c r="R24" i="75"/>
  <c r="S24" i="75"/>
  <c r="T24" i="75"/>
  <c r="U24" i="75"/>
  <c r="B25" i="75"/>
  <c r="C25" i="75"/>
  <c r="D25" i="75"/>
  <c r="E25" i="75"/>
  <c r="F25" i="75"/>
  <c r="G25" i="75"/>
  <c r="H25" i="75"/>
  <c r="I25" i="75"/>
  <c r="J25" i="75"/>
  <c r="K25" i="75"/>
  <c r="L25" i="75"/>
  <c r="M25" i="75"/>
  <c r="N25" i="75"/>
  <c r="O25" i="75"/>
  <c r="P25" i="75"/>
  <c r="Q25" i="75"/>
  <c r="R25" i="75"/>
  <c r="S25" i="75"/>
  <c r="T25" i="75"/>
  <c r="U25" i="75"/>
  <c r="B26" i="75"/>
  <c r="C26" i="75"/>
  <c r="D26" i="75"/>
  <c r="E26" i="75"/>
  <c r="F26" i="75"/>
  <c r="G26" i="75"/>
  <c r="H26" i="75"/>
  <c r="I26" i="75"/>
  <c r="J26" i="75"/>
  <c r="K26" i="75"/>
  <c r="L26" i="75"/>
  <c r="M26" i="75"/>
  <c r="N26" i="75"/>
  <c r="O26" i="75"/>
  <c r="P26" i="75"/>
  <c r="Q26" i="75"/>
  <c r="R26" i="75"/>
  <c r="S26" i="75"/>
  <c r="T26" i="75"/>
  <c r="U26" i="75"/>
  <c r="B28" i="75"/>
  <c r="C28" i="75"/>
  <c r="D28" i="75"/>
  <c r="E28" i="75"/>
  <c r="F28" i="75"/>
  <c r="G28" i="75"/>
  <c r="H28" i="75"/>
  <c r="I28" i="75"/>
  <c r="J28" i="75"/>
  <c r="K28" i="75"/>
  <c r="L28" i="75"/>
  <c r="M28" i="75"/>
  <c r="N28" i="75"/>
  <c r="O28" i="75"/>
  <c r="P28" i="75"/>
  <c r="Q28" i="75"/>
  <c r="R28" i="75"/>
  <c r="S28" i="75"/>
  <c r="T28" i="75"/>
  <c r="U28" i="75"/>
  <c r="B30" i="75"/>
  <c r="C30" i="75"/>
  <c r="D30" i="75"/>
  <c r="E30" i="75"/>
  <c r="F30" i="75"/>
  <c r="G30" i="75"/>
  <c r="H30" i="75"/>
  <c r="I30" i="75"/>
  <c r="J30" i="75"/>
  <c r="K30" i="75"/>
  <c r="L30" i="75"/>
  <c r="M30" i="75"/>
  <c r="N30" i="75"/>
  <c r="O30" i="75"/>
  <c r="P30" i="75"/>
  <c r="Q30" i="75"/>
  <c r="R30" i="75"/>
  <c r="S30" i="75"/>
  <c r="T30" i="75"/>
  <c r="U30" i="75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C10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X10" i="52"/>
  <c r="Y10" i="52"/>
  <c r="Z10" i="52"/>
  <c r="C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X11" i="52"/>
  <c r="Y11" i="52"/>
  <c r="Z11" i="52"/>
  <c r="C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X12" i="52"/>
  <c r="Y12" i="52"/>
  <c r="Z12" i="52"/>
  <c r="C14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X14" i="52"/>
  <c r="Y14" i="52"/>
  <c r="C16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X16" i="52"/>
  <c r="Y16" i="52"/>
  <c r="Z16" i="52"/>
  <c r="C17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C18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X18" i="52"/>
  <c r="Y18" i="52"/>
  <c r="Z18" i="52"/>
  <c r="C19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X19" i="52"/>
  <c r="Y19" i="52"/>
  <c r="Z19" i="52"/>
  <c r="C21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X21" i="52"/>
  <c r="Y21" i="52"/>
  <c r="Z21" i="52"/>
  <c r="C22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X22" i="52"/>
  <c r="Y22" i="52"/>
  <c r="Z22" i="52"/>
  <c r="C23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P23" i="52"/>
  <c r="Q23" i="52"/>
  <c r="R23" i="52"/>
  <c r="S23" i="52"/>
  <c r="T23" i="52"/>
  <c r="U23" i="52"/>
  <c r="V23" i="52"/>
  <c r="X23" i="52"/>
  <c r="Y23" i="52"/>
  <c r="Z23" i="52"/>
  <c r="C24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P24" i="52"/>
  <c r="Q24" i="52"/>
  <c r="R24" i="52"/>
  <c r="S24" i="52"/>
  <c r="T24" i="52"/>
  <c r="U24" i="52"/>
  <c r="V24" i="52"/>
  <c r="X24" i="52"/>
  <c r="Y24" i="52"/>
  <c r="Z24" i="52"/>
  <c r="C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B28" i="52"/>
  <c r="C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X28" i="52"/>
  <c r="Y28" i="52"/>
  <c r="Z28" i="52"/>
  <c r="C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X30" i="52"/>
  <c r="Y30" i="52"/>
  <c r="Z30" i="52"/>
  <c r="C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B33" i="52"/>
  <c r="C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C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AB42" i="52"/>
  <c r="AC42" i="52"/>
  <c r="AD42" i="52"/>
  <c r="AE42" i="52"/>
  <c r="AF42" i="52"/>
  <c r="AG42" i="52"/>
  <c r="AH42" i="52"/>
  <c r="AI42" i="52"/>
  <c r="AJ42" i="52"/>
  <c r="AK42" i="52"/>
  <c r="AL42" i="52"/>
  <c r="AM42" i="52"/>
  <c r="AN42" i="52"/>
  <c r="AO42" i="52"/>
  <c r="AP42" i="52"/>
  <c r="AQ42" i="52"/>
  <c r="AR42" i="52"/>
  <c r="AS42" i="52"/>
  <c r="AT42" i="52"/>
  <c r="B44" i="52"/>
  <c r="B45" i="52"/>
  <c r="C45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C46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B47" i="52"/>
  <c r="C47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B48" i="52"/>
  <c r="C53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P53" i="52"/>
  <c r="Q53" i="52"/>
  <c r="R53" i="52"/>
  <c r="S53" i="52"/>
  <c r="T53" i="52"/>
  <c r="U53" i="52"/>
  <c r="V53" i="52"/>
  <c r="E54" i="52"/>
  <c r="F54" i="52"/>
  <c r="AA54" i="52"/>
  <c r="AB54" i="52"/>
  <c r="AE54" i="52"/>
  <c r="AF54" i="52"/>
  <c r="AG54" i="52"/>
  <c r="AH54" i="52"/>
  <c r="AI54" i="52"/>
  <c r="AJ54" i="52"/>
  <c r="AK54" i="52"/>
  <c r="AL54" i="52"/>
  <c r="AM54" i="52"/>
  <c r="AN54" i="52"/>
  <c r="AO54" i="52"/>
  <c r="AP54" i="52"/>
  <c r="AQ54" i="52"/>
  <c r="AR54" i="52"/>
  <c r="AS54" i="52"/>
  <c r="AT54" i="52"/>
  <c r="C55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E56" i="52"/>
  <c r="F56" i="52"/>
  <c r="C58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B60" i="52"/>
  <c r="C60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C63" i="52"/>
  <c r="D63" i="52"/>
  <c r="G63" i="52"/>
  <c r="H63" i="52"/>
  <c r="I63" i="52"/>
  <c r="J63" i="52"/>
  <c r="K63" i="52"/>
  <c r="L63" i="52"/>
  <c r="M63" i="52"/>
  <c r="N63" i="52"/>
  <c r="O63" i="52"/>
  <c r="P63" i="52"/>
  <c r="Q63" i="52"/>
  <c r="R63" i="52"/>
  <c r="S63" i="52"/>
  <c r="T63" i="52"/>
  <c r="U63" i="52"/>
  <c r="V63" i="52"/>
  <c r="C66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P66" i="52"/>
  <c r="Q66" i="52"/>
  <c r="R66" i="52"/>
  <c r="S66" i="52"/>
  <c r="T66" i="52"/>
  <c r="U66" i="52"/>
  <c r="V66" i="52"/>
  <c r="AA67" i="52"/>
  <c r="AB67" i="52"/>
  <c r="AC67" i="52"/>
  <c r="AD67" i="52"/>
  <c r="AE67" i="52"/>
  <c r="AF67" i="52"/>
  <c r="AG67" i="52"/>
  <c r="AH67" i="52"/>
  <c r="AI67" i="52"/>
  <c r="AJ67" i="52"/>
  <c r="AK67" i="52"/>
  <c r="AL67" i="52"/>
  <c r="AM67" i="52"/>
  <c r="AN67" i="52"/>
  <c r="AO67" i="52"/>
  <c r="AP67" i="52"/>
  <c r="AQ67" i="52"/>
  <c r="AR67" i="52"/>
  <c r="AS67" i="52"/>
  <c r="AT67" i="52"/>
  <c r="C5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B7" i="51"/>
  <c r="C7" i="51"/>
  <c r="D7" i="51"/>
  <c r="E7" i="51"/>
  <c r="F7" i="51"/>
  <c r="G7" i="51"/>
  <c r="H7" i="51"/>
  <c r="I7" i="51"/>
  <c r="J7" i="51"/>
  <c r="K7" i="51"/>
  <c r="L7" i="51"/>
  <c r="M7" i="51"/>
  <c r="N7" i="51"/>
  <c r="O7" i="51"/>
  <c r="P7" i="51"/>
  <c r="Q7" i="51"/>
  <c r="R7" i="51"/>
  <c r="S7" i="51"/>
  <c r="T7" i="51"/>
  <c r="U7" i="51"/>
  <c r="W7" i="51"/>
  <c r="X7" i="51"/>
  <c r="Y7" i="51"/>
  <c r="B8" i="51"/>
  <c r="C8" i="51"/>
  <c r="D8" i="51"/>
  <c r="E8" i="51"/>
  <c r="F8" i="51"/>
  <c r="G8" i="51"/>
  <c r="H8" i="51"/>
  <c r="I8" i="51"/>
  <c r="J8" i="51"/>
  <c r="K8" i="51"/>
  <c r="L8" i="51"/>
  <c r="M8" i="51"/>
  <c r="N8" i="51"/>
  <c r="O8" i="51"/>
  <c r="P8" i="51"/>
  <c r="Q8" i="51"/>
  <c r="R8" i="51"/>
  <c r="S8" i="51"/>
  <c r="T8" i="51"/>
  <c r="U8" i="51"/>
  <c r="W8" i="51"/>
  <c r="X8" i="51"/>
  <c r="Y8" i="51"/>
  <c r="B9" i="51"/>
  <c r="C9" i="51"/>
  <c r="D9" i="51"/>
  <c r="E9" i="51"/>
  <c r="F9" i="51"/>
  <c r="G9" i="51"/>
  <c r="H9" i="51"/>
  <c r="I9" i="51"/>
  <c r="J9" i="51"/>
  <c r="K9" i="51"/>
  <c r="L9" i="51"/>
  <c r="M9" i="51"/>
  <c r="N9" i="51"/>
  <c r="O9" i="51"/>
  <c r="P9" i="51"/>
  <c r="Q9" i="51"/>
  <c r="R9" i="51"/>
  <c r="S9" i="51"/>
  <c r="T9" i="51"/>
  <c r="U9" i="51"/>
  <c r="W9" i="51"/>
  <c r="X9" i="51"/>
  <c r="Y9" i="51"/>
  <c r="B11" i="51"/>
  <c r="C11" i="51"/>
  <c r="D11" i="51"/>
  <c r="E11" i="51"/>
  <c r="F11" i="51"/>
  <c r="G11" i="51"/>
  <c r="H11" i="51"/>
  <c r="I11" i="51"/>
  <c r="J11" i="51"/>
  <c r="K11" i="51"/>
  <c r="L11" i="51"/>
  <c r="M11" i="51"/>
  <c r="N11" i="51"/>
  <c r="O11" i="51"/>
  <c r="P11" i="51"/>
  <c r="Q11" i="51"/>
  <c r="R11" i="51"/>
  <c r="S11" i="51"/>
  <c r="T11" i="51"/>
  <c r="U11" i="51"/>
  <c r="W11" i="51"/>
  <c r="X11" i="51"/>
  <c r="Y11" i="51"/>
  <c r="B13" i="51"/>
  <c r="C13" i="51"/>
  <c r="D13" i="51"/>
  <c r="E13" i="51"/>
  <c r="F13" i="51"/>
  <c r="G13" i="51"/>
  <c r="H13" i="51"/>
  <c r="I13" i="51"/>
  <c r="J13" i="51"/>
  <c r="K13" i="51"/>
  <c r="L13" i="51"/>
  <c r="M13" i="51"/>
  <c r="N13" i="51"/>
  <c r="O13" i="51"/>
  <c r="P13" i="51"/>
  <c r="Q13" i="51"/>
  <c r="R13" i="51"/>
  <c r="S13" i="51"/>
  <c r="T13" i="51"/>
  <c r="U13" i="51"/>
  <c r="W13" i="51"/>
  <c r="X13" i="51"/>
  <c r="Y13" i="51"/>
  <c r="B15" i="51"/>
  <c r="C15" i="51"/>
  <c r="D15" i="51"/>
  <c r="E15" i="51"/>
  <c r="F15" i="51"/>
  <c r="G15" i="51"/>
  <c r="H15" i="51"/>
  <c r="I15" i="51"/>
  <c r="J15" i="51"/>
  <c r="K15" i="51"/>
  <c r="L15" i="51"/>
  <c r="M15" i="51"/>
  <c r="N15" i="51"/>
  <c r="O15" i="51"/>
  <c r="P15" i="51"/>
  <c r="Q15" i="51"/>
  <c r="R15" i="51"/>
  <c r="S15" i="51"/>
  <c r="T15" i="51"/>
  <c r="U15" i="51"/>
  <c r="B17" i="51"/>
  <c r="C17" i="51"/>
  <c r="D17" i="51"/>
  <c r="E17" i="51"/>
  <c r="F17" i="51"/>
  <c r="G17" i="51"/>
  <c r="H17" i="51"/>
  <c r="I17" i="51"/>
  <c r="J17" i="51"/>
  <c r="K17" i="51"/>
  <c r="L17" i="51"/>
  <c r="M17" i="51"/>
  <c r="N17" i="51"/>
  <c r="O17" i="51"/>
  <c r="P17" i="51"/>
  <c r="Q17" i="51"/>
  <c r="R17" i="51"/>
  <c r="S17" i="51"/>
  <c r="T17" i="51"/>
  <c r="U17" i="51"/>
  <c r="W17" i="51"/>
  <c r="X17" i="51"/>
  <c r="Y17" i="51"/>
  <c r="B18" i="51"/>
  <c r="C18" i="51"/>
  <c r="D18" i="51"/>
  <c r="E18" i="51"/>
  <c r="F18" i="51"/>
  <c r="G18" i="51"/>
  <c r="H18" i="51"/>
  <c r="I18" i="51"/>
  <c r="J18" i="51"/>
  <c r="K18" i="51"/>
  <c r="L18" i="51"/>
  <c r="M18" i="51"/>
  <c r="N18" i="51"/>
  <c r="O18" i="51"/>
  <c r="P18" i="51"/>
  <c r="Q18" i="51"/>
  <c r="R18" i="51"/>
  <c r="S18" i="51"/>
  <c r="T18" i="51"/>
  <c r="U18" i="51"/>
  <c r="W18" i="51"/>
  <c r="X18" i="51"/>
  <c r="Y18" i="51"/>
  <c r="B19" i="51"/>
  <c r="C19" i="51"/>
  <c r="D19" i="51"/>
  <c r="E19" i="51"/>
  <c r="F19" i="51"/>
  <c r="G19" i="51"/>
  <c r="H19" i="51"/>
  <c r="I19" i="51"/>
  <c r="J19" i="51"/>
  <c r="K19" i="51"/>
  <c r="L19" i="51"/>
  <c r="M19" i="51"/>
  <c r="N19" i="51"/>
  <c r="O19" i="51"/>
  <c r="P19" i="51"/>
  <c r="Q19" i="51"/>
  <c r="R19" i="51"/>
  <c r="S19" i="51"/>
  <c r="T19" i="51"/>
  <c r="U19" i="51"/>
  <c r="W19" i="51"/>
  <c r="X19" i="51"/>
  <c r="Y19" i="51"/>
  <c r="B21" i="51"/>
  <c r="C21" i="51"/>
  <c r="D21" i="51"/>
  <c r="E21" i="51"/>
  <c r="F21" i="51"/>
  <c r="G21" i="51"/>
  <c r="H21" i="51"/>
  <c r="I21" i="51"/>
  <c r="J21" i="51"/>
  <c r="K21" i="51"/>
  <c r="L21" i="51"/>
  <c r="M21" i="51"/>
  <c r="N21" i="51"/>
  <c r="O21" i="51"/>
  <c r="P21" i="51"/>
  <c r="Q21" i="51"/>
  <c r="R21" i="51"/>
  <c r="S21" i="51"/>
  <c r="T21" i="51"/>
  <c r="U21" i="51"/>
  <c r="W21" i="51"/>
  <c r="X21" i="51"/>
  <c r="Y21" i="51"/>
  <c r="B23" i="51"/>
  <c r="C23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U23" i="51"/>
  <c r="W23" i="51"/>
  <c r="X23" i="51"/>
  <c r="Y23" i="51"/>
  <c r="B24" i="51"/>
  <c r="C24" i="51"/>
  <c r="D24" i="51"/>
  <c r="E24" i="51"/>
  <c r="F24" i="51"/>
  <c r="G24" i="51"/>
  <c r="H24" i="51"/>
  <c r="I24" i="51"/>
  <c r="J24" i="51"/>
  <c r="K24" i="51"/>
  <c r="L24" i="51"/>
  <c r="M24" i="51"/>
  <c r="N24" i="51"/>
  <c r="O24" i="51"/>
  <c r="P24" i="51"/>
  <c r="Q24" i="51"/>
  <c r="R24" i="51"/>
  <c r="S24" i="51"/>
  <c r="T24" i="51"/>
  <c r="U24" i="51"/>
  <c r="W24" i="51"/>
  <c r="X24" i="51"/>
  <c r="Y24" i="51"/>
  <c r="B25" i="51"/>
  <c r="C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W25" i="51"/>
  <c r="X25" i="51"/>
  <c r="Y25" i="51"/>
  <c r="B27" i="51"/>
  <c r="C27" i="51"/>
  <c r="D27" i="51"/>
  <c r="E27" i="51"/>
  <c r="F27" i="51"/>
  <c r="G27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B29" i="51"/>
  <c r="C29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W29" i="51"/>
  <c r="X29" i="51"/>
  <c r="Y29" i="51"/>
  <c r="B31" i="51"/>
  <c r="C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U31" i="51"/>
  <c r="W31" i="51"/>
  <c r="X31" i="51"/>
  <c r="Y31" i="51"/>
  <c r="B32" i="51"/>
  <c r="C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U32" i="51"/>
  <c r="W32" i="51"/>
  <c r="X32" i="51"/>
  <c r="Y32" i="51"/>
  <c r="B33" i="51"/>
  <c r="C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P33" i="51"/>
  <c r="Q33" i="51"/>
  <c r="R33" i="51"/>
  <c r="S33" i="51"/>
  <c r="T33" i="51"/>
  <c r="U33" i="51"/>
  <c r="B34" i="51"/>
  <c r="C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P34" i="51"/>
  <c r="Q34" i="51"/>
  <c r="R34" i="51"/>
  <c r="S34" i="51"/>
  <c r="T34" i="51"/>
  <c r="U34" i="51"/>
  <c r="W34" i="51"/>
  <c r="X34" i="51"/>
  <c r="Y34" i="51"/>
  <c r="B36" i="51"/>
  <c r="C36" i="51"/>
  <c r="D36" i="51"/>
  <c r="E36" i="51"/>
  <c r="F36" i="51"/>
  <c r="G36" i="51"/>
  <c r="H36" i="51"/>
  <c r="I36" i="51"/>
  <c r="J36" i="51"/>
  <c r="K36" i="51"/>
  <c r="L36" i="51"/>
  <c r="M36" i="51"/>
  <c r="N36" i="51"/>
  <c r="O36" i="51"/>
  <c r="P36" i="51"/>
  <c r="Q36" i="51"/>
  <c r="R36" i="51"/>
  <c r="S36" i="51"/>
  <c r="T36" i="51"/>
  <c r="U36" i="51"/>
  <c r="B38" i="51"/>
  <c r="C38" i="51"/>
  <c r="D38" i="51"/>
  <c r="E38" i="51"/>
  <c r="F38" i="51"/>
  <c r="G38" i="51"/>
  <c r="H38" i="51"/>
  <c r="I38" i="51"/>
  <c r="J38" i="51"/>
  <c r="K38" i="51"/>
  <c r="L38" i="51"/>
  <c r="M38" i="51"/>
  <c r="N38" i="51"/>
  <c r="O38" i="51"/>
  <c r="P38" i="51"/>
  <c r="Q38" i="51"/>
  <c r="R38" i="51"/>
  <c r="S38" i="51"/>
  <c r="T38" i="51"/>
  <c r="U38" i="51"/>
  <c r="B40" i="51"/>
  <c r="C40" i="51"/>
  <c r="D40" i="51"/>
  <c r="E40" i="51"/>
  <c r="F40" i="51"/>
  <c r="G40" i="51"/>
  <c r="H40" i="51"/>
  <c r="I40" i="51"/>
  <c r="J40" i="51"/>
  <c r="K40" i="51"/>
  <c r="L40" i="51"/>
  <c r="M40" i="51"/>
  <c r="N40" i="51"/>
  <c r="O40" i="51"/>
  <c r="P40" i="51"/>
  <c r="Q40" i="51"/>
  <c r="R40" i="51"/>
  <c r="S40" i="51"/>
  <c r="T40" i="51"/>
  <c r="U40" i="51"/>
  <c r="B42" i="51"/>
  <c r="C42" i="51"/>
  <c r="D42" i="51"/>
  <c r="E42" i="51"/>
  <c r="F42" i="51"/>
  <c r="G42" i="51"/>
  <c r="H42" i="51"/>
  <c r="I42" i="51"/>
  <c r="J42" i="51"/>
  <c r="K42" i="51"/>
  <c r="L42" i="51"/>
  <c r="M42" i="51"/>
  <c r="N42" i="51"/>
  <c r="O42" i="51"/>
  <c r="P42" i="51"/>
  <c r="Q42" i="51"/>
  <c r="R42" i="51"/>
  <c r="S42" i="51"/>
  <c r="T42" i="51"/>
  <c r="U42" i="51"/>
  <c r="B45" i="51"/>
  <c r="C45" i="51"/>
  <c r="D45" i="51"/>
  <c r="E45" i="51"/>
  <c r="F45" i="51"/>
  <c r="G45" i="51"/>
  <c r="H45" i="51"/>
  <c r="I45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C11" i="50"/>
  <c r="D11" i="50"/>
  <c r="E11" i="50"/>
  <c r="F11" i="50"/>
  <c r="G11" i="50"/>
  <c r="I11" i="50"/>
  <c r="J11" i="50"/>
  <c r="D12" i="50"/>
  <c r="E12" i="50"/>
  <c r="F12" i="50"/>
  <c r="C14" i="50"/>
  <c r="D14" i="50"/>
  <c r="E14" i="50"/>
  <c r="F14" i="50"/>
  <c r="G14" i="50"/>
  <c r="I14" i="50"/>
  <c r="D15" i="50"/>
  <c r="E15" i="50"/>
  <c r="F15" i="50"/>
  <c r="C17" i="50"/>
  <c r="D17" i="50"/>
  <c r="E17" i="50"/>
  <c r="F17" i="50"/>
  <c r="G17" i="50"/>
  <c r="D18" i="50"/>
  <c r="E18" i="50"/>
  <c r="F18" i="50"/>
  <c r="C26" i="50"/>
  <c r="C27" i="50"/>
  <c r="D27" i="50"/>
  <c r="E27" i="50"/>
  <c r="F27" i="50"/>
  <c r="K27" i="50"/>
  <c r="L27" i="50"/>
  <c r="M27" i="50"/>
  <c r="N27" i="50"/>
  <c r="C28" i="50"/>
  <c r="D28" i="50"/>
  <c r="E28" i="50"/>
  <c r="C29" i="50"/>
  <c r="D29" i="50"/>
  <c r="E29" i="50"/>
  <c r="C30" i="50"/>
  <c r="D30" i="50"/>
  <c r="E30" i="50"/>
  <c r="K30" i="50"/>
  <c r="L30" i="50"/>
  <c r="C32" i="50"/>
  <c r="D32" i="50"/>
  <c r="E32" i="50"/>
  <c r="F32" i="50"/>
  <c r="K32" i="50"/>
  <c r="L32" i="50"/>
  <c r="M32" i="50"/>
  <c r="C33" i="50"/>
  <c r="D33" i="50"/>
  <c r="E33" i="50"/>
  <c r="F33" i="50"/>
  <c r="K33" i="50"/>
  <c r="L33" i="50"/>
  <c r="M33" i="50"/>
  <c r="C34" i="50"/>
  <c r="D34" i="50"/>
  <c r="E34" i="50"/>
  <c r="F34" i="50"/>
  <c r="K34" i="50"/>
  <c r="L34" i="50"/>
  <c r="M34" i="50"/>
  <c r="P34" i="50"/>
  <c r="E39" i="50"/>
  <c r="F39" i="50"/>
  <c r="L39" i="50"/>
  <c r="M39" i="50"/>
  <c r="E40" i="50"/>
  <c r="F40" i="50"/>
  <c r="L40" i="50"/>
  <c r="M40" i="50"/>
  <c r="E42" i="50"/>
  <c r="L42" i="50"/>
  <c r="C45" i="50"/>
  <c r="D45" i="50"/>
  <c r="E45" i="50"/>
  <c r="F45" i="50"/>
  <c r="G45" i="50"/>
  <c r="C46" i="50"/>
  <c r="D46" i="50"/>
  <c r="E46" i="50"/>
  <c r="F46" i="50"/>
  <c r="G46" i="50"/>
  <c r="C47" i="50"/>
  <c r="D47" i="50"/>
  <c r="E47" i="50"/>
  <c r="F47" i="50"/>
  <c r="G47" i="50"/>
  <c r="C48" i="50"/>
  <c r="D48" i="50"/>
  <c r="E48" i="50"/>
  <c r="F48" i="50"/>
  <c r="G48" i="50"/>
  <c r="C50" i="50"/>
  <c r="D50" i="50"/>
  <c r="E50" i="50"/>
  <c r="F50" i="50"/>
  <c r="G50" i="50"/>
  <c r="C51" i="50"/>
  <c r="D51" i="50"/>
  <c r="E51" i="50"/>
  <c r="F51" i="50"/>
  <c r="G51" i="50"/>
  <c r="C52" i="50"/>
  <c r="D52" i="50"/>
  <c r="E52" i="50"/>
  <c r="F52" i="50"/>
  <c r="G52" i="50"/>
  <c r="C53" i="50"/>
  <c r="D53" i="50"/>
  <c r="E53" i="50"/>
  <c r="F53" i="50"/>
  <c r="G53" i="50"/>
  <c r="C56" i="50"/>
  <c r="D56" i="50"/>
  <c r="E56" i="50"/>
  <c r="F56" i="50"/>
  <c r="G56" i="50"/>
  <c r="J56" i="50"/>
  <c r="K56" i="50"/>
  <c r="L56" i="50"/>
  <c r="M56" i="50"/>
  <c r="N56" i="50"/>
  <c r="C57" i="50"/>
  <c r="D57" i="50"/>
  <c r="E57" i="50"/>
  <c r="F57" i="50"/>
  <c r="G57" i="50"/>
  <c r="J57" i="50"/>
  <c r="K57" i="50"/>
  <c r="L57" i="50"/>
  <c r="M57" i="50"/>
  <c r="N57" i="50"/>
  <c r="C58" i="50"/>
  <c r="D58" i="50"/>
  <c r="E58" i="50"/>
  <c r="F58" i="50"/>
  <c r="G58" i="50"/>
  <c r="K58" i="50"/>
  <c r="L58" i="50"/>
  <c r="M58" i="50"/>
  <c r="N58" i="50"/>
  <c r="C59" i="50"/>
  <c r="D59" i="50"/>
  <c r="E59" i="50"/>
  <c r="F59" i="50"/>
  <c r="G59" i="50"/>
  <c r="J59" i="50"/>
  <c r="K59" i="50"/>
  <c r="L59" i="50"/>
  <c r="M59" i="50"/>
  <c r="N59" i="50"/>
  <c r="C61" i="50"/>
  <c r="D61" i="50"/>
  <c r="E61" i="50"/>
  <c r="F61" i="50"/>
  <c r="G61" i="50"/>
  <c r="D78" i="50"/>
  <c r="D80" i="50"/>
  <c r="B8" i="53"/>
  <c r="C8" i="53"/>
  <c r="D8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W8" i="53"/>
  <c r="X8" i="53"/>
  <c r="Y8" i="53"/>
  <c r="B9" i="53"/>
  <c r="C9" i="53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W9" i="53"/>
  <c r="X9" i="53"/>
  <c r="Y9" i="53"/>
  <c r="B10" i="53"/>
  <c r="C10" i="53"/>
  <c r="D10" i="53"/>
  <c r="E10" i="53"/>
  <c r="F10" i="53"/>
  <c r="G10" i="53"/>
  <c r="H10" i="53"/>
  <c r="I10" i="53"/>
  <c r="J10" i="53"/>
  <c r="K10" i="53"/>
  <c r="L10" i="53"/>
  <c r="M10" i="53"/>
  <c r="N10" i="53"/>
  <c r="O10" i="53"/>
  <c r="P10" i="53"/>
  <c r="Q10" i="53"/>
  <c r="R10" i="53"/>
  <c r="S10" i="53"/>
  <c r="T10" i="53"/>
  <c r="U10" i="53"/>
  <c r="W10" i="53"/>
  <c r="X10" i="53"/>
  <c r="Y10" i="53"/>
  <c r="B15" i="53"/>
  <c r="C15" i="53"/>
  <c r="D15" i="53"/>
  <c r="E15" i="53"/>
  <c r="F15" i="53"/>
  <c r="G15" i="53"/>
  <c r="H15" i="53"/>
  <c r="I15" i="53"/>
  <c r="J15" i="53"/>
  <c r="K15" i="53"/>
  <c r="L15" i="53"/>
  <c r="M15" i="53"/>
  <c r="N15" i="53"/>
  <c r="O15" i="53"/>
  <c r="P15" i="53"/>
  <c r="Q15" i="53"/>
  <c r="R15" i="53"/>
  <c r="S15" i="53"/>
  <c r="T15" i="53"/>
  <c r="U15" i="53"/>
  <c r="W15" i="53"/>
  <c r="X15" i="53"/>
  <c r="Y15" i="53"/>
  <c r="B16" i="53"/>
  <c r="C16" i="53"/>
  <c r="D16" i="53"/>
  <c r="E16" i="53"/>
  <c r="F16" i="53"/>
  <c r="G16" i="53"/>
  <c r="H16" i="53"/>
  <c r="I16" i="53"/>
  <c r="J16" i="53"/>
  <c r="K16" i="53"/>
  <c r="L16" i="53"/>
  <c r="M16" i="53"/>
  <c r="N16" i="53"/>
  <c r="O16" i="53"/>
  <c r="P16" i="53"/>
  <c r="Q16" i="53"/>
  <c r="R16" i="53"/>
  <c r="S16" i="53"/>
  <c r="T16" i="53"/>
  <c r="U16" i="53"/>
  <c r="W16" i="53"/>
  <c r="X16" i="53"/>
  <c r="Y16" i="53"/>
  <c r="B17" i="53"/>
  <c r="C17" i="53"/>
  <c r="D17" i="53"/>
  <c r="E17" i="53"/>
  <c r="F17" i="53"/>
  <c r="G17" i="53"/>
  <c r="H17" i="53"/>
  <c r="I17" i="53"/>
  <c r="J17" i="53"/>
  <c r="K17" i="53"/>
  <c r="L17" i="53"/>
  <c r="M17" i="53"/>
  <c r="N17" i="53"/>
  <c r="O17" i="53"/>
  <c r="P17" i="53"/>
  <c r="Q17" i="53"/>
  <c r="R17" i="53"/>
  <c r="S17" i="53"/>
  <c r="T17" i="53"/>
  <c r="U17" i="53"/>
  <c r="W17" i="53"/>
  <c r="X17" i="53"/>
  <c r="Y17" i="53"/>
  <c r="B19" i="53"/>
  <c r="C19" i="53"/>
  <c r="D19" i="53"/>
  <c r="E19" i="53"/>
  <c r="F19" i="53"/>
  <c r="G19" i="53"/>
  <c r="H19" i="53"/>
  <c r="I19" i="53"/>
  <c r="J19" i="53"/>
  <c r="K19" i="53"/>
  <c r="L19" i="53"/>
  <c r="M19" i="53"/>
  <c r="N19" i="53"/>
  <c r="O19" i="53"/>
  <c r="P19" i="53"/>
  <c r="Q19" i="53"/>
  <c r="R19" i="53"/>
  <c r="S19" i="53"/>
  <c r="T19" i="53"/>
  <c r="U19" i="53"/>
  <c r="W19" i="53"/>
  <c r="X19" i="53"/>
  <c r="Y19" i="53"/>
  <c r="B21" i="53"/>
  <c r="C21" i="53"/>
  <c r="D21" i="53"/>
  <c r="E21" i="53"/>
  <c r="F21" i="53"/>
  <c r="G21" i="53"/>
  <c r="H21" i="53"/>
  <c r="I21" i="53"/>
  <c r="J21" i="53"/>
  <c r="K21" i="53"/>
  <c r="L21" i="53"/>
  <c r="M21" i="53"/>
  <c r="N21" i="53"/>
  <c r="O21" i="53"/>
  <c r="P21" i="53"/>
  <c r="Q21" i="53"/>
  <c r="R21" i="53"/>
  <c r="S21" i="53"/>
  <c r="T21" i="53"/>
  <c r="U21" i="53"/>
  <c r="W21" i="53"/>
  <c r="X21" i="53"/>
  <c r="Y21" i="53"/>
  <c r="B22" i="53"/>
  <c r="C22" i="53"/>
  <c r="D22" i="53"/>
  <c r="E22" i="53"/>
  <c r="F22" i="53"/>
  <c r="G22" i="53"/>
  <c r="H22" i="53"/>
  <c r="I22" i="53"/>
  <c r="J22" i="53"/>
  <c r="K22" i="53"/>
  <c r="L22" i="53"/>
  <c r="M22" i="53"/>
  <c r="N22" i="53"/>
  <c r="O22" i="53"/>
  <c r="P22" i="53"/>
  <c r="Q22" i="53"/>
  <c r="R22" i="53"/>
  <c r="S22" i="53"/>
  <c r="T22" i="53"/>
  <c r="U22" i="53"/>
  <c r="W22" i="53"/>
  <c r="X22" i="53"/>
  <c r="Y22" i="53"/>
  <c r="B23" i="53"/>
  <c r="C23" i="53"/>
  <c r="D23" i="53"/>
  <c r="E23" i="53"/>
  <c r="F23" i="53"/>
  <c r="G23" i="53"/>
  <c r="H23" i="53"/>
  <c r="I23" i="53"/>
  <c r="J23" i="53"/>
  <c r="K23" i="53"/>
  <c r="L23" i="53"/>
  <c r="M23" i="53"/>
  <c r="N23" i="53"/>
  <c r="O23" i="53"/>
  <c r="P23" i="53"/>
  <c r="Q23" i="53"/>
  <c r="R23" i="53"/>
  <c r="S23" i="53"/>
  <c r="T23" i="53"/>
  <c r="U23" i="53"/>
  <c r="W23" i="53"/>
  <c r="X23" i="53"/>
  <c r="Y23" i="53"/>
  <c r="B24" i="53"/>
  <c r="C24" i="53"/>
  <c r="D24" i="53"/>
  <c r="E24" i="53"/>
  <c r="F24" i="53"/>
  <c r="G24" i="53"/>
  <c r="H24" i="53"/>
  <c r="I24" i="53"/>
  <c r="J24" i="53"/>
  <c r="K24" i="53"/>
  <c r="L24" i="53"/>
  <c r="M24" i="53"/>
  <c r="N24" i="53"/>
  <c r="O24" i="53"/>
  <c r="P24" i="53"/>
  <c r="Q24" i="53"/>
  <c r="R24" i="53"/>
  <c r="S24" i="53"/>
  <c r="T24" i="53"/>
  <c r="U24" i="53"/>
  <c r="W24" i="53"/>
  <c r="X24" i="53"/>
  <c r="Y24" i="53"/>
  <c r="B26" i="53"/>
  <c r="C26" i="53"/>
  <c r="D26" i="53"/>
  <c r="E26" i="53"/>
  <c r="F26" i="53"/>
  <c r="G26" i="53"/>
  <c r="H26" i="53"/>
  <c r="I26" i="53"/>
  <c r="J26" i="53"/>
  <c r="K26" i="53"/>
  <c r="L26" i="53"/>
  <c r="M26" i="53"/>
  <c r="N26" i="53"/>
  <c r="O26" i="53"/>
  <c r="P26" i="53"/>
  <c r="Q26" i="53"/>
  <c r="R26" i="53"/>
  <c r="S26" i="53"/>
  <c r="T26" i="53"/>
  <c r="U26" i="53"/>
  <c r="B28" i="53"/>
  <c r="C28" i="53"/>
  <c r="D28" i="53"/>
  <c r="E28" i="53"/>
  <c r="F28" i="53"/>
  <c r="G28" i="53"/>
  <c r="H28" i="53"/>
  <c r="I28" i="53"/>
  <c r="J28" i="53"/>
  <c r="K28" i="53"/>
  <c r="L28" i="53"/>
  <c r="M28" i="53"/>
  <c r="N28" i="53"/>
  <c r="O28" i="53"/>
  <c r="P28" i="53"/>
  <c r="Q28" i="53"/>
  <c r="R28" i="53"/>
  <c r="S28" i="53"/>
  <c r="T28" i="53"/>
  <c r="U28" i="53"/>
  <c r="W28" i="53"/>
  <c r="X28" i="53"/>
  <c r="Y28" i="53"/>
  <c r="B29" i="53"/>
  <c r="C29" i="53"/>
  <c r="D29" i="53"/>
  <c r="E29" i="53"/>
  <c r="F29" i="53"/>
  <c r="G29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W29" i="53"/>
  <c r="X29" i="53"/>
  <c r="Y29" i="53"/>
  <c r="B30" i="53"/>
  <c r="C30" i="53"/>
  <c r="D30" i="53"/>
  <c r="E30" i="53"/>
  <c r="F30" i="53"/>
  <c r="G30" i="53"/>
  <c r="H30" i="53"/>
  <c r="I30" i="53"/>
  <c r="J30" i="53"/>
  <c r="K30" i="53"/>
  <c r="L30" i="53"/>
  <c r="M30" i="53"/>
  <c r="N30" i="53"/>
  <c r="O30" i="53"/>
  <c r="P30" i="53"/>
  <c r="Q30" i="53"/>
  <c r="R30" i="53"/>
  <c r="S30" i="53"/>
  <c r="T30" i="53"/>
  <c r="U30" i="53"/>
  <c r="W30" i="53"/>
  <c r="X30" i="53"/>
  <c r="Y30" i="53"/>
  <c r="B32" i="53"/>
  <c r="C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T32" i="53"/>
  <c r="U32" i="53"/>
  <c r="W32" i="53"/>
  <c r="X32" i="53"/>
  <c r="Y32" i="53"/>
  <c r="B34" i="53"/>
  <c r="C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T34" i="53"/>
  <c r="U34" i="53"/>
  <c r="B37" i="53"/>
  <c r="C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T37" i="53"/>
  <c r="U37" i="53"/>
  <c r="B39" i="53"/>
  <c r="C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B40" i="53"/>
  <c r="C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T40" i="53"/>
  <c r="U40" i="53"/>
  <c r="B42" i="53"/>
  <c r="C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T42" i="53"/>
  <c r="U42" i="53"/>
  <c r="B44" i="53"/>
  <c r="C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T44" i="53"/>
  <c r="U44" i="53"/>
  <c r="B52" i="53"/>
  <c r="C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T52" i="53"/>
  <c r="U52" i="53"/>
  <c r="B53" i="53"/>
  <c r="C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T53" i="53"/>
  <c r="U53" i="53"/>
  <c r="B55" i="53"/>
  <c r="C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T55" i="53"/>
  <c r="U55" i="53"/>
  <c r="B56" i="53"/>
  <c r="C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T56" i="53"/>
  <c r="U56" i="53"/>
  <c r="B58" i="53"/>
  <c r="C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T58" i="53"/>
  <c r="U58" i="53"/>
  <c r="B59" i="53"/>
  <c r="C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T59" i="53"/>
  <c r="U59" i="53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AA10" i="35"/>
  <c r="AB10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AA11" i="35"/>
  <c r="AB11" i="35"/>
  <c r="AA12" i="35"/>
  <c r="AB12" i="35"/>
  <c r="AA13" i="35"/>
  <c r="AB13" i="35"/>
  <c r="AA14" i="35"/>
  <c r="AB14" i="35"/>
  <c r="AA15" i="35"/>
  <c r="AB15" i="35"/>
  <c r="AA16" i="35"/>
  <c r="AB16" i="35"/>
  <c r="AA17" i="35"/>
  <c r="AB17" i="35"/>
  <c r="AA18" i="35"/>
  <c r="AB18" i="35"/>
  <c r="AA19" i="35"/>
  <c r="AB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A21" i="35"/>
  <c r="AB21" i="35"/>
  <c r="AA22" i="35"/>
  <c r="AB22" i="35"/>
  <c r="AA23" i="35"/>
  <c r="AB23" i="35"/>
  <c r="AA24" i="35"/>
  <c r="AB24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A26" i="35"/>
  <c r="AB26" i="35"/>
  <c r="AA27" i="35"/>
  <c r="AB27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A30" i="35"/>
  <c r="AB30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A32" i="35"/>
  <c r="AB32" i="35"/>
  <c r="AA33" i="35"/>
  <c r="AB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A35" i="35"/>
  <c r="AB35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AA37" i="35"/>
  <c r="AB37" i="35"/>
  <c r="AA38" i="35"/>
  <c r="AB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A40" i="35"/>
  <c r="AB40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A42" i="35"/>
  <c r="AB42" i="35"/>
  <c r="AA43" i="35"/>
  <c r="AB43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A45" i="35"/>
  <c r="AB45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A47" i="35"/>
  <c r="AB47" i="35"/>
  <c r="AA48" i="35"/>
  <c r="AB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A50" i="35"/>
  <c r="AB50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A53" i="35"/>
  <c r="AB53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A55" i="35"/>
  <c r="AB55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AA57" i="35"/>
  <c r="AB57" i="35"/>
  <c r="AA58" i="35"/>
  <c r="AB58" i="35"/>
  <c r="AA59" i="35"/>
  <c r="AB59" i="35"/>
  <c r="AA60" i="35"/>
  <c r="AB60" i="35"/>
  <c r="AA61" i="35"/>
  <c r="AB61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A63" i="35"/>
  <c r="AB63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A65" i="35"/>
  <c r="AB65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A67" i="35"/>
  <c r="AB67" i="35"/>
  <c r="AA68" i="35"/>
  <c r="AB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A70" i="35"/>
  <c r="AB70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A72" i="35"/>
  <c r="AB72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A74" i="35"/>
  <c r="AB74" i="35"/>
  <c r="AA75" i="35"/>
  <c r="AB75" i="35"/>
  <c r="C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C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A78" i="35"/>
  <c r="AB78" i="35"/>
  <c r="AA79" i="35"/>
  <c r="AB79" i="35"/>
  <c r="AA80" i="35"/>
  <c r="AB80" i="35"/>
  <c r="AA81" i="35"/>
  <c r="AB81" i="35"/>
  <c r="AA82" i="35"/>
  <c r="AB82" i="35"/>
  <c r="AA83" i="35"/>
  <c r="AB83" i="35"/>
  <c r="AA84" i="35"/>
  <c r="AB84" i="35"/>
  <c r="AA85" i="35"/>
  <c r="AB85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A87" i="35"/>
  <c r="AB87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X91" i="35"/>
  <c r="AA91" i="35"/>
  <c r="AB91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A93" i="35"/>
  <c r="AB93" i="35"/>
  <c r="AA94" i="35"/>
  <c r="AB94" i="35"/>
  <c r="E95" i="35"/>
  <c r="Y95" i="35"/>
  <c r="AA95" i="35"/>
  <c r="AB95" i="35"/>
  <c r="AA96" i="35"/>
  <c r="AB96" i="35"/>
  <c r="Y97" i="35"/>
  <c r="AA97" i="35"/>
  <c r="AB97" i="35"/>
  <c r="AA98" i="35"/>
  <c r="AB98" i="35"/>
  <c r="Y99" i="35"/>
  <c r="AA99" i="35"/>
  <c r="AB99" i="35"/>
  <c r="AA100" i="35"/>
  <c r="AB100" i="35"/>
  <c r="D101" i="35"/>
  <c r="AA101" i="35"/>
  <c r="AB101" i="35"/>
  <c r="D102" i="35"/>
  <c r="AA102" i="35"/>
  <c r="AB102" i="35"/>
  <c r="D103" i="35"/>
  <c r="AA103" i="35"/>
  <c r="AB103" i="35"/>
  <c r="AA104" i="35"/>
  <c r="AB104" i="35"/>
  <c r="D105" i="35"/>
  <c r="AA105" i="35"/>
  <c r="AB105" i="35"/>
  <c r="AA106" i="35"/>
  <c r="AB106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A108" i="35"/>
  <c r="AB108" i="35"/>
  <c r="D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AA109" i="35"/>
  <c r="AB109" i="35"/>
  <c r="D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AA110" i="35"/>
  <c r="AB110" i="35"/>
  <c r="AA111" i="35"/>
  <c r="AB111" i="35"/>
  <c r="AA112" i="35"/>
  <c r="AB112" i="35"/>
  <c r="D113" i="35"/>
  <c r="AA113" i="35"/>
  <c r="AB113" i="35"/>
  <c r="AA114" i="35"/>
  <c r="AB114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AA115" i="35"/>
  <c r="AB115" i="35"/>
  <c r="D116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AA116" i="35"/>
  <c r="AB116" i="35"/>
  <c r="AA117" i="35"/>
  <c r="AB117" i="35"/>
  <c r="AA118" i="35"/>
  <c r="AB118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A120" i="35"/>
  <c r="AB120" i="35"/>
  <c r="A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A125" i="35"/>
  <c r="AB125" i="35"/>
  <c r="C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C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A128" i="35"/>
  <c r="AB128" i="35"/>
  <c r="AA129" i="35"/>
  <c r="AB129" i="35"/>
  <c r="AA130" i="35"/>
  <c r="AB130" i="35"/>
  <c r="AA131" i="35"/>
  <c r="AB131" i="35"/>
  <c r="AA132" i="35"/>
  <c r="AB132" i="35"/>
  <c r="AA133" i="35"/>
  <c r="AB133" i="35"/>
  <c r="AA134" i="35"/>
  <c r="AB134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A136" i="35"/>
  <c r="AB136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C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C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F142" i="35"/>
  <c r="G142" i="35"/>
  <c r="H142" i="35"/>
  <c r="I142" i="35"/>
  <c r="J142" i="35"/>
  <c r="K142" i="35"/>
  <c r="L142" i="35"/>
  <c r="M142" i="35"/>
  <c r="N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A143" i="35"/>
  <c r="AB143" i="35"/>
  <c r="A144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A146" i="35"/>
  <c r="AB146" i="35"/>
  <c r="AA147" i="35"/>
  <c r="AB147" i="35"/>
  <c r="AA148" i="35"/>
  <c r="AB148" i="35"/>
  <c r="AA149" i="35"/>
  <c r="AB149" i="35"/>
  <c r="A150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R150" i="35"/>
  <c r="S150" i="35"/>
  <c r="T150" i="35"/>
  <c r="U150" i="35"/>
  <c r="V150" i="35"/>
  <c r="W150" i="35"/>
  <c r="X150" i="35"/>
  <c r="AA150" i="35"/>
  <c r="AB150" i="35"/>
  <c r="AA151" i="35"/>
  <c r="AB151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C155" i="35"/>
  <c r="C156" i="35"/>
  <c r="D160" i="35"/>
  <c r="D161" i="35"/>
  <c r="D162" i="35"/>
  <c r="D163" i="35"/>
  <c r="D164" i="35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AA10" i="37"/>
  <c r="AB10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AA11" i="37"/>
  <c r="AB11" i="37"/>
  <c r="E12" i="37"/>
  <c r="F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AA12" i="37"/>
  <c r="AB12" i="37"/>
  <c r="AA13" i="37"/>
  <c r="AB13" i="37"/>
  <c r="AA14" i="37"/>
  <c r="AB14" i="37"/>
  <c r="AA15" i="37"/>
  <c r="AB15" i="37"/>
  <c r="AA16" i="37"/>
  <c r="AB16" i="37"/>
  <c r="AA17" i="37"/>
  <c r="AB17" i="37"/>
  <c r="AA18" i="37"/>
  <c r="AB18" i="37"/>
  <c r="AA19" i="37"/>
  <c r="AB19" i="37"/>
  <c r="E20" i="37"/>
  <c r="F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AA20" i="37"/>
  <c r="AB20" i="37"/>
  <c r="AA21" i="37"/>
  <c r="AB21" i="37"/>
  <c r="AA22" i="37"/>
  <c r="AB22" i="37"/>
  <c r="AA23" i="37"/>
  <c r="AB23" i="37"/>
  <c r="AA24" i="37"/>
  <c r="AB24" i="37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AA25" i="37"/>
  <c r="AB25" i="37"/>
  <c r="AA26" i="37"/>
  <c r="AB26" i="37"/>
  <c r="AA27" i="37"/>
  <c r="AB27" i="37"/>
  <c r="AA28" i="37"/>
  <c r="AB28" i="37"/>
  <c r="AA29" i="37"/>
  <c r="AB29" i="37"/>
  <c r="AA30" i="37"/>
  <c r="AB30" i="37"/>
  <c r="AA31" i="37"/>
  <c r="AB31" i="37"/>
  <c r="AA32" i="37"/>
  <c r="AB32" i="37"/>
  <c r="AA33" i="37"/>
  <c r="AB33" i="37"/>
  <c r="E34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AA34" i="37"/>
  <c r="AB34" i="37"/>
  <c r="AA35" i="37"/>
  <c r="AB35" i="37"/>
  <c r="E36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AA36" i="37"/>
  <c r="AB36" i="37"/>
  <c r="AA37" i="37"/>
  <c r="AB37" i="37"/>
  <c r="AA38" i="37"/>
  <c r="AB38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AA39" i="37"/>
  <c r="AB39" i="37"/>
  <c r="AA40" i="37"/>
  <c r="AB40" i="37"/>
  <c r="F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AA41" i="37"/>
  <c r="AB41" i="37"/>
  <c r="AA42" i="37"/>
  <c r="AB42" i="37"/>
  <c r="AA43" i="37"/>
  <c r="AB43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AA44" i="37"/>
  <c r="AB44" i="37"/>
  <c r="AA45" i="37"/>
  <c r="AB45" i="37"/>
  <c r="AA46" i="37"/>
  <c r="AB46" i="37"/>
  <c r="AA47" i="37"/>
  <c r="AB47" i="37"/>
  <c r="AA48" i="37"/>
  <c r="AB48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AA49" i="37"/>
  <c r="AB49" i="37"/>
  <c r="AA50" i="37"/>
  <c r="AB50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AA51" i="37"/>
  <c r="AB51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AA52" i="37"/>
  <c r="AB52" i="37"/>
  <c r="AA53" i="37"/>
  <c r="AB53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AA54" i="37"/>
  <c r="AB54" i="37"/>
  <c r="AA55" i="37"/>
  <c r="AB55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AA56" i="37"/>
  <c r="AB56" i="37"/>
  <c r="AA57" i="37"/>
  <c r="AB57" i="37"/>
  <c r="AA58" i="37"/>
  <c r="AB58" i="37"/>
  <c r="AA59" i="37"/>
  <c r="AB59" i="37"/>
  <c r="AA60" i="37"/>
  <c r="AB60" i="37"/>
  <c r="AA61" i="37"/>
  <c r="AB61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AA62" i="37"/>
  <c r="AB62" i="37"/>
  <c r="AA63" i="37"/>
  <c r="AB63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AA64" i="37"/>
  <c r="AB64" i="37"/>
  <c r="AA65" i="37"/>
  <c r="AB65" i="37"/>
  <c r="AA66" i="37"/>
  <c r="AB66" i="37"/>
  <c r="AA67" i="37"/>
  <c r="AB67" i="37"/>
  <c r="AA68" i="37"/>
  <c r="AB68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AA69" i="37"/>
  <c r="AB69" i="37"/>
  <c r="AA70" i="37"/>
  <c r="AB70" i="37"/>
  <c r="E71" i="37"/>
  <c r="F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AA71" i="37"/>
  <c r="AB71" i="37"/>
  <c r="AA72" i="37"/>
  <c r="AB72" i="37"/>
  <c r="E73" i="37"/>
  <c r="F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AA73" i="37"/>
  <c r="AB73" i="37"/>
  <c r="AA74" i="37"/>
  <c r="AB74" i="37"/>
  <c r="AA75" i="37"/>
  <c r="AB75" i="37"/>
  <c r="C76" i="37"/>
  <c r="E76" i="37"/>
  <c r="F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AA76" i="37"/>
  <c r="AB76" i="37"/>
  <c r="C77" i="37"/>
  <c r="E77" i="37"/>
  <c r="F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AA77" i="37"/>
  <c r="AB77" i="37"/>
  <c r="AA78" i="37"/>
  <c r="AB78" i="37"/>
  <c r="AA79" i="37"/>
  <c r="AB79" i="37"/>
  <c r="AA80" i="37"/>
  <c r="AB80" i="37"/>
  <c r="AA81" i="37"/>
  <c r="AB81" i="37"/>
  <c r="AA82" i="37"/>
  <c r="AB82" i="37"/>
  <c r="AA83" i="37"/>
  <c r="AB83" i="37"/>
  <c r="AA84" i="37"/>
  <c r="AB84" i="37"/>
  <c r="AA85" i="37"/>
  <c r="AB85" i="37"/>
  <c r="E86" i="37"/>
  <c r="F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AA86" i="37"/>
  <c r="AB86" i="37"/>
  <c r="AA87" i="37"/>
  <c r="AB87" i="37"/>
  <c r="F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AA88" i="37"/>
  <c r="AB88" i="37"/>
  <c r="F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AA89" i="37"/>
  <c r="AB89" i="37"/>
  <c r="F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AA90" i="37"/>
  <c r="AB90" i="37"/>
  <c r="X91" i="37"/>
  <c r="AA91" i="37"/>
  <c r="AB91" i="37"/>
  <c r="F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AA92" i="37"/>
  <c r="AB92" i="37"/>
  <c r="AA93" i="37"/>
  <c r="AB93" i="37"/>
  <c r="AA94" i="37"/>
  <c r="AB94" i="37"/>
  <c r="E95" i="37"/>
  <c r="Y95" i="37"/>
  <c r="AA95" i="37"/>
  <c r="AB95" i="37"/>
  <c r="AA96" i="37"/>
  <c r="AB96" i="37"/>
  <c r="Y97" i="37"/>
  <c r="AA97" i="37"/>
  <c r="AB97" i="37"/>
  <c r="AA98" i="37"/>
  <c r="AB98" i="37"/>
  <c r="Y99" i="37"/>
  <c r="AA99" i="37"/>
  <c r="AB99" i="37"/>
  <c r="AA100" i="37"/>
  <c r="AB100" i="37"/>
  <c r="AA101" i="37"/>
  <c r="AB101" i="37"/>
  <c r="D102" i="37"/>
  <c r="AA102" i="37"/>
  <c r="AB102" i="37"/>
  <c r="D103" i="37"/>
  <c r="AA103" i="37"/>
  <c r="AB103" i="37"/>
  <c r="AA104" i="37"/>
  <c r="AB104" i="37"/>
  <c r="D105" i="37"/>
  <c r="AA105" i="37"/>
  <c r="AB105" i="37"/>
  <c r="AA106" i="37"/>
  <c r="AB106" i="37"/>
  <c r="F107" i="37"/>
  <c r="G107" i="37"/>
  <c r="H107" i="37"/>
  <c r="I107" i="37"/>
  <c r="J107" i="37"/>
  <c r="K107" i="37"/>
  <c r="L107" i="37"/>
  <c r="M107" i="37"/>
  <c r="N107" i="37"/>
  <c r="O107" i="37"/>
  <c r="P107" i="37"/>
  <c r="Q107" i="37"/>
  <c r="R107" i="37"/>
  <c r="S107" i="37"/>
  <c r="T107" i="37"/>
  <c r="U107" i="37"/>
  <c r="V107" i="37"/>
  <c r="W107" i="37"/>
  <c r="X107" i="37"/>
  <c r="Y107" i="37"/>
  <c r="AA107" i="37"/>
  <c r="AB107" i="37"/>
  <c r="AA108" i="37"/>
  <c r="AB108" i="37"/>
  <c r="D109" i="37"/>
  <c r="F109" i="37"/>
  <c r="G109" i="37"/>
  <c r="H109" i="37"/>
  <c r="I109" i="37"/>
  <c r="J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AA109" i="37"/>
  <c r="AB109" i="37"/>
  <c r="D110" i="37"/>
  <c r="F110" i="37"/>
  <c r="G110" i="37"/>
  <c r="H110" i="37"/>
  <c r="I110" i="37"/>
  <c r="J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AA110" i="37"/>
  <c r="AB110" i="37"/>
  <c r="AA111" i="37"/>
  <c r="AB111" i="37"/>
  <c r="AA112" i="37"/>
  <c r="AB112" i="37"/>
  <c r="D113" i="37"/>
  <c r="AA113" i="37"/>
  <c r="AB113" i="37"/>
  <c r="AA114" i="37"/>
  <c r="AB114" i="37"/>
  <c r="F115" i="37"/>
  <c r="G115" i="37"/>
  <c r="H115" i="37"/>
  <c r="I115" i="37"/>
  <c r="J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AA115" i="37"/>
  <c r="AB115" i="37"/>
  <c r="D116" i="37"/>
  <c r="F116" i="37"/>
  <c r="G116" i="37"/>
  <c r="H116" i="37"/>
  <c r="I116" i="37"/>
  <c r="J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AA116" i="37"/>
  <c r="AB116" i="37"/>
  <c r="AA117" i="37"/>
  <c r="AB117" i="37"/>
  <c r="AA118" i="37"/>
  <c r="AB118" i="37"/>
  <c r="F119" i="37"/>
  <c r="G119" i="37"/>
  <c r="H119" i="37"/>
  <c r="I119" i="37"/>
  <c r="J119" i="37"/>
  <c r="K119" i="37"/>
  <c r="L119" i="37"/>
  <c r="M119" i="37"/>
  <c r="N119" i="37"/>
  <c r="O119" i="37"/>
  <c r="P119" i="37"/>
  <c r="Q119" i="37"/>
  <c r="R119" i="37"/>
  <c r="S119" i="37"/>
  <c r="T119" i="37"/>
  <c r="U119" i="37"/>
  <c r="V119" i="37"/>
  <c r="W119" i="37"/>
  <c r="X119" i="37"/>
  <c r="Y119" i="37"/>
  <c r="AA119" i="37"/>
  <c r="AB119" i="37"/>
  <c r="AA120" i="37"/>
  <c r="AB120" i="37"/>
  <c r="A121" i="37"/>
  <c r="F121" i="37"/>
  <c r="G121" i="37"/>
  <c r="H121" i="37"/>
  <c r="I121" i="37"/>
  <c r="J121" i="37"/>
  <c r="K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AA121" i="37"/>
  <c r="AB121" i="37"/>
  <c r="F122" i="37"/>
  <c r="G122" i="37"/>
  <c r="H122" i="37"/>
  <c r="I122" i="37"/>
  <c r="J122" i="37"/>
  <c r="K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AA122" i="37"/>
  <c r="AB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3" i="37"/>
  <c r="AB123" i="37"/>
  <c r="F124" i="37"/>
  <c r="G124" i="37"/>
  <c r="H124" i="37"/>
  <c r="I124" i="37"/>
  <c r="J124" i="37"/>
  <c r="K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AA124" i="37"/>
  <c r="AB124" i="37"/>
  <c r="AA125" i="37"/>
  <c r="AB125" i="37"/>
  <c r="C126" i="37"/>
  <c r="F126" i="37"/>
  <c r="G126" i="37"/>
  <c r="H126" i="37"/>
  <c r="I126" i="37"/>
  <c r="J126" i="37"/>
  <c r="K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AA126" i="37"/>
  <c r="AB126" i="37"/>
  <c r="C127" i="37"/>
  <c r="F127" i="37"/>
  <c r="G127" i="37"/>
  <c r="H127" i="37"/>
  <c r="I127" i="37"/>
  <c r="J127" i="37"/>
  <c r="K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AA127" i="37"/>
  <c r="AB127" i="37"/>
  <c r="AA128" i="37"/>
  <c r="AB128" i="37"/>
  <c r="AA129" i="37"/>
  <c r="AB129" i="37"/>
  <c r="AA130" i="37"/>
  <c r="AB130" i="37"/>
  <c r="AA131" i="37"/>
  <c r="AB131" i="37"/>
  <c r="AA132" i="37"/>
  <c r="AB132" i="37"/>
  <c r="AA133" i="37"/>
  <c r="AB133" i="37"/>
  <c r="AA134" i="37"/>
  <c r="AB134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R135" i="37"/>
  <c r="S135" i="37"/>
  <c r="T135" i="37"/>
  <c r="U135" i="37"/>
  <c r="V135" i="37"/>
  <c r="W135" i="37"/>
  <c r="X135" i="37"/>
  <c r="Y135" i="37"/>
  <c r="AA135" i="37"/>
  <c r="AB135" i="37"/>
  <c r="AA136" i="37"/>
  <c r="AB136" i="37"/>
  <c r="F137" i="37"/>
  <c r="G137" i="37"/>
  <c r="H137" i="37"/>
  <c r="I137" i="37"/>
  <c r="J137" i="37"/>
  <c r="K137" i="37"/>
  <c r="L137" i="37"/>
  <c r="M137" i="37"/>
  <c r="N137" i="37"/>
  <c r="O137" i="37"/>
  <c r="P137" i="37"/>
  <c r="Q137" i="37"/>
  <c r="R137" i="37"/>
  <c r="S137" i="37"/>
  <c r="T137" i="37"/>
  <c r="U137" i="37"/>
  <c r="V137" i="37"/>
  <c r="W137" i="37"/>
  <c r="X137" i="37"/>
  <c r="Y137" i="37"/>
  <c r="AA137" i="37"/>
  <c r="AB137" i="37"/>
  <c r="F138" i="37"/>
  <c r="G138" i="37"/>
  <c r="H138" i="37"/>
  <c r="I138" i="37"/>
  <c r="J138" i="37"/>
  <c r="K138" i="37"/>
  <c r="L138" i="37"/>
  <c r="M138" i="37"/>
  <c r="N138" i="37"/>
  <c r="O138" i="37"/>
  <c r="P138" i="37"/>
  <c r="Q138" i="37"/>
  <c r="R138" i="37"/>
  <c r="S138" i="37"/>
  <c r="T138" i="37"/>
  <c r="U138" i="37"/>
  <c r="V138" i="37"/>
  <c r="W138" i="37"/>
  <c r="X138" i="37"/>
  <c r="Y138" i="37"/>
  <c r="AA138" i="37"/>
  <c r="AB138" i="37"/>
  <c r="F139" i="37"/>
  <c r="G139" i="37"/>
  <c r="H139" i="37"/>
  <c r="I139" i="37"/>
  <c r="J139" i="37"/>
  <c r="K139" i="37"/>
  <c r="L139" i="37"/>
  <c r="M139" i="37"/>
  <c r="N139" i="37"/>
  <c r="O139" i="37"/>
  <c r="P139" i="37"/>
  <c r="Q139" i="37"/>
  <c r="R139" i="37"/>
  <c r="S139" i="37"/>
  <c r="T139" i="37"/>
  <c r="U139" i="37"/>
  <c r="V139" i="37"/>
  <c r="W139" i="37"/>
  <c r="X139" i="37"/>
  <c r="Y139" i="37"/>
  <c r="AA139" i="37"/>
  <c r="AB139" i="37"/>
  <c r="C140" i="37"/>
  <c r="F140" i="37"/>
  <c r="G140" i="37"/>
  <c r="H140" i="37"/>
  <c r="I140" i="37"/>
  <c r="J140" i="37"/>
  <c r="K140" i="37"/>
  <c r="L140" i="37"/>
  <c r="M140" i="37"/>
  <c r="N140" i="37"/>
  <c r="O140" i="37"/>
  <c r="P140" i="37"/>
  <c r="Q140" i="37"/>
  <c r="R140" i="37"/>
  <c r="S140" i="37"/>
  <c r="T140" i="37"/>
  <c r="U140" i="37"/>
  <c r="V140" i="37"/>
  <c r="W140" i="37"/>
  <c r="X140" i="37"/>
  <c r="Y140" i="37"/>
  <c r="AA140" i="37"/>
  <c r="AB140" i="37"/>
  <c r="C141" i="37"/>
  <c r="F141" i="37"/>
  <c r="G141" i="37"/>
  <c r="H141" i="37"/>
  <c r="I141" i="37"/>
  <c r="J141" i="37"/>
  <c r="K141" i="37"/>
  <c r="L141" i="37"/>
  <c r="M141" i="37"/>
  <c r="N141" i="37"/>
  <c r="O141" i="37"/>
  <c r="P141" i="37"/>
  <c r="Q141" i="37"/>
  <c r="R141" i="37"/>
  <c r="S141" i="37"/>
  <c r="T141" i="37"/>
  <c r="U141" i="37"/>
  <c r="V141" i="37"/>
  <c r="W141" i="37"/>
  <c r="X141" i="37"/>
  <c r="Y141" i="37"/>
  <c r="AA141" i="37"/>
  <c r="AB141" i="37"/>
  <c r="F142" i="37"/>
  <c r="G142" i="37"/>
  <c r="H142" i="37"/>
  <c r="I142" i="37"/>
  <c r="J142" i="37"/>
  <c r="K142" i="37"/>
  <c r="L142" i="37"/>
  <c r="M142" i="37"/>
  <c r="N142" i="37"/>
  <c r="O142" i="37"/>
  <c r="P142" i="37"/>
  <c r="Q142" i="37"/>
  <c r="R142" i="37"/>
  <c r="S142" i="37"/>
  <c r="T142" i="37"/>
  <c r="U142" i="37"/>
  <c r="V142" i="37"/>
  <c r="W142" i="37"/>
  <c r="X142" i="37"/>
  <c r="Y142" i="37"/>
  <c r="AA142" i="37"/>
  <c r="AB142" i="37"/>
  <c r="AA143" i="37"/>
  <c r="AB143" i="37"/>
  <c r="A144" i="37"/>
  <c r="F144" i="37"/>
  <c r="G144" i="37"/>
  <c r="H144" i="37"/>
  <c r="I144" i="37"/>
  <c r="J144" i="37"/>
  <c r="K144" i="37"/>
  <c r="L144" i="37"/>
  <c r="M144" i="37"/>
  <c r="N144" i="37"/>
  <c r="O144" i="37"/>
  <c r="P144" i="37"/>
  <c r="Q144" i="37"/>
  <c r="R144" i="37"/>
  <c r="S144" i="37"/>
  <c r="T144" i="37"/>
  <c r="U144" i="37"/>
  <c r="V144" i="37"/>
  <c r="W144" i="37"/>
  <c r="X144" i="37"/>
  <c r="Y144" i="37"/>
  <c r="AA144" i="37"/>
  <c r="AB144" i="37"/>
  <c r="F145" i="37"/>
  <c r="G145" i="37"/>
  <c r="H145" i="37"/>
  <c r="I145" i="37"/>
  <c r="J145" i="37"/>
  <c r="K145" i="37"/>
  <c r="L145" i="37"/>
  <c r="M145" i="37"/>
  <c r="N145" i="37"/>
  <c r="O145" i="37"/>
  <c r="P145" i="37"/>
  <c r="Q145" i="37"/>
  <c r="R145" i="37"/>
  <c r="S145" i="37"/>
  <c r="T145" i="37"/>
  <c r="U145" i="37"/>
  <c r="V145" i="37"/>
  <c r="W145" i="37"/>
  <c r="X145" i="37"/>
  <c r="Y145" i="37"/>
  <c r="AA145" i="37"/>
  <c r="AB145" i="37"/>
  <c r="AA146" i="37"/>
  <c r="AB146" i="37"/>
  <c r="AA147" i="37"/>
  <c r="AB147" i="37"/>
  <c r="AA148" i="37"/>
  <c r="AB148" i="37"/>
  <c r="AA149" i="37"/>
  <c r="AB149" i="37"/>
  <c r="A150" i="37"/>
  <c r="F150" i="37"/>
  <c r="G150" i="37"/>
  <c r="H150" i="37"/>
  <c r="I150" i="37"/>
  <c r="J150" i="37"/>
  <c r="K150" i="37"/>
  <c r="L150" i="37"/>
  <c r="M150" i="37"/>
  <c r="N150" i="37"/>
  <c r="O150" i="37"/>
  <c r="P150" i="37"/>
  <c r="Q150" i="37"/>
  <c r="R150" i="37"/>
  <c r="S150" i="37"/>
  <c r="T150" i="37"/>
  <c r="U150" i="37"/>
  <c r="V150" i="37"/>
  <c r="W150" i="37"/>
  <c r="X150" i="37"/>
  <c r="Y150" i="37"/>
  <c r="AA150" i="37"/>
  <c r="AB150" i="37"/>
  <c r="AA151" i="37"/>
  <c r="AB151" i="37"/>
  <c r="F152" i="37"/>
  <c r="G152" i="37"/>
  <c r="H152" i="37"/>
  <c r="I152" i="37"/>
  <c r="J152" i="37"/>
  <c r="K152" i="37"/>
  <c r="L152" i="37"/>
  <c r="M152" i="37"/>
  <c r="N152" i="37"/>
  <c r="O152" i="37"/>
  <c r="P152" i="37"/>
  <c r="Q152" i="37"/>
  <c r="R152" i="37"/>
  <c r="S152" i="37"/>
  <c r="T152" i="37"/>
  <c r="U152" i="37"/>
  <c r="V152" i="37"/>
  <c r="W152" i="37"/>
  <c r="X152" i="37"/>
  <c r="Y152" i="37"/>
  <c r="AA152" i="37"/>
  <c r="C155" i="37"/>
  <c r="C156" i="37"/>
  <c r="D160" i="37"/>
  <c r="D162" i="37"/>
  <c r="D163" i="37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AA10" i="14"/>
  <c r="AB10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AA11" i="14"/>
  <c r="AB11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AA12" i="14"/>
  <c r="AB12" i="14"/>
  <c r="AA13" i="14"/>
  <c r="AB13" i="14"/>
  <c r="AA14" i="14"/>
  <c r="AB14" i="14"/>
  <c r="AA15" i="14"/>
  <c r="AB15" i="14"/>
  <c r="AA16" i="14"/>
  <c r="AB16" i="14"/>
  <c r="AA17" i="14"/>
  <c r="AB17" i="14"/>
  <c r="AA18" i="14"/>
  <c r="AB18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AA19" i="14"/>
  <c r="AB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AA20" i="14"/>
  <c r="AB20" i="14"/>
  <c r="AA21" i="14"/>
  <c r="AB21" i="14"/>
  <c r="AA22" i="14"/>
  <c r="AB22" i="14"/>
  <c r="AA23" i="14"/>
  <c r="AB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AA24" i="14"/>
  <c r="AB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AA25" i="14"/>
  <c r="AB25" i="14"/>
  <c r="AA26" i="14"/>
  <c r="AB26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AA27" i="14"/>
  <c r="AB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AA28" i="14"/>
  <c r="AB28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AA29" i="14"/>
  <c r="AB29" i="14"/>
  <c r="AA30" i="14"/>
  <c r="A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AA31" i="14"/>
  <c r="AB31" i="14"/>
  <c r="AA32" i="14"/>
  <c r="AB32" i="14"/>
  <c r="AA33" i="14"/>
  <c r="AB33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AA34" i="14"/>
  <c r="AB34" i="14"/>
  <c r="AA35" i="14"/>
  <c r="AB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AA36" i="14"/>
  <c r="AB36" i="14"/>
  <c r="AA37" i="14"/>
  <c r="AB37" i="14"/>
  <c r="AA38" i="14"/>
  <c r="AB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AA39" i="14"/>
  <c r="AB39" i="14"/>
  <c r="AA40" i="14"/>
  <c r="AB40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AA41" i="14"/>
  <c r="AB41" i="14"/>
  <c r="AA42" i="14"/>
  <c r="AB42" i="14"/>
  <c r="AA43" i="14"/>
  <c r="AB43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AA44" i="14"/>
  <c r="AB44" i="14"/>
  <c r="AA45" i="14"/>
  <c r="AB45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AA46" i="14"/>
  <c r="AB46" i="14"/>
  <c r="AA47" i="14"/>
  <c r="AB47" i="14"/>
  <c r="AA48" i="14"/>
  <c r="AB48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AA49" i="14"/>
  <c r="AB49" i="14"/>
  <c r="AA50" i="14"/>
  <c r="AB50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AA51" i="14"/>
  <c r="AB51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AA52" i="14"/>
  <c r="AB52" i="14"/>
  <c r="AA53" i="14"/>
  <c r="AB53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AA54" i="14"/>
  <c r="AB54" i="14"/>
  <c r="B55" i="14"/>
  <c r="AA55" i="14"/>
  <c r="AB55" i="14"/>
  <c r="AA56" i="14"/>
  <c r="AB56" i="14"/>
  <c r="AA57" i="14"/>
  <c r="AB57" i="14"/>
  <c r="AA58" i="14"/>
  <c r="AB58" i="14"/>
  <c r="AA59" i="14"/>
  <c r="AB59" i="14"/>
  <c r="AA60" i="14"/>
  <c r="AB60" i="14"/>
  <c r="AA61" i="14"/>
  <c r="AB61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AA62" i="14"/>
  <c r="AB62" i="14"/>
  <c r="AA63" i="14"/>
  <c r="AB63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AA64" i="14"/>
  <c r="AB64" i="14"/>
  <c r="AA65" i="14"/>
  <c r="AB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AA66" i="14"/>
  <c r="AB66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AA67" i="14"/>
  <c r="AB67" i="14"/>
  <c r="AA68" i="14"/>
  <c r="AB68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AA69" i="14"/>
  <c r="AB69" i="14"/>
  <c r="AA70" i="14"/>
  <c r="AB70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AA71" i="14"/>
  <c r="AB71" i="14"/>
  <c r="AA72" i="14"/>
  <c r="AB72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AA73" i="14"/>
  <c r="AB73" i="14"/>
  <c r="AA74" i="14"/>
  <c r="AB74" i="14"/>
  <c r="AA75" i="14"/>
  <c r="AB75" i="14"/>
  <c r="C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AA76" i="14"/>
  <c r="AB76" i="14"/>
  <c r="C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AA77" i="14"/>
  <c r="AB77" i="14"/>
  <c r="AA78" i="14"/>
  <c r="AB78" i="14"/>
  <c r="AA79" i="14"/>
  <c r="AB79" i="14"/>
  <c r="AA80" i="14"/>
  <c r="AB80" i="14"/>
  <c r="AA81" i="14"/>
  <c r="AB81" i="14"/>
  <c r="AA82" i="14"/>
  <c r="AB82" i="14"/>
  <c r="AA83" i="14"/>
  <c r="AB83" i="14"/>
  <c r="AA84" i="14"/>
  <c r="AB84" i="14"/>
  <c r="AA85" i="14"/>
  <c r="AB85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AA86" i="14"/>
  <c r="AB86" i="14"/>
  <c r="AA87" i="14"/>
  <c r="AB87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AA88" i="14"/>
  <c r="AB88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AA89" i="14"/>
  <c r="AB89" i="14"/>
  <c r="Y90" i="14"/>
  <c r="AA90" i="14"/>
  <c r="AB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AA91" i="14"/>
  <c r="AB91" i="14"/>
  <c r="AA92" i="14"/>
  <c r="AB92" i="14"/>
  <c r="AA93" i="14"/>
  <c r="AB93" i="14"/>
  <c r="E94" i="14"/>
  <c r="Y94" i="14"/>
  <c r="AA94" i="14"/>
  <c r="AB94" i="14"/>
  <c r="AA95" i="14"/>
  <c r="AB95" i="14"/>
  <c r="Y96" i="14"/>
  <c r="AA96" i="14"/>
  <c r="AB96" i="14"/>
  <c r="AA97" i="14"/>
  <c r="AB97" i="14"/>
  <c r="Y98" i="14"/>
  <c r="AA98" i="14"/>
  <c r="AB98" i="14"/>
  <c r="AA99" i="14"/>
  <c r="AB99" i="14"/>
  <c r="D100" i="14"/>
  <c r="AA100" i="14"/>
  <c r="AB100" i="14"/>
  <c r="D101" i="14"/>
  <c r="AA101" i="14"/>
  <c r="AB101" i="14"/>
  <c r="D102" i="14"/>
  <c r="AA102" i="14"/>
  <c r="AB102" i="14"/>
  <c r="AA103" i="14"/>
  <c r="AB103" i="14"/>
  <c r="D104" i="14"/>
  <c r="AA104" i="14"/>
  <c r="AB104" i="14"/>
  <c r="AA105" i="14"/>
  <c r="AB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AA106" i="14"/>
  <c r="AB106" i="14"/>
  <c r="AA107" i="14"/>
  <c r="AB107" i="14"/>
  <c r="D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AA108" i="14"/>
  <c r="AB108" i="14"/>
  <c r="D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AA109" i="14"/>
  <c r="AB109" i="14"/>
  <c r="AA110" i="14"/>
  <c r="AB110" i="14"/>
  <c r="AA111" i="14"/>
  <c r="AB111" i="14"/>
  <c r="D112" i="14"/>
  <c r="AA112" i="14"/>
  <c r="AB112" i="14"/>
  <c r="AA113" i="14"/>
  <c r="AB113" i="14"/>
  <c r="F114" i="14"/>
  <c r="G114" i="14"/>
  <c r="H114" i="14"/>
  <c r="I114" i="14"/>
  <c r="J114" i="14"/>
  <c r="K114" i="14"/>
  <c r="L114" i="14"/>
  <c r="AA114" i="14"/>
  <c r="AB114" i="14"/>
  <c r="D115" i="14"/>
  <c r="F115" i="14"/>
  <c r="G115" i="14"/>
  <c r="H115" i="14"/>
  <c r="I115" i="14"/>
  <c r="J115" i="14"/>
  <c r="K115" i="14"/>
  <c r="L115" i="14"/>
  <c r="AA115" i="14"/>
  <c r="AB115" i="14"/>
  <c r="AA116" i="14"/>
  <c r="AB116" i="14"/>
  <c r="AA117" i="14"/>
  <c r="AB117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AA118" i="14"/>
  <c r="AB118" i="14"/>
  <c r="AA119" i="14"/>
  <c r="AB119" i="14"/>
  <c r="A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AA120" i="14"/>
  <c r="AB120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AA121" i="14"/>
  <c r="AB121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AA122" i="14"/>
  <c r="AB122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AA123" i="14"/>
  <c r="AB123" i="14"/>
  <c r="AA124" i="14"/>
  <c r="AB124" i="14"/>
  <c r="C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AA125" i="14"/>
  <c r="AB125" i="14"/>
  <c r="C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AA126" i="14"/>
  <c r="AB126" i="14"/>
  <c r="AA127" i="14"/>
  <c r="AB127" i="14"/>
  <c r="AA128" i="14"/>
  <c r="AB128" i="14"/>
  <c r="AA129" i="14"/>
  <c r="AB129" i="14"/>
  <c r="AA130" i="14"/>
  <c r="AB130" i="14"/>
  <c r="AA131" i="14"/>
  <c r="AB131" i="14"/>
  <c r="AA132" i="14"/>
  <c r="AB132" i="14"/>
  <c r="AA133" i="14"/>
  <c r="AB133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AA134" i="14"/>
  <c r="AB134" i="14"/>
  <c r="AA135" i="14"/>
  <c r="AB135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AA136" i="14"/>
  <c r="AB136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AA137" i="14"/>
  <c r="AB137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AA138" i="14"/>
  <c r="AB138" i="14"/>
  <c r="C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AA139" i="14"/>
  <c r="AB139" i="14"/>
  <c r="C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AA140" i="14"/>
  <c r="AB140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AA141" i="14"/>
  <c r="AB141" i="14"/>
  <c r="AA142" i="14"/>
  <c r="AB142" i="14"/>
  <c r="A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AA143" i="14"/>
  <c r="AB143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AA144" i="14"/>
  <c r="AB144" i="14"/>
  <c r="AA145" i="14"/>
  <c r="AB145" i="14"/>
  <c r="AA146" i="14"/>
  <c r="AB146" i="14"/>
  <c r="AA147" i="14"/>
  <c r="AB147" i="14"/>
  <c r="AA148" i="14"/>
  <c r="AB148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AA149" i="14"/>
  <c r="AB149" i="14"/>
  <c r="AA150" i="14"/>
  <c r="AB150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AA151" i="14"/>
  <c r="AB151" i="14"/>
  <c r="C154" i="14"/>
  <c r="D159" i="14"/>
  <c r="D160" i="14"/>
  <c r="D161" i="14"/>
  <c r="D162" i="14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AA10" i="17"/>
  <c r="AB10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AA11" i="17"/>
  <c r="AB11" i="17"/>
  <c r="E12" i="17"/>
  <c r="F12" i="17"/>
  <c r="AA12" i="17"/>
  <c r="AB12" i="17"/>
  <c r="AA13" i="17"/>
  <c r="AB13" i="17"/>
  <c r="AA14" i="17"/>
  <c r="AB14" i="17"/>
  <c r="AA15" i="17"/>
  <c r="AB15" i="17"/>
  <c r="AA16" i="17"/>
  <c r="AB16" i="17"/>
  <c r="AA17" i="17"/>
  <c r="AB17" i="17"/>
  <c r="AA18" i="17"/>
  <c r="AB18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AA19" i="17"/>
  <c r="AB19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AA20" i="17"/>
  <c r="AB20" i="17"/>
  <c r="AA21" i="17"/>
  <c r="AB21" i="17"/>
  <c r="AA22" i="17"/>
  <c r="AB22" i="17"/>
  <c r="AA23" i="17"/>
  <c r="AB23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AA24" i="17"/>
  <c r="AB24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AA25" i="17"/>
  <c r="AB25" i="17"/>
  <c r="AA26" i="17"/>
  <c r="AB26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AA27" i="17"/>
  <c r="AB27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AA28" i="17"/>
  <c r="AB28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AA29" i="17"/>
  <c r="AB29" i="17"/>
  <c r="AA30" i="17"/>
  <c r="AB30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AA31" i="17"/>
  <c r="AB31" i="17"/>
  <c r="AA32" i="17"/>
  <c r="AB32" i="17"/>
  <c r="AA33" i="17"/>
  <c r="AB33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AA34" i="17"/>
  <c r="AB34" i="17"/>
  <c r="AA35" i="17"/>
  <c r="AB35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AA36" i="17"/>
  <c r="AB36" i="17"/>
  <c r="AA37" i="17"/>
  <c r="AB37" i="17"/>
  <c r="AA38" i="17"/>
  <c r="AB38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AA39" i="17"/>
  <c r="AB39" i="17"/>
  <c r="AA40" i="17"/>
  <c r="AB40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AA41" i="17"/>
  <c r="AB41" i="17"/>
  <c r="AA42" i="17"/>
  <c r="AB42" i="17"/>
  <c r="AA43" i="17"/>
  <c r="AB43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AA44" i="17"/>
  <c r="AB44" i="17"/>
  <c r="AA45" i="17"/>
  <c r="AB45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AA46" i="17"/>
  <c r="AB46" i="17"/>
  <c r="AA47" i="17"/>
  <c r="AB47" i="17"/>
  <c r="AA48" i="17"/>
  <c r="AB48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AA49" i="17"/>
  <c r="AB49" i="17"/>
  <c r="AA50" i="17"/>
  <c r="AB50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AA51" i="17"/>
  <c r="AB51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AA52" i="17"/>
  <c r="AB52" i="17"/>
  <c r="AA53" i="17"/>
  <c r="AB53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AA54" i="17"/>
  <c r="AB54" i="17"/>
  <c r="B55" i="17"/>
  <c r="AA55" i="17"/>
  <c r="AB55" i="17"/>
  <c r="AA56" i="17"/>
  <c r="AB56" i="17"/>
  <c r="AA57" i="17"/>
  <c r="AB57" i="17"/>
  <c r="AA58" i="17"/>
  <c r="AB58" i="17"/>
  <c r="AA59" i="17"/>
  <c r="AB59" i="17"/>
  <c r="AA60" i="17"/>
  <c r="AB60" i="17"/>
  <c r="AA61" i="17"/>
  <c r="AB61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AA62" i="17"/>
  <c r="AB62" i="17"/>
  <c r="AA63" i="17"/>
  <c r="AB63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AA64" i="17"/>
  <c r="AB64" i="17"/>
  <c r="AA65" i="17"/>
  <c r="AB65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AA66" i="17"/>
  <c r="AB66" i="17"/>
  <c r="AA67" i="17"/>
  <c r="AB67" i="17"/>
  <c r="AA68" i="17"/>
  <c r="AB68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AA69" i="17"/>
  <c r="AB69" i="17"/>
  <c r="AA70" i="17"/>
  <c r="AB70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AA71" i="17"/>
  <c r="AB71" i="17"/>
  <c r="AA72" i="17"/>
  <c r="AB72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AA73" i="17"/>
  <c r="AB73" i="17"/>
  <c r="AA74" i="17"/>
  <c r="AB74" i="17"/>
  <c r="AA75" i="17"/>
  <c r="AB75" i="17"/>
  <c r="C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AA76" i="17"/>
  <c r="AB76" i="17"/>
  <c r="C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AA77" i="17"/>
  <c r="AB77" i="17"/>
  <c r="AA78" i="17"/>
  <c r="AB78" i="17"/>
  <c r="AA79" i="17"/>
  <c r="AB79" i="17"/>
  <c r="AA80" i="17"/>
  <c r="AB80" i="17"/>
  <c r="AA81" i="17"/>
  <c r="AB81" i="17"/>
  <c r="AA82" i="17"/>
  <c r="AB82" i="17"/>
  <c r="AA83" i="17"/>
  <c r="AB83" i="17"/>
  <c r="AA84" i="17"/>
  <c r="AB84" i="17"/>
  <c r="AA85" i="17"/>
  <c r="AB85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AA86" i="17"/>
  <c r="AB86" i="17"/>
  <c r="AA87" i="17"/>
  <c r="AB87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AA88" i="17"/>
  <c r="AB88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AA89" i="17"/>
  <c r="AB89" i="17"/>
  <c r="Y90" i="17"/>
  <c r="AA90" i="17"/>
  <c r="AB90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AA91" i="17"/>
  <c r="AB91" i="17"/>
  <c r="AA92" i="17"/>
  <c r="AB92" i="17"/>
  <c r="AA93" i="17"/>
  <c r="AB93" i="17"/>
  <c r="E94" i="17"/>
  <c r="Y94" i="17"/>
  <c r="AA94" i="17"/>
  <c r="AB94" i="17"/>
  <c r="AA95" i="17"/>
  <c r="AB95" i="17"/>
  <c r="Y96" i="17"/>
  <c r="AA96" i="17"/>
  <c r="AB96" i="17"/>
  <c r="AA97" i="17"/>
  <c r="AB97" i="17"/>
  <c r="Y98" i="17"/>
  <c r="AA98" i="17"/>
  <c r="AB98" i="17"/>
  <c r="AA99" i="17"/>
  <c r="AB99" i="17"/>
  <c r="D100" i="17"/>
  <c r="AA100" i="17"/>
  <c r="AB100" i="17"/>
  <c r="D101" i="17"/>
  <c r="AA101" i="17"/>
  <c r="AB101" i="17"/>
  <c r="D102" i="17"/>
  <c r="AA102" i="17"/>
  <c r="AB102" i="17"/>
  <c r="AA103" i="17"/>
  <c r="AB103" i="17"/>
  <c r="D104" i="17"/>
  <c r="AA104" i="17"/>
  <c r="AB104" i="17"/>
  <c r="AA105" i="17"/>
  <c r="AB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AA106" i="17"/>
  <c r="AB106" i="17"/>
  <c r="AA107" i="17"/>
  <c r="AB107" i="17"/>
  <c r="D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AA108" i="17"/>
  <c r="AB108" i="17"/>
  <c r="D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AA109" i="17"/>
  <c r="AB109" i="17"/>
  <c r="AA110" i="17"/>
  <c r="AB110" i="17"/>
  <c r="AA111" i="17"/>
  <c r="AB111" i="17"/>
  <c r="D112" i="17"/>
  <c r="AA112" i="17"/>
  <c r="AB112" i="17"/>
  <c r="AA113" i="17"/>
  <c r="AB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AA114" i="17"/>
  <c r="AB114" i="17"/>
  <c r="D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AA115" i="17"/>
  <c r="AB115" i="17"/>
  <c r="AA116" i="17"/>
  <c r="AB116" i="17"/>
  <c r="AA117" i="17"/>
  <c r="AB117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AA118" i="17"/>
  <c r="AB118" i="17"/>
  <c r="AA119" i="17"/>
  <c r="AB119" i="17"/>
  <c r="A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AA120" i="17"/>
  <c r="AB120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AA121" i="17"/>
  <c r="AB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AA122" i="17"/>
  <c r="AB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AA123" i="17"/>
  <c r="AB123" i="17"/>
  <c r="AA124" i="17"/>
  <c r="AB124" i="17"/>
  <c r="C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AA125" i="17"/>
  <c r="AB125" i="17"/>
  <c r="C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AA126" i="17"/>
  <c r="AB126" i="17"/>
  <c r="AA127" i="17"/>
  <c r="AB127" i="17"/>
  <c r="AA128" i="17"/>
  <c r="AB128" i="17"/>
  <c r="AA129" i="17"/>
  <c r="AB129" i="17"/>
  <c r="AA130" i="17"/>
  <c r="AB130" i="17"/>
  <c r="AA131" i="17"/>
  <c r="AB131" i="17"/>
  <c r="AA132" i="17"/>
  <c r="AB132" i="17"/>
  <c r="AA133" i="17"/>
  <c r="AB133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AA134" i="17"/>
  <c r="AB134" i="17"/>
  <c r="AA135" i="17"/>
  <c r="AB135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AA136" i="17"/>
  <c r="AB136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AA137" i="17"/>
  <c r="AB137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AA138" i="17"/>
  <c r="AB138" i="17"/>
  <c r="C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AA139" i="17"/>
  <c r="AB139" i="17"/>
  <c r="C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AA140" i="17"/>
  <c r="AB140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AA141" i="17"/>
  <c r="AB141" i="17"/>
  <c r="AA142" i="17"/>
  <c r="AB142" i="17"/>
  <c r="A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AA143" i="17"/>
  <c r="AB143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AA144" i="17"/>
  <c r="AB144" i="17"/>
  <c r="AA145" i="17"/>
  <c r="AB145" i="17"/>
  <c r="AA146" i="17"/>
  <c r="AB146" i="17"/>
  <c r="AA147" i="17"/>
  <c r="AB147" i="17"/>
  <c r="AA148" i="17"/>
  <c r="AB148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AA149" i="17"/>
  <c r="AB149" i="17"/>
  <c r="AA150" i="17"/>
  <c r="AB150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AA151" i="17"/>
  <c r="AB151" i="17"/>
  <c r="C154" i="17"/>
  <c r="D159" i="17"/>
  <c r="D160" i="17"/>
  <c r="D161" i="17"/>
  <c r="D162" i="17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AA10" i="36"/>
  <c r="AB10" i="36"/>
  <c r="E11" i="36"/>
  <c r="F11" i="36"/>
  <c r="G11" i="36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AA11" i="36"/>
  <c r="AB11" i="36"/>
  <c r="AA12" i="36"/>
  <c r="AB12" i="36"/>
  <c r="AA13" i="36"/>
  <c r="AB13" i="36"/>
  <c r="AA14" i="36"/>
  <c r="AB14" i="36"/>
  <c r="AA15" i="36"/>
  <c r="AB15" i="36"/>
  <c r="AA16" i="36"/>
  <c r="AB16" i="36"/>
  <c r="AA17" i="36"/>
  <c r="AB17" i="36"/>
  <c r="AA18" i="36"/>
  <c r="AB18" i="36"/>
  <c r="AA19" i="36"/>
  <c r="AB19" i="36"/>
  <c r="E20" i="36"/>
  <c r="F20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AA20" i="36"/>
  <c r="AB20" i="36"/>
  <c r="AA21" i="36"/>
  <c r="AB21" i="36"/>
  <c r="AA22" i="36"/>
  <c r="AB22" i="36"/>
  <c r="AA23" i="36"/>
  <c r="AB23" i="36"/>
  <c r="AA24" i="36"/>
  <c r="AB24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AA25" i="36"/>
  <c r="AB25" i="36"/>
  <c r="AA26" i="36"/>
  <c r="AB26" i="36"/>
  <c r="AA27" i="36"/>
  <c r="AB27" i="36"/>
  <c r="E28" i="36"/>
  <c r="F28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AA28" i="36"/>
  <c r="AB28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AA29" i="36"/>
  <c r="AB29" i="36"/>
  <c r="AA30" i="36"/>
  <c r="AB30" i="36"/>
  <c r="E31" i="36"/>
  <c r="F31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AA31" i="36"/>
  <c r="AB31" i="36"/>
  <c r="AA32" i="36"/>
  <c r="AB32" i="36"/>
  <c r="AA33" i="36"/>
  <c r="AB33" i="36"/>
  <c r="E34" i="36"/>
  <c r="F34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AA34" i="36"/>
  <c r="AB34" i="36"/>
  <c r="AA35" i="36"/>
  <c r="AB35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AA36" i="36"/>
  <c r="AB36" i="36"/>
  <c r="AA37" i="36"/>
  <c r="AB37" i="36"/>
  <c r="AA38" i="36"/>
  <c r="AB38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AA39" i="36"/>
  <c r="AB39" i="36"/>
  <c r="AA40" i="36"/>
  <c r="AB40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AA41" i="36"/>
  <c r="AB41" i="36"/>
  <c r="AA42" i="36"/>
  <c r="AB42" i="36"/>
  <c r="AA43" i="36"/>
  <c r="AB43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AA44" i="36"/>
  <c r="AB44" i="36"/>
  <c r="AA45" i="36"/>
  <c r="AB45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AA46" i="36"/>
  <c r="AB46" i="36"/>
  <c r="AA47" i="36"/>
  <c r="AB47" i="36"/>
  <c r="AA48" i="36"/>
  <c r="AB48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AA49" i="36"/>
  <c r="AB49" i="36"/>
  <c r="AA50" i="36"/>
  <c r="AB50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AA51" i="36"/>
  <c r="AB51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AA52" i="36"/>
  <c r="AB52" i="36"/>
  <c r="AA53" i="36"/>
  <c r="AB53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AA54" i="36"/>
  <c r="AB54" i="36"/>
  <c r="AA55" i="36"/>
  <c r="AB55" i="36"/>
  <c r="AA56" i="36"/>
  <c r="AB56" i="36"/>
  <c r="AA57" i="36"/>
  <c r="AB57" i="36"/>
  <c r="AA58" i="36"/>
  <c r="AB58" i="36"/>
  <c r="AA59" i="36"/>
  <c r="AB59" i="36"/>
  <c r="AA60" i="36"/>
  <c r="AB60" i="36"/>
  <c r="AA61" i="36"/>
  <c r="AB61" i="36"/>
  <c r="E62" i="36"/>
  <c r="F62" i="36"/>
  <c r="G62" i="36"/>
  <c r="H62" i="36"/>
  <c r="I62" i="36"/>
  <c r="J62" i="36"/>
  <c r="K62" i="36"/>
  <c r="L62" i="36"/>
  <c r="M62" i="36"/>
  <c r="N62" i="36"/>
  <c r="O62" i="36"/>
  <c r="P62" i="36"/>
  <c r="Q62" i="36"/>
  <c r="R62" i="36"/>
  <c r="S62" i="36"/>
  <c r="T62" i="36"/>
  <c r="U62" i="36"/>
  <c r="V62" i="36"/>
  <c r="W62" i="36"/>
  <c r="X62" i="36"/>
  <c r="Y62" i="36"/>
  <c r="AA62" i="36"/>
  <c r="AB62" i="36"/>
  <c r="AA63" i="36"/>
  <c r="AB63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R64" i="36"/>
  <c r="S64" i="36"/>
  <c r="T64" i="36"/>
  <c r="U64" i="36"/>
  <c r="V64" i="36"/>
  <c r="W64" i="36"/>
  <c r="X64" i="36"/>
  <c r="Y64" i="36"/>
  <c r="AA64" i="36"/>
  <c r="AB64" i="36"/>
  <c r="AA65" i="36"/>
  <c r="AB65" i="36"/>
  <c r="E66" i="36"/>
  <c r="F66" i="36"/>
  <c r="G66" i="36"/>
  <c r="H66" i="36"/>
  <c r="I66" i="36"/>
  <c r="J66" i="36"/>
  <c r="K66" i="36"/>
  <c r="L66" i="36"/>
  <c r="M66" i="36"/>
  <c r="N66" i="36"/>
  <c r="O66" i="36"/>
  <c r="P66" i="36"/>
  <c r="Q66" i="36"/>
  <c r="R66" i="36"/>
  <c r="S66" i="36"/>
  <c r="T66" i="36"/>
  <c r="U66" i="36"/>
  <c r="V66" i="36"/>
  <c r="W66" i="36"/>
  <c r="X66" i="36"/>
  <c r="Y66" i="36"/>
  <c r="AA66" i="36"/>
  <c r="AB66" i="36"/>
  <c r="AA67" i="36"/>
  <c r="AB67" i="36"/>
  <c r="AA68" i="36"/>
  <c r="AB68" i="36"/>
  <c r="E69" i="36"/>
  <c r="F69" i="36"/>
  <c r="G69" i="36"/>
  <c r="H69" i="36"/>
  <c r="I69" i="36"/>
  <c r="J69" i="36"/>
  <c r="K69" i="36"/>
  <c r="L69" i="36"/>
  <c r="M69" i="36"/>
  <c r="N69" i="36"/>
  <c r="O69" i="36"/>
  <c r="P69" i="36"/>
  <c r="Q69" i="36"/>
  <c r="R69" i="36"/>
  <c r="S69" i="36"/>
  <c r="T69" i="36"/>
  <c r="U69" i="36"/>
  <c r="V69" i="36"/>
  <c r="W69" i="36"/>
  <c r="X69" i="36"/>
  <c r="Y69" i="36"/>
  <c r="AA69" i="36"/>
  <c r="AB69" i="36"/>
  <c r="AA70" i="36"/>
  <c r="AB70" i="36"/>
  <c r="E71" i="36"/>
  <c r="F71" i="36"/>
  <c r="G71" i="36"/>
  <c r="H71" i="36"/>
  <c r="I71" i="36"/>
  <c r="J71" i="36"/>
  <c r="K71" i="36"/>
  <c r="L71" i="36"/>
  <c r="M71" i="36"/>
  <c r="N71" i="36"/>
  <c r="O71" i="36"/>
  <c r="P71" i="36"/>
  <c r="Q71" i="36"/>
  <c r="R71" i="36"/>
  <c r="S71" i="36"/>
  <c r="T71" i="36"/>
  <c r="U71" i="36"/>
  <c r="V71" i="36"/>
  <c r="W71" i="36"/>
  <c r="X71" i="36"/>
  <c r="Y71" i="36"/>
  <c r="AA71" i="36"/>
  <c r="AB71" i="36"/>
  <c r="AA72" i="36"/>
  <c r="AB72" i="36"/>
  <c r="E73" i="36"/>
  <c r="F73" i="36"/>
  <c r="G73" i="36"/>
  <c r="H73" i="36"/>
  <c r="I73" i="36"/>
  <c r="J73" i="36"/>
  <c r="K73" i="36"/>
  <c r="L73" i="36"/>
  <c r="M73" i="36"/>
  <c r="N73" i="36"/>
  <c r="O73" i="36"/>
  <c r="P73" i="36"/>
  <c r="Q73" i="36"/>
  <c r="R73" i="36"/>
  <c r="S73" i="36"/>
  <c r="T73" i="36"/>
  <c r="U73" i="36"/>
  <c r="V73" i="36"/>
  <c r="W73" i="36"/>
  <c r="X73" i="36"/>
  <c r="Y73" i="36"/>
  <c r="AA73" i="36"/>
  <c r="AB73" i="36"/>
  <c r="AA74" i="36"/>
  <c r="AB74" i="36"/>
  <c r="AA75" i="36"/>
  <c r="AB75" i="36"/>
  <c r="C76" i="36"/>
  <c r="E76" i="36"/>
  <c r="F76" i="36"/>
  <c r="G76" i="36"/>
  <c r="H76" i="36"/>
  <c r="I76" i="36"/>
  <c r="J76" i="36"/>
  <c r="K76" i="36"/>
  <c r="L76" i="36"/>
  <c r="M76" i="36"/>
  <c r="N76" i="36"/>
  <c r="O76" i="36"/>
  <c r="P76" i="36"/>
  <c r="Q76" i="36"/>
  <c r="R76" i="36"/>
  <c r="S76" i="36"/>
  <c r="T76" i="36"/>
  <c r="U76" i="36"/>
  <c r="V76" i="36"/>
  <c r="W76" i="36"/>
  <c r="X76" i="36"/>
  <c r="Y76" i="36"/>
  <c r="AA76" i="36"/>
  <c r="AB76" i="36"/>
  <c r="C77" i="36"/>
  <c r="E77" i="36"/>
  <c r="F77" i="36"/>
  <c r="G77" i="36"/>
  <c r="H77" i="36"/>
  <c r="I77" i="36"/>
  <c r="J77" i="36"/>
  <c r="K77" i="36"/>
  <c r="L77" i="36"/>
  <c r="M77" i="36"/>
  <c r="N77" i="36"/>
  <c r="O77" i="36"/>
  <c r="P77" i="36"/>
  <c r="Q77" i="36"/>
  <c r="R77" i="36"/>
  <c r="S77" i="36"/>
  <c r="T77" i="36"/>
  <c r="U77" i="36"/>
  <c r="V77" i="36"/>
  <c r="W77" i="36"/>
  <c r="X77" i="36"/>
  <c r="Y77" i="36"/>
  <c r="AA77" i="36"/>
  <c r="AB77" i="36"/>
  <c r="AA78" i="36"/>
  <c r="AB78" i="36"/>
  <c r="AA79" i="36"/>
  <c r="AB79" i="36"/>
  <c r="AA80" i="36"/>
  <c r="AB80" i="36"/>
  <c r="AA81" i="36"/>
  <c r="AB81" i="36"/>
  <c r="AA82" i="36"/>
  <c r="AB82" i="36"/>
  <c r="AA83" i="36"/>
  <c r="AB83" i="36"/>
  <c r="AA84" i="36"/>
  <c r="AB84" i="36"/>
  <c r="AA85" i="36"/>
  <c r="AB85" i="36"/>
  <c r="E86" i="36"/>
  <c r="F86" i="36"/>
  <c r="G86" i="36"/>
  <c r="H86" i="36"/>
  <c r="I86" i="36"/>
  <c r="J86" i="36"/>
  <c r="K86" i="36"/>
  <c r="L86" i="36"/>
  <c r="M86" i="36"/>
  <c r="N86" i="36"/>
  <c r="O86" i="36"/>
  <c r="P86" i="36"/>
  <c r="Q86" i="36"/>
  <c r="R86" i="36"/>
  <c r="S86" i="36"/>
  <c r="T86" i="36"/>
  <c r="U86" i="36"/>
  <c r="V86" i="36"/>
  <c r="W86" i="36"/>
  <c r="X86" i="36"/>
  <c r="Y86" i="36"/>
  <c r="AA86" i="36"/>
  <c r="AB86" i="36"/>
  <c r="AA87" i="36"/>
  <c r="AB87" i="36"/>
  <c r="F88" i="36"/>
  <c r="G88" i="36"/>
  <c r="H88" i="36"/>
  <c r="I88" i="36"/>
  <c r="J88" i="36"/>
  <c r="K88" i="36"/>
  <c r="L88" i="36"/>
  <c r="M88" i="36"/>
  <c r="N88" i="36"/>
  <c r="O88" i="36"/>
  <c r="P88" i="36"/>
  <c r="Q88" i="36"/>
  <c r="R88" i="36"/>
  <c r="S88" i="36"/>
  <c r="T88" i="36"/>
  <c r="U88" i="36"/>
  <c r="V88" i="36"/>
  <c r="W88" i="36"/>
  <c r="X88" i="36"/>
  <c r="Y88" i="36"/>
  <c r="AA88" i="36"/>
  <c r="AB88" i="36"/>
  <c r="F89" i="36"/>
  <c r="G89" i="36"/>
  <c r="H89" i="36"/>
  <c r="I89" i="36"/>
  <c r="J89" i="36"/>
  <c r="K89" i="36"/>
  <c r="L89" i="36"/>
  <c r="M89" i="36"/>
  <c r="N89" i="36"/>
  <c r="O89" i="36"/>
  <c r="P89" i="36"/>
  <c r="Q89" i="36"/>
  <c r="R89" i="36"/>
  <c r="S89" i="36"/>
  <c r="T89" i="36"/>
  <c r="U89" i="36"/>
  <c r="V89" i="36"/>
  <c r="W89" i="36"/>
  <c r="X89" i="36"/>
  <c r="Y89" i="36"/>
  <c r="AA89" i="36"/>
  <c r="AB89" i="36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0" i="36"/>
  <c r="AB90" i="36"/>
  <c r="Y91" i="36"/>
  <c r="AA91" i="36"/>
  <c r="AB91" i="36"/>
  <c r="F92" i="36"/>
  <c r="G92" i="36"/>
  <c r="H92" i="36"/>
  <c r="I92" i="36"/>
  <c r="J92" i="36"/>
  <c r="K92" i="36"/>
  <c r="L92" i="36"/>
  <c r="M92" i="36"/>
  <c r="N92" i="36"/>
  <c r="O92" i="36"/>
  <c r="P92" i="36"/>
  <c r="Q92" i="36"/>
  <c r="R92" i="36"/>
  <c r="S92" i="36"/>
  <c r="T92" i="36"/>
  <c r="U92" i="36"/>
  <c r="V92" i="36"/>
  <c r="W92" i="36"/>
  <c r="X92" i="36"/>
  <c r="Y92" i="36"/>
  <c r="AA92" i="36"/>
  <c r="AB92" i="36"/>
  <c r="AA93" i="36"/>
  <c r="AB93" i="36"/>
  <c r="AA94" i="36"/>
  <c r="AB94" i="36"/>
  <c r="E95" i="36"/>
  <c r="Y95" i="36"/>
  <c r="AA95" i="36"/>
  <c r="AB95" i="36"/>
  <c r="AA96" i="36"/>
  <c r="AB96" i="36"/>
  <c r="Y97" i="36"/>
  <c r="AA97" i="36"/>
  <c r="AB97" i="36"/>
  <c r="AA98" i="36"/>
  <c r="AB98" i="36"/>
  <c r="Y99" i="36"/>
  <c r="AA99" i="36"/>
  <c r="AB99" i="36"/>
  <c r="AA100" i="36"/>
  <c r="AB100" i="36"/>
  <c r="D101" i="36"/>
  <c r="AA101" i="36"/>
  <c r="AB101" i="36"/>
  <c r="D102" i="36"/>
  <c r="AA102" i="36"/>
  <c r="AB102" i="36"/>
  <c r="D103" i="36"/>
  <c r="AA103" i="36"/>
  <c r="AB103" i="36"/>
  <c r="AA104" i="36"/>
  <c r="AB104" i="36"/>
  <c r="D105" i="36"/>
  <c r="AA105" i="36"/>
  <c r="AB105" i="36"/>
  <c r="AA106" i="36"/>
  <c r="AB106" i="36"/>
  <c r="F107" i="36"/>
  <c r="G107" i="36"/>
  <c r="H107" i="36"/>
  <c r="I107" i="36"/>
  <c r="J107" i="36"/>
  <c r="K107" i="36"/>
  <c r="L107" i="36"/>
  <c r="M107" i="36"/>
  <c r="N107" i="36"/>
  <c r="O107" i="36"/>
  <c r="P107" i="36"/>
  <c r="Q107" i="36"/>
  <c r="R107" i="36"/>
  <c r="S107" i="36"/>
  <c r="T107" i="36"/>
  <c r="U107" i="36"/>
  <c r="V107" i="36"/>
  <c r="W107" i="36"/>
  <c r="X107" i="36"/>
  <c r="Y107" i="36"/>
  <c r="AA107" i="36"/>
  <c r="AB107" i="36"/>
  <c r="AA108" i="36"/>
  <c r="AB108" i="36"/>
  <c r="D109" i="36"/>
  <c r="F109" i="36"/>
  <c r="G109" i="36"/>
  <c r="H109" i="36"/>
  <c r="I109" i="36"/>
  <c r="J109" i="36"/>
  <c r="K109" i="36"/>
  <c r="L109" i="36"/>
  <c r="M109" i="36"/>
  <c r="N109" i="36"/>
  <c r="O109" i="36"/>
  <c r="P109" i="36"/>
  <c r="Q109" i="36"/>
  <c r="R109" i="36"/>
  <c r="S109" i="36"/>
  <c r="T109" i="36"/>
  <c r="U109" i="36"/>
  <c r="V109" i="36"/>
  <c r="W109" i="36"/>
  <c r="X109" i="36"/>
  <c r="Y109" i="36"/>
  <c r="AA109" i="36"/>
  <c r="AB109" i="36"/>
  <c r="D110" i="36"/>
  <c r="F110" i="36"/>
  <c r="G110" i="36"/>
  <c r="H110" i="36"/>
  <c r="I110" i="36"/>
  <c r="J110" i="36"/>
  <c r="K110" i="36"/>
  <c r="L110" i="36"/>
  <c r="M110" i="36"/>
  <c r="N110" i="36"/>
  <c r="O110" i="36"/>
  <c r="P110" i="36"/>
  <c r="Q110" i="36"/>
  <c r="R110" i="36"/>
  <c r="S110" i="36"/>
  <c r="T110" i="36"/>
  <c r="U110" i="36"/>
  <c r="V110" i="36"/>
  <c r="W110" i="36"/>
  <c r="X110" i="36"/>
  <c r="Y110" i="36"/>
  <c r="AA110" i="36"/>
  <c r="AB110" i="36"/>
  <c r="AA111" i="36"/>
  <c r="AB111" i="36"/>
  <c r="AA112" i="36"/>
  <c r="AB112" i="36"/>
  <c r="D113" i="36"/>
  <c r="AA113" i="36"/>
  <c r="AB113" i="36"/>
  <c r="AA114" i="36"/>
  <c r="AB114" i="36"/>
  <c r="F115" i="36"/>
  <c r="G115" i="36"/>
  <c r="H115" i="36"/>
  <c r="I115" i="36"/>
  <c r="J115" i="36"/>
  <c r="K115" i="36"/>
  <c r="L115" i="36"/>
  <c r="M115" i="36"/>
  <c r="N115" i="36"/>
  <c r="O115" i="36"/>
  <c r="P115" i="36"/>
  <c r="Q115" i="36"/>
  <c r="R115" i="36"/>
  <c r="S115" i="36"/>
  <c r="T115" i="36"/>
  <c r="U115" i="36"/>
  <c r="V115" i="36"/>
  <c r="W115" i="36"/>
  <c r="X115" i="36"/>
  <c r="Y115" i="36"/>
  <c r="AA115" i="36"/>
  <c r="AB115" i="36"/>
  <c r="D116" i="36"/>
  <c r="F116" i="36"/>
  <c r="G116" i="36"/>
  <c r="H116" i="36"/>
  <c r="I116" i="36"/>
  <c r="J116" i="36"/>
  <c r="K116" i="36"/>
  <c r="L116" i="36"/>
  <c r="M116" i="36"/>
  <c r="N116" i="36"/>
  <c r="O116" i="36"/>
  <c r="P116" i="36"/>
  <c r="Q116" i="36"/>
  <c r="R116" i="36"/>
  <c r="S116" i="36"/>
  <c r="T116" i="36"/>
  <c r="U116" i="36"/>
  <c r="V116" i="36"/>
  <c r="W116" i="36"/>
  <c r="X116" i="36"/>
  <c r="Y116" i="36"/>
  <c r="AA116" i="36"/>
  <c r="AB116" i="36"/>
  <c r="AA117" i="36"/>
  <c r="AB117" i="36"/>
  <c r="AA118" i="36"/>
  <c r="AB118" i="36"/>
  <c r="F119" i="36"/>
  <c r="G119" i="36"/>
  <c r="H119" i="36"/>
  <c r="I119" i="36"/>
  <c r="J119" i="36"/>
  <c r="K119" i="36"/>
  <c r="L119" i="36"/>
  <c r="M119" i="36"/>
  <c r="N119" i="36"/>
  <c r="O119" i="36"/>
  <c r="P119" i="36"/>
  <c r="Q119" i="36"/>
  <c r="R119" i="36"/>
  <c r="S119" i="36"/>
  <c r="T119" i="36"/>
  <c r="U119" i="36"/>
  <c r="V119" i="36"/>
  <c r="W119" i="36"/>
  <c r="X119" i="36"/>
  <c r="Y119" i="36"/>
  <c r="AA119" i="36"/>
  <c r="AB119" i="36"/>
  <c r="AA120" i="36"/>
  <c r="AB120" i="36"/>
  <c r="A121" i="36"/>
  <c r="F121" i="36"/>
  <c r="G121" i="36"/>
  <c r="H121" i="36"/>
  <c r="I121" i="36"/>
  <c r="J121" i="36"/>
  <c r="K121" i="36"/>
  <c r="L121" i="36"/>
  <c r="M121" i="36"/>
  <c r="N121" i="36"/>
  <c r="O121" i="36"/>
  <c r="P121" i="36"/>
  <c r="Q121" i="36"/>
  <c r="R121" i="36"/>
  <c r="S121" i="36"/>
  <c r="T121" i="36"/>
  <c r="U121" i="36"/>
  <c r="V121" i="36"/>
  <c r="W121" i="36"/>
  <c r="X121" i="36"/>
  <c r="Y121" i="36"/>
  <c r="AA121" i="36"/>
  <c r="AB121" i="36"/>
  <c r="F122" i="36"/>
  <c r="G122" i="36"/>
  <c r="H122" i="36"/>
  <c r="I122" i="36"/>
  <c r="J122" i="36"/>
  <c r="K122" i="36"/>
  <c r="L122" i="36"/>
  <c r="M122" i="36"/>
  <c r="N122" i="36"/>
  <c r="O122" i="36"/>
  <c r="P122" i="36"/>
  <c r="Q122" i="36"/>
  <c r="R122" i="36"/>
  <c r="S122" i="36"/>
  <c r="T122" i="36"/>
  <c r="U122" i="36"/>
  <c r="V122" i="36"/>
  <c r="W122" i="36"/>
  <c r="X122" i="36"/>
  <c r="Y122" i="36"/>
  <c r="AA122" i="36"/>
  <c r="AB122" i="36"/>
  <c r="F123" i="36"/>
  <c r="G123" i="36"/>
  <c r="H123" i="36"/>
  <c r="I123" i="36"/>
  <c r="J123" i="36"/>
  <c r="K123" i="36"/>
  <c r="L123" i="36"/>
  <c r="M123" i="36"/>
  <c r="N123" i="36"/>
  <c r="O123" i="36"/>
  <c r="P123" i="36"/>
  <c r="Q123" i="36"/>
  <c r="R123" i="36"/>
  <c r="S123" i="36"/>
  <c r="T123" i="36"/>
  <c r="U123" i="36"/>
  <c r="V123" i="36"/>
  <c r="W123" i="36"/>
  <c r="X123" i="36"/>
  <c r="Y123" i="36"/>
  <c r="AA123" i="36"/>
  <c r="AB123" i="36"/>
  <c r="F124" i="36"/>
  <c r="G124" i="36"/>
  <c r="H124" i="36"/>
  <c r="I124" i="36"/>
  <c r="J124" i="36"/>
  <c r="K124" i="36"/>
  <c r="L124" i="36"/>
  <c r="M124" i="36"/>
  <c r="N124" i="36"/>
  <c r="O124" i="36"/>
  <c r="P124" i="36"/>
  <c r="Q124" i="36"/>
  <c r="R124" i="36"/>
  <c r="S124" i="36"/>
  <c r="T124" i="36"/>
  <c r="U124" i="36"/>
  <c r="V124" i="36"/>
  <c r="W124" i="36"/>
  <c r="X124" i="36"/>
  <c r="Y124" i="36"/>
  <c r="AA124" i="36"/>
  <c r="AB124" i="36"/>
  <c r="AA125" i="36"/>
  <c r="AB125" i="36"/>
  <c r="C126" i="36"/>
  <c r="F126" i="36"/>
  <c r="G126" i="36"/>
  <c r="H126" i="36"/>
  <c r="I126" i="36"/>
  <c r="J126" i="36"/>
  <c r="K126" i="36"/>
  <c r="L126" i="36"/>
  <c r="M126" i="36"/>
  <c r="N126" i="36"/>
  <c r="O126" i="36"/>
  <c r="P126" i="36"/>
  <c r="Q126" i="36"/>
  <c r="R126" i="36"/>
  <c r="S126" i="36"/>
  <c r="T126" i="36"/>
  <c r="U126" i="36"/>
  <c r="V126" i="36"/>
  <c r="W126" i="36"/>
  <c r="X126" i="36"/>
  <c r="Y126" i="36"/>
  <c r="AA126" i="36"/>
  <c r="AB126" i="36"/>
  <c r="C127" i="36"/>
  <c r="F127" i="36"/>
  <c r="G127" i="36"/>
  <c r="H127" i="36"/>
  <c r="I127" i="36"/>
  <c r="J127" i="36"/>
  <c r="K127" i="36"/>
  <c r="L127" i="36"/>
  <c r="M127" i="36"/>
  <c r="N127" i="36"/>
  <c r="O127" i="36"/>
  <c r="P127" i="36"/>
  <c r="Q127" i="36"/>
  <c r="R127" i="36"/>
  <c r="S127" i="36"/>
  <c r="T127" i="36"/>
  <c r="U127" i="36"/>
  <c r="V127" i="36"/>
  <c r="W127" i="36"/>
  <c r="X127" i="36"/>
  <c r="Y127" i="36"/>
  <c r="AA127" i="36"/>
  <c r="AB127" i="36"/>
  <c r="AA128" i="36"/>
  <c r="AB128" i="36"/>
  <c r="AA129" i="36"/>
  <c r="AB129" i="36"/>
  <c r="AA130" i="36"/>
  <c r="AB130" i="36"/>
  <c r="AA131" i="36"/>
  <c r="AB131" i="36"/>
  <c r="AA132" i="36"/>
  <c r="AB132" i="36"/>
  <c r="AA133" i="36"/>
  <c r="AB133" i="36"/>
  <c r="AA134" i="36"/>
  <c r="AB134" i="36"/>
  <c r="F135" i="36"/>
  <c r="G135" i="36"/>
  <c r="H135" i="36"/>
  <c r="I135" i="36"/>
  <c r="J135" i="36"/>
  <c r="K135" i="36"/>
  <c r="L135" i="36"/>
  <c r="M135" i="36"/>
  <c r="N135" i="36"/>
  <c r="O135" i="36"/>
  <c r="P135" i="36"/>
  <c r="Q135" i="36"/>
  <c r="R135" i="36"/>
  <c r="S135" i="36"/>
  <c r="T135" i="36"/>
  <c r="U135" i="36"/>
  <c r="V135" i="36"/>
  <c r="W135" i="36"/>
  <c r="X135" i="36"/>
  <c r="Y135" i="36"/>
  <c r="AA135" i="36"/>
  <c r="AB135" i="36"/>
  <c r="AA136" i="36"/>
  <c r="AB136" i="36"/>
  <c r="AA137" i="36"/>
  <c r="AB137" i="36"/>
  <c r="F138" i="36"/>
  <c r="G138" i="36"/>
  <c r="H138" i="36"/>
  <c r="I138" i="36"/>
  <c r="J138" i="36"/>
  <c r="K138" i="36"/>
  <c r="L138" i="36"/>
  <c r="M138" i="36"/>
  <c r="N138" i="36"/>
  <c r="O138" i="36"/>
  <c r="P138" i="36"/>
  <c r="Q138" i="36"/>
  <c r="R138" i="36"/>
  <c r="S138" i="36"/>
  <c r="T138" i="36"/>
  <c r="U138" i="36"/>
  <c r="V138" i="36"/>
  <c r="W138" i="36"/>
  <c r="X138" i="36"/>
  <c r="Y138" i="36"/>
  <c r="AA138" i="36"/>
  <c r="AB138" i="36"/>
  <c r="F139" i="36"/>
  <c r="G139" i="36"/>
  <c r="H139" i="36"/>
  <c r="I139" i="36"/>
  <c r="J139" i="36"/>
  <c r="K139" i="36"/>
  <c r="L139" i="36"/>
  <c r="M139" i="36"/>
  <c r="N139" i="36"/>
  <c r="O139" i="36"/>
  <c r="P139" i="36"/>
  <c r="Q139" i="36"/>
  <c r="R139" i="36"/>
  <c r="S139" i="36"/>
  <c r="T139" i="36"/>
  <c r="U139" i="36"/>
  <c r="V139" i="36"/>
  <c r="W139" i="36"/>
  <c r="X139" i="36"/>
  <c r="Y139" i="36"/>
  <c r="AA139" i="36"/>
  <c r="AB139" i="36"/>
  <c r="C140" i="36"/>
  <c r="F140" i="36"/>
  <c r="G140" i="36"/>
  <c r="H140" i="36"/>
  <c r="I140" i="36"/>
  <c r="J140" i="36"/>
  <c r="K140" i="36"/>
  <c r="L140" i="36"/>
  <c r="M140" i="36"/>
  <c r="N140" i="36"/>
  <c r="O140" i="36"/>
  <c r="P140" i="36"/>
  <c r="Q140" i="36"/>
  <c r="R140" i="36"/>
  <c r="S140" i="36"/>
  <c r="T140" i="36"/>
  <c r="U140" i="36"/>
  <c r="V140" i="36"/>
  <c r="W140" i="36"/>
  <c r="X140" i="36"/>
  <c r="Y140" i="36"/>
  <c r="AA140" i="36"/>
  <c r="AB140" i="36"/>
  <c r="C141" i="36"/>
  <c r="F141" i="36"/>
  <c r="G141" i="36"/>
  <c r="H141" i="36"/>
  <c r="I141" i="36"/>
  <c r="J141" i="36"/>
  <c r="K141" i="36"/>
  <c r="L141" i="36"/>
  <c r="M141" i="36"/>
  <c r="N141" i="36"/>
  <c r="O141" i="36"/>
  <c r="P141" i="36"/>
  <c r="Q141" i="36"/>
  <c r="R141" i="36"/>
  <c r="S141" i="36"/>
  <c r="T141" i="36"/>
  <c r="U141" i="36"/>
  <c r="V141" i="36"/>
  <c r="W141" i="36"/>
  <c r="X141" i="36"/>
  <c r="Y141" i="36"/>
  <c r="AA141" i="36"/>
  <c r="AB141" i="36"/>
  <c r="F142" i="36"/>
  <c r="G142" i="36"/>
  <c r="H142" i="36"/>
  <c r="I142" i="36"/>
  <c r="J142" i="36"/>
  <c r="K142" i="36"/>
  <c r="L142" i="36"/>
  <c r="M142" i="36"/>
  <c r="N142" i="36"/>
  <c r="O142" i="36"/>
  <c r="P142" i="36"/>
  <c r="Q142" i="36"/>
  <c r="R142" i="36"/>
  <c r="S142" i="36"/>
  <c r="T142" i="36"/>
  <c r="U142" i="36"/>
  <c r="V142" i="36"/>
  <c r="W142" i="36"/>
  <c r="X142" i="36"/>
  <c r="Y142" i="36"/>
  <c r="AA142" i="36"/>
  <c r="AB142" i="36"/>
  <c r="AA143" i="36"/>
  <c r="AB143" i="36"/>
  <c r="A144" i="36"/>
  <c r="F144" i="36"/>
  <c r="G144" i="36"/>
  <c r="H144" i="36"/>
  <c r="I144" i="36"/>
  <c r="J144" i="36"/>
  <c r="K144" i="36"/>
  <c r="L144" i="36"/>
  <c r="M144" i="36"/>
  <c r="N144" i="36"/>
  <c r="O144" i="36"/>
  <c r="P144" i="36"/>
  <c r="Q144" i="36"/>
  <c r="R144" i="36"/>
  <c r="S144" i="36"/>
  <c r="T144" i="36"/>
  <c r="U144" i="36"/>
  <c r="V144" i="36"/>
  <c r="W144" i="36"/>
  <c r="X144" i="36"/>
  <c r="Y144" i="36"/>
  <c r="AA144" i="36"/>
  <c r="AB144" i="36"/>
  <c r="F145" i="36"/>
  <c r="G145" i="36"/>
  <c r="H145" i="36"/>
  <c r="I145" i="36"/>
  <c r="J145" i="36"/>
  <c r="K145" i="36"/>
  <c r="L145" i="36"/>
  <c r="M145" i="36"/>
  <c r="N145" i="36"/>
  <c r="O145" i="36"/>
  <c r="P145" i="36"/>
  <c r="Q145" i="36"/>
  <c r="R145" i="36"/>
  <c r="S145" i="36"/>
  <c r="T145" i="36"/>
  <c r="U145" i="36"/>
  <c r="V145" i="36"/>
  <c r="W145" i="36"/>
  <c r="X145" i="36"/>
  <c r="Y145" i="36"/>
  <c r="AA145" i="36"/>
  <c r="AB145" i="36"/>
  <c r="AA146" i="36"/>
  <c r="AB146" i="36"/>
  <c r="AA147" i="36"/>
  <c r="AB147" i="36"/>
  <c r="AA148" i="36"/>
  <c r="AB148" i="36"/>
  <c r="AA149" i="36"/>
  <c r="AB149" i="36"/>
  <c r="A150" i="36"/>
  <c r="F150" i="36"/>
  <c r="G150" i="36"/>
  <c r="H150" i="36"/>
  <c r="I150" i="36"/>
  <c r="J150" i="36"/>
  <c r="K150" i="36"/>
  <c r="L150" i="36"/>
  <c r="M150" i="36"/>
  <c r="N150" i="36"/>
  <c r="O150" i="36"/>
  <c r="P150" i="36"/>
  <c r="Q150" i="36"/>
  <c r="R150" i="36"/>
  <c r="S150" i="36"/>
  <c r="T150" i="36"/>
  <c r="U150" i="36"/>
  <c r="V150" i="36"/>
  <c r="W150" i="36"/>
  <c r="X150" i="36"/>
  <c r="Y150" i="36"/>
  <c r="AA150" i="36"/>
  <c r="AB150" i="36"/>
  <c r="AA151" i="36"/>
  <c r="AB151" i="36"/>
  <c r="F152" i="36"/>
  <c r="G152" i="36"/>
  <c r="H152" i="36"/>
  <c r="I152" i="36"/>
  <c r="J152" i="36"/>
  <c r="K152" i="36"/>
  <c r="L152" i="36"/>
  <c r="M152" i="36"/>
  <c r="N152" i="36"/>
  <c r="O152" i="36"/>
  <c r="P152" i="36"/>
  <c r="Q152" i="36"/>
  <c r="R152" i="36"/>
  <c r="S152" i="36"/>
  <c r="T152" i="36"/>
  <c r="U152" i="36"/>
  <c r="V152" i="36"/>
  <c r="W152" i="36"/>
  <c r="X152" i="36"/>
  <c r="Y152" i="36"/>
  <c r="AA152" i="36"/>
  <c r="C155" i="36"/>
  <c r="C156" i="36"/>
  <c r="D160" i="36"/>
  <c r="D161" i="36"/>
  <c r="D162" i="36"/>
  <c r="D163" i="36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AA10" i="32"/>
  <c r="AB10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AA11" i="32"/>
  <c r="AB11" i="32"/>
  <c r="AA12" i="32"/>
  <c r="AB12" i="32"/>
  <c r="AA13" i="32"/>
  <c r="AB13" i="32"/>
  <c r="AA14" i="32"/>
  <c r="AB14" i="32"/>
  <c r="AA15" i="32"/>
  <c r="AB15" i="32"/>
  <c r="AA16" i="32"/>
  <c r="AB16" i="32"/>
  <c r="AA17" i="32"/>
  <c r="AB17" i="32"/>
  <c r="AA18" i="32"/>
  <c r="AB18" i="32"/>
  <c r="AA19" i="32"/>
  <c r="AB19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AA20" i="32"/>
  <c r="AB20" i="32"/>
  <c r="AA21" i="32"/>
  <c r="AB21" i="32"/>
  <c r="AA22" i="32"/>
  <c r="AB22" i="32"/>
  <c r="AA23" i="32"/>
  <c r="AB23" i="32"/>
  <c r="AA24" i="32"/>
  <c r="AB24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AA25" i="32"/>
  <c r="AB25" i="32"/>
  <c r="AA26" i="32"/>
  <c r="AB26" i="32"/>
  <c r="AA27" i="32"/>
  <c r="AB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AA28" i="32"/>
  <c r="AB28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AA29" i="32"/>
  <c r="AB29" i="32"/>
  <c r="AA30" i="32"/>
  <c r="AB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AA31" i="32"/>
  <c r="AB31" i="32"/>
  <c r="AA32" i="32"/>
  <c r="AB32" i="32"/>
  <c r="AA33" i="32"/>
  <c r="AB33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AA34" i="32"/>
  <c r="AB34" i="32"/>
  <c r="AA35" i="32"/>
  <c r="AB35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AA36" i="32"/>
  <c r="AB36" i="32"/>
  <c r="AA37" i="32"/>
  <c r="AB37" i="32"/>
  <c r="AA38" i="32"/>
  <c r="AB38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AA39" i="32"/>
  <c r="AB39" i="32"/>
  <c r="AA40" i="32"/>
  <c r="AB40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AA41" i="32"/>
  <c r="AB41" i="32"/>
  <c r="AA42" i="32"/>
  <c r="AB42" i="32"/>
  <c r="AA43" i="32"/>
  <c r="AB43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AA44" i="32"/>
  <c r="AB44" i="32"/>
  <c r="AA45" i="32"/>
  <c r="AB45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AA46" i="32"/>
  <c r="AB46" i="32"/>
  <c r="AA47" i="32"/>
  <c r="AB47" i="32"/>
  <c r="AA48" i="32"/>
  <c r="AB48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AA49" i="32"/>
  <c r="AB49" i="32"/>
  <c r="AA50" i="32"/>
  <c r="AB50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AA51" i="32"/>
  <c r="AB51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AA52" i="32"/>
  <c r="AB52" i="32"/>
  <c r="AA53" i="32"/>
  <c r="AB53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AA54" i="32"/>
  <c r="AB54" i="32"/>
  <c r="AA55" i="32"/>
  <c r="AB55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AA56" i="32"/>
  <c r="AB56" i="32"/>
  <c r="AA57" i="32"/>
  <c r="AB57" i="32"/>
  <c r="AA58" i="32"/>
  <c r="AB58" i="32"/>
  <c r="AA59" i="32"/>
  <c r="AB59" i="32"/>
  <c r="AA60" i="32"/>
  <c r="AB60" i="32"/>
  <c r="AA61" i="32"/>
  <c r="AB61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AA62" i="32"/>
  <c r="AB62" i="32"/>
  <c r="AA63" i="32"/>
  <c r="AB63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AA64" i="32"/>
  <c r="AB64" i="32"/>
  <c r="AA65" i="32"/>
  <c r="AB65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6" i="32"/>
  <c r="AB66" i="32"/>
  <c r="AA67" i="32"/>
  <c r="AB67" i="32"/>
  <c r="AA68" i="32"/>
  <c r="AB68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AA69" i="32"/>
  <c r="AB69" i="32"/>
  <c r="AA70" i="32"/>
  <c r="AB70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AA71" i="32"/>
  <c r="AB71" i="32"/>
  <c r="AA72" i="32"/>
  <c r="AB72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AA73" i="32"/>
  <c r="AB73" i="32"/>
  <c r="AA74" i="32"/>
  <c r="AB74" i="32"/>
  <c r="AA75" i="32"/>
  <c r="AB75" i="32"/>
  <c r="C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AA76" i="32"/>
  <c r="AB76" i="32"/>
  <c r="C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AA77" i="32"/>
  <c r="AB77" i="32"/>
  <c r="AA78" i="32"/>
  <c r="AB78" i="32"/>
  <c r="AA79" i="32"/>
  <c r="AB79" i="32"/>
  <c r="AA80" i="32"/>
  <c r="AB80" i="32"/>
  <c r="AA81" i="32"/>
  <c r="AB81" i="32"/>
  <c r="AA82" i="32"/>
  <c r="AB82" i="32"/>
  <c r="AA83" i="32"/>
  <c r="AB83" i="32"/>
  <c r="AA84" i="32"/>
  <c r="AB84" i="32"/>
  <c r="AA85" i="32"/>
  <c r="AB85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AA86" i="32"/>
  <c r="AB86" i="32"/>
  <c r="AA87" i="32"/>
  <c r="AB87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AA88" i="32"/>
  <c r="AB88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AA89" i="32"/>
  <c r="AB89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AA90" i="32"/>
  <c r="AB90" i="32"/>
  <c r="X91" i="32"/>
  <c r="AA91" i="32"/>
  <c r="AB91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AA92" i="32"/>
  <c r="AB92" i="32"/>
  <c r="AA93" i="32"/>
  <c r="AB93" i="32"/>
  <c r="AA94" i="32"/>
  <c r="AB94" i="32"/>
  <c r="E95" i="32"/>
  <c r="Y95" i="32"/>
  <c r="AA95" i="32"/>
  <c r="AB95" i="32"/>
  <c r="AA96" i="32"/>
  <c r="AB96" i="32"/>
  <c r="Y97" i="32"/>
  <c r="AA97" i="32"/>
  <c r="AB97" i="32"/>
  <c r="AA98" i="32"/>
  <c r="AB98" i="32"/>
  <c r="Y99" i="32"/>
  <c r="AA99" i="32"/>
  <c r="AB99" i="32"/>
  <c r="AA100" i="32"/>
  <c r="AB100" i="32"/>
  <c r="D101" i="32"/>
  <c r="F101" i="32"/>
  <c r="AA101" i="32"/>
  <c r="AB101" i="32"/>
  <c r="D102" i="32"/>
  <c r="AA102" i="32"/>
  <c r="AB102" i="32"/>
  <c r="D103" i="32"/>
  <c r="AA103" i="32"/>
  <c r="AB103" i="32"/>
  <c r="AA104" i="32"/>
  <c r="AB104" i="32"/>
  <c r="D105" i="32"/>
  <c r="AA105" i="32"/>
  <c r="AB105" i="32"/>
  <c r="AA106" i="32"/>
  <c r="AB106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AA107" i="32"/>
  <c r="AB107" i="32"/>
  <c r="AA108" i="32"/>
  <c r="AB108" i="32"/>
  <c r="D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AA109" i="32"/>
  <c r="AB109" i="32"/>
  <c r="D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AA110" i="32"/>
  <c r="AB110" i="32"/>
  <c r="AA111" i="32"/>
  <c r="AB111" i="32"/>
  <c r="AA112" i="32"/>
  <c r="AB112" i="32"/>
  <c r="D113" i="32"/>
  <c r="AA113" i="32"/>
  <c r="AB113" i="32"/>
  <c r="AA114" i="32"/>
  <c r="AB114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AA115" i="32"/>
  <c r="AB115" i="32"/>
  <c r="D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AA116" i="32"/>
  <c r="AB116" i="32"/>
  <c r="AA117" i="32"/>
  <c r="AB117" i="32"/>
  <c r="AA118" i="32"/>
  <c r="AB118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AA119" i="32"/>
  <c r="AB119" i="32"/>
  <c r="AA120" i="32"/>
  <c r="AB120" i="32"/>
  <c r="A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AA121" i="32"/>
  <c r="AB121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AA122" i="32"/>
  <c r="AB122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AA123" i="32"/>
  <c r="AB123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AA124" i="32"/>
  <c r="AB124" i="32"/>
  <c r="AA125" i="32"/>
  <c r="AB125" i="32"/>
  <c r="C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AA126" i="32"/>
  <c r="AB126" i="32"/>
  <c r="C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AA127" i="32"/>
  <c r="AB127" i="32"/>
  <c r="AA128" i="32"/>
  <c r="AB128" i="32"/>
  <c r="AA129" i="32"/>
  <c r="AB129" i="32"/>
  <c r="AA130" i="32"/>
  <c r="AB130" i="32"/>
  <c r="AA131" i="32"/>
  <c r="AB131" i="32"/>
  <c r="AA132" i="32"/>
  <c r="AB132" i="32"/>
  <c r="AA133" i="32"/>
  <c r="AB133" i="32"/>
  <c r="AA134" i="32"/>
  <c r="AB134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AA135" i="32"/>
  <c r="AB135" i="32"/>
  <c r="AA136" i="32"/>
  <c r="AB136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AA137" i="32"/>
  <c r="AB137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AA138" i="32"/>
  <c r="AB138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AA139" i="32"/>
  <c r="AB139" i="32"/>
  <c r="C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AA140" i="32"/>
  <c r="AB140" i="32"/>
  <c r="C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AA141" i="32"/>
  <c r="AB141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AA142" i="32"/>
  <c r="AB142" i="32"/>
  <c r="AA143" i="32"/>
  <c r="AB143" i="32"/>
  <c r="A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AA144" i="32"/>
  <c r="AB144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AA145" i="32"/>
  <c r="AB145" i="32"/>
  <c r="AA146" i="32"/>
  <c r="AB146" i="32"/>
  <c r="AA147" i="32"/>
  <c r="AB147" i="32"/>
  <c r="AA148" i="32"/>
  <c r="AB148" i="32"/>
  <c r="AA149" i="32"/>
  <c r="AB149" i="32"/>
  <c r="A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AA150" i="32"/>
  <c r="AB150" i="32"/>
  <c r="AA151" i="32"/>
  <c r="AB151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AA152" i="32"/>
  <c r="C155" i="32"/>
  <c r="C156" i="32"/>
  <c r="D160" i="32"/>
  <c r="D161" i="32"/>
  <c r="D162" i="32"/>
  <c r="D163" i="32"/>
  <c r="H7" i="76"/>
  <c r="J7" i="76"/>
  <c r="B8" i="76"/>
  <c r="D8" i="76"/>
  <c r="H8" i="76"/>
  <c r="J8" i="76"/>
  <c r="B9" i="76"/>
  <c r="D9" i="76"/>
  <c r="H9" i="76"/>
  <c r="J9" i="76"/>
  <c r="B10" i="76"/>
  <c r="D10" i="76"/>
  <c r="H10" i="76"/>
  <c r="J10" i="76"/>
  <c r="B11" i="76"/>
  <c r="D11" i="76"/>
  <c r="H11" i="76"/>
  <c r="J11" i="76"/>
  <c r="B12" i="76"/>
  <c r="D12" i="76"/>
  <c r="H12" i="76"/>
  <c r="J12" i="76"/>
  <c r="B13" i="76"/>
  <c r="D13" i="76"/>
  <c r="H13" i="76"/>
  <c r="J13" i="76"/>
  <c r="B14" i="76"/>
  <c r="D14" i="76"/>
  <c r="H14" i="76"/>
  <c r="J14" i="76"/>
  <c r="B15" i="76"/>
  <c r="D15" i="76"/>
  <c r="H15" i="76"/>
  <c r="J15" i="76"/>
  <c r="B16" i="76"/>
  <c r="D16" i="76"/>
  <c r="H16" i="76"/>
  <c r="J16" i="76"/>
  <c r="B17" i="76"/>
  <c r="D17" i="76"/>
  <c r="H17" i="76"/>
  <c r="J17" i="76"/>
  <c r="B18" i="76"/>
  <c r="D18" i="76"/>
  <c r="H18" i="76"/>
  <c r="J18" i="76"/>
  <c r="B19" i="76"/>
  <c r="D19" i="76"/>
  <c r="H19" i="76"/>
  <c r="J19" i="76"/>
  <c r="B20" i="76"/>
  <c r="D20" i="76"/>
  <c r="H20" i="76"/>
  <c r="J20" i="76"/>
  <c r="D21" i="76"/>
  <c r="H21" i="76"/>
  <c r="J21" i="76"/>
  <c r="D22" i="76"/>
  <c r="H22" i="76"/>
  <c r="J22" i="76"/>
  <c r="D23" i="76"/>
  <c r="H23" i="76"/>
  <c r="J23" i="76"/>
  <c r="D24" i="76"/>
  <c r="H24" i="76"/>
  <c r="J24" i="76"/>
  <c r="D25" i="76"/>
  <c r="H25" i="76"/>
  <c r="J25" i="76"/>
  <c r="D26" i="76"/>
  <c r="H26" i="76"/>
  <c r="J26" i="76"/>
  <c r="D27" i="76"/>
  <c r="H27" i="76"/>
  <c r="J27" i="76"/>
  <c r="D28" i="76"/>
  <c r="H28" i="76"/>
  <c r="J28" i="76"/>
  <c r="D29" i="76"/>
  <c r="J29" i="76"/>
  <c r="D30" i="76"/>
  <c r="J30" i="76"/>
  <c r="D31" i="76"/>
  <c r="J31" i="76"/>
  <c r="B32" i="76"/>
  <c r="D32" i="76"/>
  <c r="J32" i="76"/>
  <c r="B33" i="76"/>
  <c r="D33" i="76"/>
  <c r="J33" i="76"/>
  <c r="B34" i="76"/>
  <c r="D34" i="76"/>
  <c r="J34" i="76"/>
  <c r="B35" i="76"/>
  <c r="D35" i="76"/>
  <c r="H35" i="76"/>
  <c r="J35" i="76"/>
  <c r="B36" i="76"/>
  <c r="D36" i="76"/>
  <c r="H36" i="76"/>
  <c r="J36" i="76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AA10" i="33"/>
  <c r="AB10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AA11" i="33"/>
  <c r="AB11" i="33"/>
  <c r="AA12" i="33"/>
  <c r="AB12" i="33"/>
  <c r="AA13" i="33"/>
  <c r="AB13" i="33"/>
  <c r="AA14" i="33"/>
  <c r="AB14" i="33"/>
  <c r="AA15" i="33"/>
  <c r="AB15" i="33"/>
  <c r="AA16" i="33"/>
  <c r="AB16" i="33"/>
  <c r="AA17" i="33"/>
  <c r="AB17" i="33"/>
  <c r="AA18" i="33"/>
  <c r="AB18" i="33"/>
  <c r="AA19" i="33"/>
  <c r="AB19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AA20" i="33"/>
  <c r="AB20" i="33"/>
  <c r="AA21" i="33"/>
  <c r="AB21" i="33"/>
  <c r="AA22" i="33"/>
  <c r="AB22" i="33"/>
  <c r="AA23" i="33"/>
  <c r="AB23" i="33"/>
  <c r="AA24" i="33"/>
  <c r="AB24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AA25" i="33"/>
  <c r="AB25" i="33"/>
  <c r="AA26" i="33"/>
  <c r="AB26" i="33"/>
  <c r="AA27" i="33"/>
  <c r="AB27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AA28" i="33"/>
  <c r="AB28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AA29" i="33"/>
  <c r="AB29" i="33"/>
  <c r="AA30" i="33"/>
  <c r="AB30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AA31" i="33"/>
  <c r="AB31" i="33"/>
  <c r="AA32" i="33"/>
  <c r="AB32" i="33"/>
  <c r="AA33" i="33"/>
  <c r="AB33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AA34" i="33"/>
  <c r="AB34" i="33"/>
  <c r="AA35" i="33"/>
  <c r="AB35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AA36" i="33"/>
  <c r="AB36" i="33"/>
  <c r="AA37" i="33"/>
  <c r="AB37" i="33"/>
  <c r="AA38" i="33"/>
  <c r="AB38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AA39" i="33"/>
  <c r="AB39" i="33"/>
  <c r="AA40" i="33"/>
  <c r="AB40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AA41" i="33"/>
  <c r="AB41" i="33"/>
  <c r="AA42" i="33"/>
  <c r="AB42" i="33"/>
  <c r="AA43" i="33"/>
  <c r="AB43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AA44" i="33"/>
  <c r="AB44" i="33"/>
  <c r="AA45" i="33"/>
  <c r="AB45" i="33"/>
  <c r="AA46" i="33"/>
  <c r="AB46" i="33"/>
  <c r="AA47" i="33"/>
  <c r="AB47" i="33"/>
  <c r="AA48" i="33"/>
  <c r="AB48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AA49" i="33"/>
  <c r="AB49" i="33"/>
  <c r="AA50" i="33"/>
  <c r="AB50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AA51" i="33"/>
  <c r="AB51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AA52" i="33"/>
  <c r="AB52" i="33"/>
  <c r="AA53" i="33"/>
  <c r="AB53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AA54" i="33"/>
  <c r="AB54" i="33"/>
  <c r="AA55" i="33"/>
  <c r="AB55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AA56" i="33"/>
  <c r="AB56" i="33"/>
  <c r="AA57" i="33"/>
  <c r="AB57" i="33"/>
  <c r="AA58" i="33"/>
  <c r="AB58" i="33"/>
  <c r="AA59" i="33"/>
  <c r="AB59" i="33"/>
  <c r="AA60" i="33"/>
  <c r="AB60" i="33"/>
  <c r="AA61" i="33"/>
  <c r="AB61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AA62" i="33"/>
  <c r="AB62" i="33"/>
  <c r="AA63" i="33"/>
  <c r="AB63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AA64" i="33"/>
  <c r="AB64" i="33"/>
  <c r="AA65" i="33"/>
  <c r="AB65" i="33"/>
  <c r="AA66" i="33"/>
  <c r="AB66" i="33"/>
  <c r="AA67" i="33"/>
  <c r="AB67" i="33"/>
  <c r="AA68" i="33"/>
  <c r="AB68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AA69" i="33"/>
  <c r="AB69" i="33"/>
  <c r="AA70" i="33"/>
  <c r="AB70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AA71" i="33"/>
  <c r="AB71" i="33"/>
  <c r="AA72" i="33"/>
  <c r="AB72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AA73" i="33"/>
  <c r="AB73" i="33"/>
  <c r="AA74" i="33"/>
  <c r="AB74" i="33"/>
  <c r="AA75" i="33"/>
  <c r="AB75" i="33"/>
  <c r="C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AA76" i="33"/>
  <c r="AB76" i="33"/>
  <c r="C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AA77" i="33"/>
  <c r="AB77" i="33"/>
  <c r="AA78" i="33"/>
  <c r="AB78" i="33"/>
  <c r="AA79" i="33"/>
  <c r="AB79" i="33"/>
  <c r="AA80" i="33"/>
  <c r="AB80" i="33"/>
  <c r="AA81" i="33"/>
  <c r="AB81" i="33"/>
  <c r="AA82" i="33"/>
  <c r="AB82" i="33"/>
  <c r="AA83" i="33"/>
  <c r="AB83" i="33"/>
  <c r="AA84" i="33"/>
  <c r="AB84" i="33"/>
  <c r="AA85" i="33"/>
  <c r="AB85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AA86" i="33"/>
  <c r="AB86" i="33"/>
  <c r="AA87" i="33"/>
  <c r="AB87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AA88" i="33"/>
  <c r="AB88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AA89" i="33"/>
  <c r="AB89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AA90" i="33"/>
  <c r="AB90" i="33"/>
  <c r="Y91" i="33"/>
  <c r="AA91" i="33"/>
  <c r="AB91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AA92" i="33"/>
  <c r="AB92" i="33"/>
  <c r="AA93" i="33"/>
  <c r="AB93" i="33"/>
  <c r="AA94" i="33"/>
  <c r="AB94" i="33"/>
  <c r="E95" i="33"/>
  <c r="Y95" i="33"/>
  <c r="AA95" i="33"/>
  <c r="AB95" i="33"/>
  <c r="AA96" i="33"/>
  <c r="AB96" i="33"/>
  <c r="Y97" i="33"/>
  <c r="AA97" i="33"/>
  <c r="AB97" i="33"/>
  <c r="AA98" i="33"/>
  <c r="AB98" i="33"/>
  <c r="Y99" i="33"/>
  <c r="AA99" i="33"/>
  <c r="AB99" i="33"/>
  <c r="AA100" i="33"/>
  <c r="AB100" i="33"/>
  <c r="AA101" i="33"/>
  <c r="AB101" i="33"/>
  <c r="D102" i="33"/>
  <c r="AA102" i="33"/>
  <c r="AB102" i="33"/>
  <c r="D103" i="33"/>
  <c r="AA103" i="33"/>
  <c r="AB103" i="33"/>
  <c r="AA104" i="33"/>
  <c r="AB104" i="33"/>
  <c r="D105" i="33"/>
  <c r="AA105" i="33"/>
  <c r="AB105" i="33"/>
  <c r="AA106" i="33"/>
  <c r="AB106" i="33"/>
  <c r="F107" i="33"/>
  <c r="G107" i="33"/>
  <c r="H107" i="33"/>
  <c r="I107" i="33"/>
  <c r="J107" i="33"/>
  <c r="K107" i="33"/>
  <c r="L107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Y107" i="33"/>
  <c r="AA107" i="33"/>
  <c r="AB107" i="33"/>
  <c r="AA108" i="33"/>
  <c r="AB108" i="33"/>
  <c r="D109" i="33"/>
  <c r="F109" i="33"/>
  <c r="G109" i="33"/>
  <c r="H109" i="33"/>
  <c r="I109" i="33"/>
  <c r="J109" i="33"/>
  <c r="K109" i="33"/>
  <c r="L109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Y109" i="33"/>
  <c r="AA109" i="33"/>
  <c r="AB109" i="33"/>
  <c r="D110" i="33"/>
  <c r="F110" i="33"/>
  <c r="G110" i="33"/>
  <c r="H110" i="33"/>
  <c r="I110" i="33"/>
  <c r="J110" i="33"/>
  <c r="K110" i="33"/>
  <c r="L110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Y110" i="33"/>
  <c r="AA110" i="33"/>
  <c r="AB110" i="33"/>
  <c r="AA111" i="33"/>
  <c r="AB111" i="33"/>
  <c r="AA112" i="33"/>
  <c r="AB112" i="33"/>
  <c r="D113" i="33"/>
  <c r="AA113" i="33"/>
  <c r="AB113" i="33"/>
  <c r="AA114" i="33"/>
  <c r="AB114" i="33"/>
  <c r="F115" i="33"/>
  <c r="G115" i="33"/>
  <c r="H115" i="33"/>
  <c r="I115" i="33"/>
  <c r="J115" i="33"/>
  <c r="K115" i="33"/>
  <c r="L115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Y115" i="33"/>
  <c r="AA115" i="33"/>
  <c r="AB115" i="33"/>
  <c r="D116" i="33"/>
  <c r="F116" i="33"/>
  <c r="G116" i="33"/>
  <c r="H116" i="33"/>
  <c r="I116" i="33"/>
  <c r="J116" i="33"/>
  <c r="K116" i="33"/>
  <c r="L116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Y116" i="33"/>
  <c r="AA116" i="33"/>
  <c r="AB116" i="33"/>
  <c r="AA117" i="33"/>
  <c r="AB117" i="33"/>
  <c r="AA118" i="33"/>
  <c r="AB118" i="33"/>
  <c r="F119" i="33"/>
  <c r="G119" i="33"/>
  <c r="H119" i="33"/>
  <c r="I119" i="33"/>
  <c r="J119" i="33"/>
  <c r="K119" i="33"/>
  <c r="L119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Y119" i="33"/>
  <c r="AA119" i="33"/>
  <c r="AB119" i="33"/>
  <c r="AA120" i="33"/>
  <c r="AB120" i="33"/>
  <c r="A121" i="33"/>
  <c r="F121" i="33"/>
  <c r="G121" i="33"/>
  <c r="H121" i="33"/>
  <c r="I121" i="33"/>
  <c r="J121" i="33"/>
  <c r="K121" i="33"/>
  <c r="L121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Y121" i="33"/>
  <c r="AA121" i="33"/>
  <c r="AB121" i="33"/>
  <c r="F122" i="33"/>
  <c r="G122" i="33"/>
  <c r="H122" i="33"/>
  <c r="I122" i="33"/>
  <c r="J122" i="33"/>
  <c r="K122" i="33"/>
  <c r="L122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Y122" i="33"/>
  <c r="AA122" i="33"/>
  <c r="AB122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3" i="33"/>
  <c r="AB123" i="33"/>
  <c r="F124" i="33"/>
  <c r="G124" i="33"/>
  <c r="H124" i="33"/>
  <c r="I124" i="33"/>
  <c r="J124" i="33"/>
  <c r="K124" i="33"/>
  <c r="L124" i="33"/>
  <c r="M124" i="33"/>
  <c r="N124" i="33"/>
  <c r="O124" i="33"/>
  <c r="P124" i="33"/>
  <c r="Q124" i="33"/>
  <c r="R124" i="33"/>
  <c r="S124" i="33"/>
  <c r="T124" i="33"/>
  <c r="U124" i="33"/>
  <c r="V124" i="33"/>
  <c r="W124" i="33"/>
  <c r="X124" i="33"/>
  <c r="Y124" i="33"/>
  <c r="AA124" i="33"/>
  <c r="AB124" i="33"/>
  <c r="AA125" i="33"/>
  <c r="AB125" i="33"/>
  <c r="C126" i="33"/>
  <c r="F126" i="33"/>
  <c r="G126" i="33"/>
  <c r="H126" i="33"/>
  <c r="I126" i="33"/>
  <c r="J126" i="33"/>
  <c r="K126" i="33"/>
  <c r="L126" i="33"/>
  <c r="M126" i="33"/>
  <c r="N126" i="33"/>
  <c r="O126" i="33"/>
  <c r="P126" i="33"/>
  <c r="Q126" i="33"/>
  <c r="R126" i="33"/>
  <c r="S126" i="33"/>
  <c r="T126" i="33"/>
  <c r="U126" i="33"/>
  <c r="V126" i="33"/>
  <c r="W126" i="33"/>
  <c r="X126" i="33"/>
  <c r="Y126" i="33"/>
  <c r="AA126" i="33"/>
  <c r="AB126" i="33"/>
  <c r="C127" i="33"/>
  <c r="F127" i="33"/>
  <c r="G127" i="33"/>
  <c r="H127" i="33"/>
  <c r="I127" i="33"/>
  <c r="J127" i="33"/>
  <c r="K127" i="33"/>
  <c r="L127" i="33"/>
  <c r="M127" i="33"/>
  <c r="N127" i="33"/>
  <c r="O127" i="33"/>
  <c r="P127" i="33"/>
  <c r="Q127" i="33"/>
  <c r="R127" i="33"/>
  <c r="S127" i="33"/>
  <c r="T127" i="33"/>
  <c r="U127" i="33"/>
  <c r="V127" i="33"/>
  <c r="W127" i="33"/>
  <c r="X127" i="33"/>
  <c r="Y127" i="33"/>
  <c r="AA127" i="33"/>
  <c r="AB127" i="33"/>
  <c r="AA128" i="33"/>
  <c r="AB128" i="33"/>
  <c r="AA129" i="33"/>
  <c r="AB129" i="33"/>
  <c r="AA130" i="33"/>
  <c r="AB130" i="33"/>
  <c r="AA131" i="33"/>
  <c r="AB131" i="33"/>
  <c r="AA132" i="33"/>
  <c r="AB132" i="33"/>
  <c r="AA133" i="33"/>
  <c r="AB133" i="33"/>
  <c r="AA134" i="33"/>
  <c r="AB134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Y135" i="33"/>
  <c r="AA135" i="33"/>
  <c r="AB135" i="33"/>
  <c r="AA136" i="33"/>
  <c r="AB136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Y137" i="33"/>
  <c r="AA137" i="33"/>
  <c r="AB137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Y138" i="33"/>
  <c r="AA138" i="33"/>
  <c r="AB138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Y139" i="33"/>
  <c r="AA139" i="33"/>
  <c r="AB139" i="33"/>
  <c r="C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Y140" i="33"/>
  <c r="AA140" i="33"/>
  <c r="AB140" i="33"/>
  <c r="C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Y141" i="33"/>
  <c r="AA141" i="33"/>
  <c r="AB141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Y142" i="33"/>
  <c r="AA142" i="33"/>
  <c r="AB142" i="33"/>
  <c r="AA143" i="33"/>
  <c r="AB143" i="33"/>
  <c r="A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AA144" i="33"/>
  <c r="AB144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AA145" i="33"/>
  <c r="AB145" i="33"/>
  <c r="AA146" i="33"/>
  <c r="AB146" i="33"/>
  <c r="AA147" i="33"/>
  <c r="AB147" i="33"/>
  <c r="AA148" i="33"/>
  <c r="AB148" i="33"/>
  <c r="AA149" i="33"/>
  <c r="AB149" i="33"/>
  <c r="A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AA150" i="33"/>
  <c r="AB150" i="33"/>
  <c r="AA151" i="33"/>
  <c r="AB151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AA152" i="33"/>
  <c r="C155" i="33"/>
  <c r="C156" i="33"/>
  <c r="D160" i="33"/>
  <c r="D162" i="33"/>
  <c r="D163" i="33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AA11" i="41"/>
  <c r="AB11" i="41"/>
  <c r="AA12" i="41"/>
  <c r="AB12" i="41"/>
  <c r="AA13" i="41"/>
  <c r="AB13" i="41"/>
  <c r="AA14" i="41"/>
  <c r="AB14" i="41"/>
  <c r="AA15" i="41"/>
  <c r="AB15" i="41"/>
  <c r="AA16" i="41"/>
  <c r="AB16" i="41"/>
  <c r="AA17" i="41"/>
  <c r="AB17" i="41"/>
  <c r="AA18" i="41"/>
  <c r="AB18" i="41"/>
  <c r="AA19" i="41"/>
  <c r="AB19" i="41"/>
  <c r="E20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AA20" i="41"/>
  <c r="AB20" i="41"/>
  <c r="AA21" i="41"/>
  <c r="AB21" i="41"/>
  <c r="AA22" i="41"/>
  <c r="AB22" i="41"/>
  <c r="AA23" i="41"/>
  <c r="AB23" i="41"/>
  <c r="AA24" i="41"/>
  <c r="AB24" i="41"/>
  <c r="E25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AA25" i="41"/>
  <c r="AB25" i="41"/>
  <c r="AA26" i="41"/>
  <c r="AB26" i="41"/>
  <c r="AA27" i="41"/>
  <c r="AB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AA28" i="41"/>
  <c r="AB28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AA29" i="41"/>
  <c r="AB29" i="41"/>
  <c r="AA30" i="41"/>
  <c r="AB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1" i="41"/>
  <c r="AB31" i="41"/>
  <c r="AA32" i="41"/>
  <c r="AB32" i="41"/>
  <c r="AA33" i="41"/>
  <c r="AB33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AA34" i="41"/>
  <c r="AB34" i="41"/>
  <c r="AA35" i="41"/>
  <c r="AB35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T36" i="41"/>
  <c r="U36" i="41"/>
  <c r="V36" i="41"/>
  <c r="W36" i="41"/>
  <c r="X36" i="41"/>
  <c r="Y36" i="41"/>
  <c r="AA36" i="41"/>
  <c r="AB36" i="41"/>
  <c r="AA37" i="41"/>
  <c r="AB37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AA39" i="41"/>
  <c r="AB39" i="41"/>
  <c r="AA40" i="41"/>
  <c r="AB40" i="41"/>
  <c r="F41" i="41"/>
  <c r="G41" i="41"/>
  <c r="H41" i="41"/>
  <c r="I41" i="41"/>
  <c r="J41" i="41"/>
  <c r="K41" i="41"/>
  <c r="L41" i="41"/>
  <c r="M41" i="41"/>
  <c r="N41" i="41"/>
  <c r="O41" i="41"/>
  <c r="P41" i="41"/>
  <c r="Q41" i="41"/>
  <c r="R41" i="41"/>
  <c r="S41" i="41"/>
  <c r="T41" i="41"/>
  <c r="U41" i="41"/>
  <c r="V41" i="41"/>
  <c r="W41" i="41"/>
  <c r="X41" i="41"/>
  <c r="Y41" i="41"/>
  <c r="AA41" i="41"/>
  <c r="AB41" i="41"/>
  <c r="AA42" i="41"/>
  <c r="AB42" i="41"/>
  <c r="AA43" i="41"/>
  <c r="AB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AA44" i="41"/>
  <c r="AB44" i="41"/>
  <c r="AA45" i="41"/>
  <c r="AB45" i="41"/>
  <c r="E46" i="41"/>
  <c r="AA46" i="41"/>
  <c r="AB46" i="41"/>
  <c r="AA47" i="41"/>
  <c r="AB47" i="41"/>
  <c r="AA48" i="41"/>
  <c r="AB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AA49" i="41"/>
  <c r="AB49" i="41"/>
  <c r="AA50" i="41"/>
  <c r="AB50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AA51" i="41"/>
  <c r="AB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AA52" i="41"/>
  <c r="AB52" i="41"/>
  <c r="AA53" i="41"/>
  <c r="AB53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AA54" i="41"/>
  <c r="AB54" i="41"/>
  <c r="AA55" i="41"/>
  <c r="AB55" i="41"/>
  <c r="AA56" i="41"/>
  <c r="AB56" i="41"/>
  <c r="AA57" i="41"/>
  <c r="AB57" i="41"/>
  <c r="AA58" i="41"/>
  <c r="AB58" i="41"/>
  <c r="AA59" i="41"/>
  <c r="AB59" i="41"/>
  <c r="AA60" i="41"/>
  <c r="AB60" i="41"/>
  <c r="AA61" i="41"/>
  <c r="AB61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AA62" i="41"/>
  <c r="AB62" i="41"/>
  <c r="AA63" i="41"/>
  <c r="AB63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R64" i="41"/>
  <c r="S64" i="41"/>
  <c r="T64" i="41"/>
  <c r="U64" i="41"/>
  <c r="V64" i="41"/>
  <c r="W64" i="41"/>
  <c r="X64" i="41"/>
  <c r="Y64" i="41"/>
  <c r="AA64" i="41"/>
  <c r="AB64" i="41"/>
  <c r="AA65" i="41"/>
  <c r="AB65" i="41"/>
  <c r="E66" i="41"/>
  <c r="AA66" i="41"/>
  <c r="AB66" i="41"/>
  <c r="AA67" i="41"/>
  <c r="AB67" i="41"/>
  <c r="AA68" i="41"/>
  <c r="AB68" i="41"/>
  <c r="E69" i="41"/>
  <c r="F69" i="41"/>
  <c r="G69" i="41"/>
  <c r="H69" i="41"/>
  <c r="I69" i="41"/>
  <c r="J69" i="41"/>
  <c r="K69" i="41"/>
  <c r="L69" i="41"/>
  <c r="M69" i="41"/>
  <c r="N69" i="41"/>
  <c r="O69" i="41"/>
  <c r="P69" i="41"/>
  <c r="Q69" i="41"/>
  <c r="R69" i="41"/>
  <c r="S69" i="41"/>
  <c r="T69" i="41"/>
  <c r="U69" i="41"/>
  <c r="V69" i="41"/>
  <c r="W69" i="41"/>
  <c r="X69" i="41"/>
  <c r="Y69" i="41"/>
  <c r="AA69" i="41"/>
  <c r="AB69" i="41"/>
  <c r="AA70" i="41"/>
  <c r="AB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AA71" i="41"/>
  <c r="AB71" i="41"/>
  <c r="AA72" i="41"/>
  <c r="AB72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AA73" i="41"/>
  <c r="AB73" i="41"/>
  <c r="AA74" i="41"/>
  <c r="AB74" i="41"/>
  <c r="AA75" i="41"/>
  <c r="AB75" i="41"/>
  <c r="C76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AA76" i="41"/>
  <c r="AB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AA77" i="41"/>
  <c r="AB77" i="41"/>
  <c r="AA78" i="41"/>
  <c r="AB78" i="41"/>
  <c r="AA79" i="41"/>
  <c r="AB79" i="41"/>
  <c r="AA80" i="41"/>
  <c r="AB80" i="41"/>
  <c r="AA81" i="41"/>
  <c r="AB81" i="41"/>
  <c r="AA82" i="41"/>
  <c r="AB82" i="41"/>
  <c r="AA83" i="41"/>
  <c r="AB83" i="41"/>
  <c r="AA84" i="41"/>
  <c r="AB84" i="41"/>
  <c r="AA85" i="41"/>
  <c r="AB85" i="41"/>
  <c r="E86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AA86" i="41"/>
  <c r="AB86" i="41"/>
  <c r="AA87" i="41"/>
  <c r="AB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AA88" i="41"/>
  <c r="AB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AA89" i="41"/>
  <c r="AB89" i="4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0" i="41"/>
  <c r="AB90" i="41"/>
  <c r="S91" i="41"/>
  <c r="AA91" i="41"/>
  <c r="AB91" i="41"/>
  <c r="F92" i="41"/>
  <c r="G92" i="41"/>
  <c r="H92" i="41"/>
  <c r="I92" i="41"/>
  <c r="J92" i="41"/>
  <c r="K92" i="41"/>
  <c r="L92" i="41"/>
  <c r="M92" i="41"/>
  <c r="N92" i="41"/>
  <c r="O92" i="41"/>
  <c r="P92" i="41"/>
  <c r="Q92" i="41"/>
  <c r="R92" i="41"/>
  <c r="S92" i="41"/>
  <c r="T92" i="41"/>
  <c r="U92" i="41"/>
  <c r="V92" i="41"/>
  <c r="W92" i="41"/>
  <c r="X92" i="41"/>
  <c r="Y92" i="41"/>
  <c r="AA92" i="41"/>
  <c r="AB92" i="41"/>
  <c r="AA93" i="41"/>
  <c r="AB93" i="41"/>
  <c r="AA94" i="41"/>
  <c r="AB94" i="41"/>
  <c r="E95" i="41"/>
  <c r="Y95" i="41"/>
  <c r="AA95" i="41"/>
  <c r="AB95" i="41"/>
  <c r="AA96" i="41"/>
  <c r="AB96" i="41"/>
  <c r="Y97" i="41"/>
  <c r="AA97" i="41"/>
  <c r="AB97" i="41"/>
  <c r="AA98" i="41"/>
  <c r="AB98" i="41"/>
  <c r="Y99" i="41"/>
  <c r="AA99" i="41"/>
  <c r="AB99" i="41"/>
  <c r="AA100" i="41"/>
  <c r="AB100" i="41"/>
  <c r="AA101" i="41"/>
  <c r="AB101" i="41"/>
  <c r="D102" i="41"/>
  <c r="AA102" i="41"/>
  <c r="AB102" i="41"/>
  <c r="D103" i="41"/>
  <c r="AA103" i="41"/>
  <c r="AB103" i="41"/>
  <c r="AA104" i="41"/>
  <c r="AB104" i="41"/>
  <c r="D105" i="41"/>
  <c r="AA105" i="41"/>
  <c r="AB105" i="41"/>
  <c r="AA106" i="41"/>
  <c r="AB106" i="41"/>
  <c r="F107" i="41"/>
  <c r="G107" i="41"/>
  <c r="H107" i="41"/>
  <c r="I107" i="41"/>
  <c r="J107" i="41"/>
  <c r="K107" i="41"/>
  <c r="L107" i="41"/>
  <c r="M107" i="41"/>
  <c r="N107" i="41"/>
  <c r="O107" i="41"/>
  <c r="P107" i="41"/>
  <c r="Q107" i="41"/>
  <c r="R107" i="41"/>
  <c r="S107" i="41"/>
  <c r="T107" i="41"/>
  <c r="U107" i="41"/>
  <c r="V107" i="41"/>
  <c r="W107" i="41"/>
  <c r="X107" i="41"/>
  <c r="Y107" i="41"/>
  <c r="AA107" i="41"/>
  <c r="AB107" i="41"/>
  <c r="AA108" i="41"/>
  <c r="AB108" i="41"/>
  <c r="D109" i="41"/>
  <c r="F109" i="41"/>
  <c r="G109" i="41"/>
  <c r="H109" i="41"/>
  <c r="I109" i="41"/>
  <c r="J109" i="41"/>
  <c r="K109" i="41"/>
  <c r="L109" i="41"/>
  <c r="M109" i="41"/>
  <c r="N109" i="41"/>
  <c r="O109" i="41"/>
  <c r="P109" i="41"/>
  <c r="Q109" i="41"/>
  <c r="R109" i="41"/>
  <c r="S109" i="41"/>
  <c r="AA109" i="41"/>
  <c r="AB109" i="41"/>
  <c r="D110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S110" i="41"/>
  <c r="AA110" i="41"/>
  <c r="AB110" i="41"/>
  <c r="AA111" i="41"/>
  <c r="AB111" i="41"/>
  <c r="AA112" i="41"/>
  <c r="AB112" i="41"/>
  <c r="D113" i="41"/>
  <c r="AA113" i="41"/>
  <c r="AB113" i="41"/>
  <c r="AA114" i="41"/>
  <c r="AB114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S115" i="41"/>
  <c r="AA115" i="41"/>
  <c r="AB115" i="41"/>
  <c r="D116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S116" i="41"/>
  <c r="AA116" i="41"/>
  <c r="AB116" i="41"/>
  <c r="AA117" i="41"/>
  <c r="AB117" i="41"/>
  <c r="AA118" i="41"/>
  <c r="AB118" i="41"/>
  <c r="F119" i="41"/>
  <c r="G119" i="41"/>
  <c r="H119" i="41"/>
  <c r="I119" i="41"/>
  <c r="J119" i="41"/>
  <c r="K119" i="41"/>
  <c r="L119" i="41"/>
  <c r="M119" i="41"/>
  <c r="N119" i="41"/>
  <c r="O119" i="41"/>
  <c r="P119" i="41"/>
  <c r="Q119" i="41"/>
  <c r="R119" i="41"/>
  <c r="S119" i="41"/>
  <c r="T119" i="41"/>
  <c r="U119" i="41"/>
  <c r="V119" i="41"/>
  <c r="W119" i="41"/>
  <c r="X119" i="41"/>
  <c r="Y119" i="41"/>
  <c r="AA119" i="41"/>
  <c r="AB119" i="41"/>
  <c r="AA120" i="41"/>
  <c r="AB120" i="41"/>
  <c r="A121" i="41"/>
  <c r="F121" i="41"/>
  <c r="G121" i="41"/>
  <c r="H121" i="41"/>
  <c r="I121" i="41"/>
  <c r="J121" i="41"/>
  <c r="K121" i="41"/>
  <c r="L121" i="41"/>
  <c r="M121" i="41"/>
  <c r="N121" i="41"/>
  <c r="O121" i="41"/>
  <c r="P121" i="41"/>
  <c r="Q121" i="41"/>
  <c r="R121" i="41"/>
  <c r="S121" i="41"/>
  <c r="T121" i="41"/>
  <c r="U121" i="41"/>
  <c r="V121" i="41"/>
  <c r="W121" i="41"/>
  <c r="X121" i="41"/>
  <c r="Y121" i="41"/>
  <c r="AA121" i="41"/>
  <c r="AB121" i="41"/>
  <c r="F122" i="41"/>
  <c r="G122" i="41"/>
  <c r="H122" i="41"/>
  <c r="I122" i="41"/>
  <c r="J122" i="41"/>
  <c r="K122" i="41"/>
  <c r="L122" i="41"/>
  <c r="M122" i="41"/>
  <c r="N122" i="41"/>
  <c r="O122" i="41"/>
  <c r="P122" i="41"/>
  <c r="Q122" i="41"/>
  <c r="R122" i="41"/>
  <c r="S122" i="41"/>
  <c r="T122" i="41"/>
  <c r="U122" i="41"/>
  <c r="V122" i="41"/>
  <c r="W122" i="41"/>
  <c r="X122" i="41"/>
  <c r="Y122" i="41"/>
  <c r="AA122" i="41"/>
  <c r="AB122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3" i="41"/>
  <c r="AB123" i="41"/>
  <c r="F124" i="41"/>
  <c r="G124" i="41"/>
  <c r="H124" i="41"/>
  <c r="I124" i="41"/>
  <c r="J124" i="41"/>
  <c r="K124" i="41"/>
  <c r="L124" i="41"/>
  <c r="M124" i="41"/>
  <c r="N124" i="41"/>
  <c r="O124" i="41"/>
  <c r="P124" i="41"/>
  <c r="Q124" i="41"/>
  <c r="R124" i="41"/>
  <c r="S124" i="41"/>
  <c r="T124" i="41"/>
  <c r="U124" i="41"/>
  <c r="V124" i="41"/>
  <c r="W124" i="41"/>
  <c r="X124" i="41"/>
  <c r="Y124" i="41"/>
  <c r="AA124" i="41"/>
  <c r="AB124" i="41"/>
  <c r="AA125" i="41"/>
  <c r="AB125" i="41"/>
  <c r="C126" i="41"/>
  <c r="F126" i="41"/>
  <c r="G126" i="41"/>
  <c r="H126" i="41"/>
  <c r="I126" i="41"/>
  <c r="J126" i="41"/>
  <c r="K126" i="41"/>
  <c r="L126" i="41"/>
  <c r="M126" i="41"/>
  <c r="N126" i="41"/>
  <c r="O126" i="41"/>
  <c r="P126" i="41"/>
  <c r="Q126" i="41"/>
  <c r="R126" i="41"/>
  <c r="S126" i="41"/>
  <c r="T126" i="41"/>
  <c r="U126" i="41"/>
  <c r="V126" i="41"/>
  <c r="W126" i="41"/>
  <c r="X126" i="41"/>
  <c r="Y126" i="41"/>
  <c r="AA126" i="41"/>
  <c r="AB126" i="41"/>
  <c r="C127" i="41"/>
  <c r="F127" i="41"/>
  <c r="G127" i="41"/>
  <c r="H127" i="41"/>
  <c r="I127" i="41"/>
  <c r="J127" i="41"/>
  <c r="K127" i="41"/>
  <c r="L127" i="41"/>
  <c r="M127" i="41"/>
  <c r="N127" i="41"/>
  <c r="O127" i="41"/>
  <c r="P127" i="41"/>
  <c r="Q127" i="41"/>
  <c r="R127" i="41"/>
  <c r="S127" i="41"/>
  <c r="T127" i="41"/>
  <c r="U127" i="41"/>
  <c r="V127" i="41"/>
  <c r="W127" i="41"/>
  <c r="X127" i="41"/>
  <c r="Y127" i="41"/>
  <c r="AA127" i="41"/>
  <c r="AB127" i="41"/>
  <c r="AA128" i="41"/>
  <c r="AB128" i="41"/>
  <c r="AA129" i="41"/>
  <c r="AB129" i="41"/>
  <c r="AA130" i="41"/>
  <c r="AB130" i="41"/>
  <c r="AA131" i="41"/>
  <c r="AB131" i="41"/>
  <c r="AA132" i="41"/>
  <c r="AB132" i="41"/>
  <c r="AA133" i="41"/>
  <c r="AB133" i="41"/>
  <c r="AA134" i="41"/>
  <c r="AB134" i="41"/>
  <c r="F135" i="41"/>
  <c r="G135" i="41"/>
  <c r="H135" i="41"/>
  <c r="I135" i="41"/>
  <c r="J135" i="41"/>
  <c r="K135" i="41"/>
  <c r="L135" i="41"/>
  <c r="M135" i="41"/>
  <c r="N135" i="41"/>
  <c r="O135" i="41"/>
  <c r="P135" i="41"/>
  <c r="Q135" i="41"/>
  <c r="R135" i="41"/>
  <c r="S135" i="41"/>
  <c r="T135" i="41"/>
  <c r="U135" i="41"/>
  <c r="V135" i="41"/>
  <c r="W135" i="41"/>
  <c r="X135" i="41"/>
  <c r="Y135" i="41"/>
  <c r="AA135" i="41"/>
  <c r="AB135" i="41"/>
  <c r="AA136" i="41"/>
  <c r="AB136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R137" i="41"/>
  <c r="S137" i="41"/>
  <c r="T137" i="41"/>
  <c r="U137" i="41"/>
  <c r="V137" i="41"/>
  <c r="W137" i="41"/>
  <c r="X137" i="41"/>
  <c r="Y137" i="41"/>
  <c r="AA137" i="41"/>
  <c r="AB137" i="41"/>
  <c r="F138" i="41"/>
  <c r="G138" i="41"/>
  <c r="H138" i="41"/>
  <c r="I138" i="41"/>
  <c r="J138" i="41"/>
  <c r="K138" i="41"/>
  <c r="L138" i="41"/>
  <c r="M138" i="41"/>
  <c r="N138" i="41"/>
  <c r="O138" i="41"/>
  <c r="P138" i="41"/>
  <c r="Q138" i="41"/>
  <c r="R138" i="41"/>
  <c r="S138" i="41"/>
  <c r="T138" i="41"/>
  <c r="U138" i="41"/>
  <c r="V138" i="41"/>
  <c r="W138" i="41"/>
  <c r="X138" i="41"/>
  <c r="Y138" i="41"/>
  <c r="AA138" i="41"/>
  <c r="AB138" i="41"/>
  <c r="F139" i="41"/>
  <c r="G139" i="41"/>
  <c r="H139" i="41"/>
  <c r="I139" i="41"/>
  <c r="J139" i="41"/>
  <c r="K139" i="41"/>
  <c r="L139" i="41"/>
  <c r="M139" i="41"/>
  <c r="N139" i="41"/>
  <c r="O139" i="41"/>
  <c r="P139" i="41"/>
  <c r="Q139" i="41"/>
  <c r="R139" i="41"/>
  <c r="S139" i="41"/>
  <c r="T139" i="41"/>
  <c r="U139" i="41"/>
  <c r="V139" i="41"/>
  <c r="W139" i="41"/>
  <c r="X139" i="41"/>
  <c r="Y139" i="41"/>
  <c r="AA139" i="41"/>
  <c r="AB139" i="41"/>
  <c r="C140" i="41"/>
  <c r="F140" i="41"/>
  <c r="G140" i="41"/>
  <c r="H140" i="41"/>
  <c r="I140" i="41"/>
  <c r="J140" i="41"/>
  <c r="K140" i="41"/>
  <c r="L140" i="41"/>
  <c r="M140" i="41"/>
  <c r="N140" i="41"/>
  <c r="O140" i="41"/>
  <c r="P140" i="41"/>
  <c r="Q140" i="41"/>
  <c r="R140" i="41"/>
  <c r="S140" i="41"/>
  <c r="T140" i="41"/>
  <c r="U140" i="41"/>
  <c r="V140" i="41"/>
  <c r="W140" i="41"/>
  <c r="X140" i="41"/>
  <c r="Y140" i="41"/>
  <c r="AA140" i="41"/>
  <c r="AB140" i="41"/>
  <c r="C141" i="41"/>
  <c r="F141" i="41"/>
  <c r="G141" i="41"/>
  <c r="H141" i="41"/>
  <c r="I141" i="41"/>
  <c r="J141" i="41"/>
  <c r="K141" i="41"/>
  <c r="L141" i="41"/>
  <c r="M141" i="41"/>
  <c r="N141" i="41"/>
  <c r="O141" i="41"/>
  <c r="P141" i="41"/>
  <c r="Q141" i="41"/>
  <c r="R141" i="41"/>
  <c r="S141" i="41"/>
  <c r="T141" i="41"/>
  <c r="U141" i="41"/>
  <c r="V141" i="41"/>
  <c r="W141" i="41"/>
  <c r="X141" i="41"/>
  <c r="Y141" i="41"/>
  <c r="AA141" i="41"/>
  <c r="AB141" i="41"/>
  <c r="F142" i="41"/>
  <c r="G142" i="41"/>
  <c r="H142" i="41"/>
  <c r="I142" i="41"/>
  <c r="J142" i="41"/>
  <c r="K142" i="41"/>
  <c r="L142" i="41"/>
  <c r="M142" i="41"/>
  <c r="N142" i="41"/>
  <c r="O142" i="41"/>
  <c r="P142" i="41"/>
  <c r="Q142" i="41"/>
  <c r="R142" i="41"/>
  <c r="S142" i="41"/>
  <c r="T142" i="41"/>
  <c r="U142" i="41"/>
  <c r="V142" i="41"/>
  <c r="W142" i="41"/>
  <c r="X142" i="41"/>
  <c r="Y142" i="41"/>
  <c r="AA142" i="41"/>
  <c r="AB142" i="41"/>
  <c r="AA143" i="41"/>
  <c r="AB143" i="41"/>
  <c r="A144" i="41"/>
  <c r="F144" i="41"/>
  <c r="G144" i="41"/>
  <c r="H144" i="41"/>
  <c r="I144" i="41"/>
  <c r="J144" i="41"/>
  <c r="K144" i="41"/>
  <c r="L144" i="41"/>
  <c r="M144" i="41"/>
  <c r="N144" i="41"/>
  <c r="O144" i="41"/>
  <c r="P144" i="41"/>
  <c r="Q144" i="41"/>
  <c r="R144" i="41"/>
  <c r="S144" i="41"/>
  <c r="T144" i="41"/>
  <c r="U144" i="41"/>
  <c r="V144" i="41"/>
  <c r="W144" i="41"/>
  <c r="X144" i="41"/>
  <c r="Y144" i="41"/>
  <c r="AA144" i="41"/>
  <c r="AB144" i="41"/>
  <c r="F145" i="41"/>
  <c r="G145" i="41"/>
  <c r="H145" i="41"/>
  <c r="I145" i="41"/>
  <c r="J145" i="41"/>
  <c r="K145" i="41"/>
  <c r="L145" i="41"/>
  <c r="M145" i="41"/>
  <c r="N145" i="41"/>
  <c r="O145" i="41"/>
  <c r="P145" i="41"/>
  <c r="Q145" i="41"/>
  <c r="R145" i="41"/>
  <c r="S145" i="41"/>
  <c r="T145" i="41"/>
  <c r="U145" i="41"/>
  <c r="V145" i="41"/>
  <c r="W145" i="41"/>
  <c r="X145" i="41"/>
  <c r="Y145" i="41"/>
  <c r="AA145" i="41"/>
  <c r="AB145" i="41"/>
  <c r="AA146" i="41"/>
  <c r="AB146" i="41"/>
  <c r="AA147" i="41"/>
  <c r="AB147" i="41"/>
  <c r="AA148" i="41"/>
  <c r="AB148" i="41"/>
  <c r="AA149" i="41"/>
  <c r="AB149" i="41"/>
  <c r="A150" i="41"/>
  <c r="F150" i="41"/>
  <c r="G150" i="41"/>
  <c r="H150" i="41"/>
  <c r="I150" i="41"/>
  <c r="J150" i="41"/>
  <c r="K150" i="41"/>
  <c r="L150" i="41"/>
  <c r="M150" i="41"/>
  <c r="N150" i="41"/>
  <c r="O150" i="41"/>
  <c r="P150" i="41"/>
  <c r="Q150" i="41"/>
  <c r="R150" i="41"/>
  <c r="S150" i="41"/>
  <c r="T150" i="41"/>
  <c r="U150" i="41"/>
  <c r="V150" i="41"/>
  <c r="W150" i="41"/>
  <c r="X150" i="41"/>
  <c r="Y150" i="41"/>
  <c r="AA150" i="41"/>
  <c r="AB150" i="41"/>
  <c r="AA151" i="41"/>
  <c r="AB151" i="41"/>
  <c r="F152" i="41"/>
  <c r="G152" i="41"/>
  <c r="H152" i="41"/>
  <c r="I152" i="41"/>
  <c r="J152" i="41"/>
  <c r="K152" i="41"/>
  <c r="L152" i="41"/>
  <c r="M152" i="41"/>
  <c r="N152" i="41"/>
  <c r="O152" i="41"/>
  <c r="P152" i="41"/>
  <c r="Q152" i="41"/>
  <c r="R152" i="41"/>
  <c r="S152" i="41"/>
  <c r="T152" i="41"/>
  <c r="U152" i="41"/>
  <c r="V152" i="41"/>
  <c r="W152" i="41"/>
  <c r="X152" i="41"/>
  <c r="Y152" i="41"/>
  <c r="AA152" i="41"/>
  <c r="C155" i="41"/>
  <c r="D160" i="41"/>
  <c r="D162" i="41"/>
  <c r="D163" i="41"/>
  <c r="B5" i="67"/>
  <c r="C5" i="67"/>
  <c r="D5" i="67"/>
  <c r="E5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Y7" i="67"/>
  <c r="Z7" i="67"/>
  <c r="AA7" i="67"/>
  <c r="AB7" i="67"/>
  <c r="AC7" i="67"/>
  <c r="AD7" i="67"/>
  <c r="AE7" i="67"/>
  <c r="AF7" i="67"/>
  <c r="AG7" i="67"/>
  <c r="AH7" i="67"/>
  <c r="AI7" i="67"/>
  <c r="AJ7" i="67"/>
  <c r="AK7" i="67"/>
  <c r="AL7" i="67"/>
  <c r="AM7" i="67"/>
  <c r="AN7" i="67"/>
  <c r="AO7" i="67"/>
  <c r="AP7" i="67"/>
  <c r="AQ7" i="67"/>
  <c r="AR7" i="67"/>
  <c r="AS7" i="67"/>
  <c r="Z8" i="67"/>
  <c r="AA8" i="67"/>
  <c r="AB8" i="67"/>
  <c r="AC8" i="67"/>
  <c r="AD8" i="67"/>
  <c r="AE8" i="67"/>
  <c r="AF8" i="67"/>
  <c r="AG8" i="67"/>
  <c r="AH8" i="67"/>
  <c r="AI8" i="67"/>
  <c r="AJ8" i="67"/>
  <c r="AK8" i="67"/>
  <c r="AL8" i="67"/>
  <c r="AM8" i="67"/>
  <c r="AN8" i="67"/>
  <c r="AO8" i="67"/>
  <c r="AP8" i="67"/>
  <c r="AQ8" i="67"/>
  <c r="AR8" i="67"/>
  <c r="AS8" i="67"/>
  <c r="B9" i="67"/>
  <c r="C9" i="67"/>
  <c r="D9" i="67"/>
  <c r="W9" i="67"/>
  <c r="Z9" i="67"/>
  <c r="AA9" i="67"/>
  <c r="AB9" i="67"/>
  <c r="AC9" i="67"/>
  <c r="AD9" i="67"/>
  <c r="AE9" i="67"/>
  <c r="AF9" i="67"/>
  <c r="AG9" i="67"/>
  <c r="AH9" i="67"/>
  <c r="AI9" i="67"/>
  <c r="AJ9" i="67"/>
  <c r="AK9" i="67"/>
  <c r="AL9" i="67"/>
  <c r="AM9" i="67"/>
  <c r="AN9" i="67"/>
  <c r="AO9" i="67"/>
  <c r="AP9" i="67"/>
  <c r="AQ9" i="67"/>
  <c r="AR9" i="67"/>
  <c r="AS9" i="67"/>
  <c r="B10" i="67"/>
  <c r="C10" i="67"/>
  <c r="D10" i="67"/>
  <c r="W10" i="67"/>
  <c r="B11" i="67"/>
  <c r="C11" i="67"/>
  <c r="D11" i="67"/>
  <c r="W11" i="67"/>
  <c r="B12" i="67"/>
  <c r="C12" i="67"/>
  <c r="D12" i="67"/>
  <c r="W12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W15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W16" i="67"/>
  <c r="W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W18" i="67"/>
  <c r="B19" i="67"/>
  <c r="C19" i="67"/>
  <c r="D19" i="67"/>
  <c r="E19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W19" i="67"/>
  <c r="B22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W22" i="67"/>
  <c r="B23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W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W24" i="67"/>
  <c r="B25" i="67"/>
  <c r="C25" i="67"/>
  <c r="D25" i="67"/>
  <c r="E25" i="67"/>
  <c r="F25" i="67"/>
  <c r="G25" i="67"/>
  <c r="H25" i="67"/>
  <c r="I25" i="67"/>
  <c r="J25" i="67"/>
  <c r="K25" i="67"/>
  <c r="L25" i="67"/>
  <c r="M25" i="67"/>
  <c r="N25" i="67"/>
  <c r="O25" i="67"/>
  <c r="P25" i="67"/>
  <c r="Q25" i="67"/>
  <c r="R25" i="67"/>
  <c r="S25" i="67"/>
  <c r="T25" i="67"/>
  <c r="U25" i="67"/>
  <c r="W25" i="67"/>
  <c r="W26" i="67"/>
  <c r="W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W28" i="67"/>
  <c r="B31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W31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W33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W35" i="67"/>
  <c r="B37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W37" i="67"/>
  <c r="B39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W39" i="67"/>
  <c r="B41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W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Q42" i="67"/>
  <c r="R42" i="67"/>
  <c r="S42" i="67"/>
  <c r="T42" i="67"/>
  <c r="U42" i="67"/>
  <c r="W42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W44" i="67"/>
  <c r="C52" i="67"/>
  <c r="D52" i="67"/>
  <c r="E52" i="67"/>
  <c r="F52" i="67"/>
  <c r="G52" i="67"/>
  <c r="H52" i="67"/>
  <c r="I52" i="67"/>
  <c r="J52" i="67"/>
  <c r="K52" i="67"/>
  <c r="L52" i="67"/>
  <c r="M52" i="67"/>
  <c r="N52" i="67"/>
  <c r="O52" i="67"/>
  <c r="P52" i="67"/>
  <c r="Q52" i="67"/>
  <c r="R52" i="67"/>
  <c r="S52" i="67"/>
  <c r="T52" i="67"/>
  <c r="U52" i="67"/>
  <c r="B54" i="67"/>
  <c r="C54" i="67"/>
  <c r="D54" i="67"/>
  <c r="E54" i="67"/>
  <c r="F54" i="67"/>
  <c r="G54" i="67"/>
  <c r="H54" i="67"/>
  <c r="I54" i="67"/>
  <c r="J54" i="67"/>
  <c r="K54" i="67"/>
  <c r="L54" i="67"/>
  <c r="M54" i="67"/>
  <c r="N54" i="67"/>
  <c r="O54" i="67"/>
  <c r="P54" i="67"/>
  <c r="Q54" i="67"/>
  <c r="R54" i="67"/>
  <c r="S54" i="67"/>
  <c r="T54" i="67"/>
  <c r="U54" i="67"/>
  <c r="W54" i="67"/>
  <c r="B55" i="67"/>
  <c r="C55" i="67"/>
  <c r="D55" i="67"/>
  <c r="E55" i="67"/>
  <c r="F55" i="67"/>
  <c r="G55" i="67"/>
  <c r="H55" i="67"/>
  <c r="I55" i="67"/>
  <c r="J55" i="67"/>
  <c r="K55" i="67"/>
  <c r="L55" i="67"/>
  <c r="M55" i="67"/>
  <c r="N55" i="67"/>
  <c r="O55" i="67"/>
  <c r="P55" i="67"/>
  <c r="Q55" i="67"/>
  <c r="R55" i="67"/>
  <c r="S55" i="67"/>
  <c r="T55" i="67"/>
  <c r="U55" i="67"/>
  <c r="W55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W56" i="67"/>
  <c r="B57" i="67"/>
  <c r="C57" i="67"/>
  <c r="D57" i="67"/>
  <c r="E57" i="67"/>
  <c r="F57" i="67"/>
  <c r="G57" i="67"/>
  <c r="H57" i="67"/>
  <c r="I57" i="67"/>
  <c r="J57" i="67"/>
  <c r="K57" i="67"/>
  <c r="L57" i="67"/>
  <c r="M57" i="67"/>
  <c r="N57" i="67"/>
  <c r="O57" i="67"/>
  <c r="P57" i="67"/>
  <c r="Q57" i="67"/>
  <c r="R57" i="67"/>
  <c r="S57" i="67"/>
  <c r="T57" i="67"/>
  <c r="U57" i="67"/>
  <c r="W57" i="67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W59" i="67"/>
  <c r="B61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W61" i="67"/>
  <c r="B62" i="67"/>
  <c r="C62" i="67"/>
  <c r="D62" i="67"/>
  <c r="E62" i="67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W62" i="67"/>
  <c r="B64" i="67"/>
  <c r="C64" i="67"/>
  <c r="D64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W64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B81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B82" i="67"/>
  <c r="C82" i="67"/>
  <c r="D82" i="67"/>
  <c r="E82" i="67"/>
  <c r="F82" i="67"/>
  <c r="G82" i="67"/>
  <c r="H82" i="67"/>
  <c r="I82" i="67"/>
  <c r="J82" i="67"/>
  <c r="K82" i="67"/>
  <c r="L82" i="67"/>
  <c r="M82" i="67"/>
  <c r="N82" i="67"/>
  <c r="O82" i="67"/>
  <c r="P82" i="67"/>
  <c r="Q82" i="67"/>
  <c r="R82" i="67"/>
  <c r="S82" i="67"/>
  <c r="T82" i="67"/>
  <c r="U82" i="67"/>
  <c r="B83" i="67"/>
  <c r="C83" i="67"/>
  <c r="D83" i="67"/>
  <c r="E83" i="67"/>
  <c r="F83" i="67"/>
  <c r="G83" i="67"/>
  <c r="H83" i="67"/>
  <c r="I83" i="67"/>
  <c r="J83" i="67"/>
  <c r="K83" i="67"/>
  <c r="L83" i="67"/>
  <c r="M83" i="67"/>
  <c r="N83" i="67"/>
  <c r="O83" i="67"/>
  <c r="P83" i="67"/>
  <c r="Q83" i="67"/>
  <c r="R83" i="67"/>
  <c r="S83" i="67"/>
  <c r="T83" i="67"/>
  <c r="U83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X85" i="67"/>
  <c r="Y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W90" i="67"/>
  <c r="B91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W91" i="67"/>
  <c r="B92" i="67"/>
  <c r="C92" i="67"/>
  <c r="D92" i="67"/>
  <c r="E92" i="67"/>
  <c r="F92" i="67"/>
  <c r="G92" i="67"/>
  <c r="H92" i="67"/>
  <c r="I92" i="67"/>
  <c r="J92" i="67"/>
  <c r="K92" i="67"/>
  <c r="L92" i="67"/>
  <c r="M92" i="67"/>
  <c r="N92" i="67"/>
  <c r="O92" i="67"/>
  <c r="P92" i="67"/>
  <c r="Q92" i="67"/>
  <c r="R92" i="67"/>
  <c r="S92" i="67"/>
  <c r="T92" i="67"/>
  <c r="U92" i="67"/>
  <c r="W92" i="67"/>
  <c r="B93" i="67"/>
  <c r="C93" i="67"/>
  <c r="D93" i="67"/>
  <c r="E93" i="67"/>
  <c r="F93" i="67"/>
  <c r="G93" i="67"/>
  <c r="H93" i="67"/>
  <c r="I93" i="67"/>
  <c r="J93" i="67"/>
  <c r="K93" i="67"/>
  <c r="L93" i="67"/>
  <c r="M93" i="67"/>
  <c r="N93" i="67"/>
  <c r="O93" i="67"/>
  <c r="P93" i="67"/>
  <c r="Q93" i="67"/>
  <c r="R93" i="67"/>
  <c r="S93" i="67"/>
  <c r="T93" i="67"/>
  <c r="U93" i="67"/>
  <c r="W93" i="67"/>
  <c r="B95" i="67"/>
  <c r="C95" i="67"/>
  <c r="D95" i="67"/>
  <c r="E95" i="67"/>
  <c r="F95" i="67"/>
  <c r="G95" i="67"/>
  <c r="H95" i="67"/>
  <c r="I95" i="67"/>
  <c r="J95" i="67"/>
  <c r="K95" i="67"/>
  <c r="L95" i="67"/>
  <c r="M95" i="67"/>
  <c r="N95" i="67"/>
  <c r="O95" i="67"/>
  <c r="P95" i="67"/>
  <c r="Q95" i="67"/>
  <c r="R95" i="67"/>
  <c r="S95" i="67"/>
  <c r="T95" i="67"/>
  <c r="U95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S98" i="67"/>
  <c r="T98" i="67"/>
  <c r="U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T100" i="67"/>
  <c r="U100" i="67"/>
  <c r="B101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B102" i="67"/>
  <c r="C102" i="67"/>
  <c r="D102" i="67"/>
  <c r="E102" i="67"/>
  <c r="F102" i="67"/>
  <c r="G102" i="67"/>
  <c r="H102" i="67"/>
  <c r="I102" i="67"/>
  <c r="J102" i="67"/>
  <c r="K102" i="67"/>
  <c r="L102" i="67"/>
  <c r="M102" i="67"/>
  <c r="N102" i="67"/>
  <c r="O102" i="67"/>
  <c r="P102" i="67"/>
  <c r="Q102" i="67"/>
  <c r="R102" i="67"/>
  <c r="S102" i="67"/>
  <c r="T102" i="67"/>
  <c r="U102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W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W106" i="67"/>
  <c r="B114" i="67"/>
  <c r="C114" i="67"/>
  <c r="D114" i="67"/>
  <c r="E114" i="67"/>
  <c r="F114" i="67"/>
  <c r="G114" i="67"/>
  <c r="H114" i="67"/>
  <c r="I114" i="67"/>
  <c r="J114" i="67"/>
  <c r="K114" i="67"/>
  <c r="L114" i="67"/>
  <c r="M114" i="67"/>
  <c r="N114" i="67"/>
  <c r="O114" i="67"/>
  <c r="P114" i="67"/>
  <c r="Q114" i="67"/>
  <c r="R114" i="67"/>
  <c r="S114" i="67"/>
  <c r="T114" i="67"/>
  <c r="U114" i="67"/>
  <c r="W114" i="67"/>
  <c r="X114" i="67"/>
  <c r="Y114" i="67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W116" i="67"/>
  <c r="X116" i="67"/>
  <c r="Y116" i="67"/>
  <c r="B118" i="67"/>
  <c r="C118" i="67"/>
  <c r="D118" i="67"/>
  <c r="E118" i="67"/>
  <c r="F118" i="67"/>
  <c r="G118" i="67"/>
  <c r="H118" i="67"/>
  <c r="I118" i="67"/>
  <c r="J118" i="67"/>
  <c r="K118" i="67"/>
  <c r="L118" i="67"/>
  <c r="M118" i="67"/>
  <c r="N118" i="67"/>
  <c r="O118" i="67"/>
  <c r="P118" i="67"/>
  <c r="Q118" i="67"/>
  <c r="R118" i="67"/>
  <c r="S118" i="67"/>
  <c r="T118" i="67"/>
  <c r="U118" i="67"/>
  <c r="W118" i="67"/>
  <c r="X118" i="67"/>
  <c r="Y118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B121" i="67"/>
  <c r="C121" i="67"/>
  <c r="D121" i="67"/>
  <c r="E121" i="67"/>
  <c r="F121" i="67"/>
  <c r="G121" i="67"/>
  <c r="H121" i="67"/>
  <c r="I121" i="67"/>
  <c r="J121" i="67"/>
  <c r="K121" i="67"/>
  <c r="L121" i="67"/>
  <c r="M121" i="67"/>
  <c r="N121" i="67"/>
  <c r="O121" i="67"/>
  <c r="P121" i="67"/>
  <c r="Q121" i="67"/>
  <c r="R121" i="67"/>
  <c r="S121" i="67"/>
  <c r="T121" i="67"/>
  <c r="U121" i="67"/>
  <c r="W121" i="67"/>
  <c r="X121" i="67"/>
  <c r="Y121" i="67"/>
  <c r="C123" i="67"/>
  <c r="D123" i="67"/>
  <c r="E123" i="67"/>
  <c r="F123" i="67"/>
  <c r="G123" i="67"/>
  <c r="H123" i="67"/>
  <c r="I123" i="67"/>
  <c r="J123" i="67"/>
  <c r="K123" i="67"/>
  <c r="L123" i="67"/>
  <c r="M123" i="67"/>
  <c r="N123" i="67"/>
  <c r="O123" i="67"/>
  <c r="P123" i="67"/>
  <c r="Q123" i="67"/>
  <c r="S123" i="67"/>
  <c r="T123" i="67"/>
  <c r="U123" i="67"/>
  <c r="B124" i="67"/>
  <c r="C124" i="67"/>
  <c r="D124" i="67"/>
  <c r="E124" i="67"/>
  <c r="F124" i="67"/>
  <c r="G124" i="67"/>
  <c r="H124" i="67"/>
  <c r="I124" i="67"/>
  <c r="J124" i="67"/>
  <c r="K124" i="67"/>
  <c r="L124" i="67"/>
  <c r="M124" i="67"/>
  <c r="N124" i="67"/>
  <c r="O124" i="67"/>
  <c r="P124" i="67"/>
  <c r="Q124" i="67"/>
  <c r="R124" i="67"/>
  <c r="S124" i="67"/>
  <c r="T124" i="67"/>
  <c r="U124" i="67"/>
  <c r="T125" i="67"/>
  <c r="U125" i="67"/>
  <c r="B126" i="67"/>
  <c r="C126" i="67"/>
  <c r="D126" i="67"/>
  <c r="E126" i="67"/>
  <c r="F126" i="67"/>
  <c r="G126" i="67"/>
  <c r="H126" i="67"/>
  <c r="I126" i="67"/>
  <c r="J126" i="67"/>
  <c r="K126" i="67"/>
  <c r="L126" i="67"/>
  <c r="M126" i="67"/>
  <c r="N126" i="67"/>
  <c r="O126" i="67"/>
  <c r="P126" i="67"/>
  <c r="Q126" i="67"/>
  <c r="R126" i="67"/>
  <c r="S126" i="67"/>
  <c r="T126" i="67"/>
  <c r="U126" i="67"/>
  <c r="B127" i="67"/>
  <c r="C127" i="67"/>
  <c r="D127" i="67"/>
  <c r="E127" i="67"/>
  <c r="F127" i="67"/>
  <c r="G127" i="67"/>
  <c r="H127" i="67"/>
  <c r="I127" i="67"/>
  <c r="J127" i="67"/>
  <c r="K127" i="67"/>
  <c r="L127" i="67"/>
  <c r="M127" i="67"/>
  <c r="N127" i="67"/>
  <c r="O127" i="67"/>
  <c r="P127" i="67"/>
  <c r="Q127" i="67"/>
  <c r="R127" i="67"/>
  <c r="S127" i="67"/>
  <c r="T127" i="67"/>
  <c r="U127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W129" i="67"/>
  <c r="X129" i="67"/>
  <c r="Y129" i="67"/>
  <c r="B131" i="67"/>
  <c r="C131" i="67"/>
  <c r="D131" i="67"/>
  <c r="E131" i="67"/>
  <c r="F131" i="67"/>
  <c r="G131" i="67"/>
  <c r="H131" i="67"/>
  <c r="I131" i="67"/>
  <c r="J131" i="67"/>
  <c r="K131" i="67"/>
  <c r="L131" i="67"/>
  <c r="M131" i="67"/>
  <c r="N131" i="67"/>
  <c r="O131" i="67"/>
  <c r="P131" i="67"/>
  <c r="Q131" i="67"/>
  <c r="R131" i="67"/>
  <c r="S131" i="67"/>
  <c r="T131" i="67"/>
  <c r="U131" i="67"/>
  <c r="W131" i="67"/>
  <c r="X131" i="67"/>
  <c r="Y131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W136" i="67"/>
  <c r="X136" i="67"/>
  <c r="Y136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W138" i="67"/>
  <c r="X138" i="67"/>
  <c r="Y138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W140" i="67"/>
  <c r="X140" i="67"/>
  <c r="Y140" i="67"/>
  <c r="B142" i="67"/>
  <c r="C142" i="67"/>
  <c r="D142" i="67"/>
  <c r="E142" i="67"/>
  <c r="F142" i="67"/>
  <c r="G142" i="67"/>
  <c r="H142" i="67"/>
  <c r="I142" i="67"/>
  <c r="J142" i="67"/>
  <c r="K142" i="67"/>
  <c r="L142" i="67"/>
  <c r="M142" i="67"/>
  <c r="N142" i="67"/>
  <c r="O142" i="67"/>
  <c r="P142" i="67"/>
  <c r="Q142" i="67"/>
  <c r="R142" i="67"/>
  <c r="S142" i="67"/>
  <c r="T142" i="67"/>
  <c r="U142" i="67"/>
  <c r="W142" i="67"/>
  <c r="X142" i="67"/>
  <c r="Y142" i="67"/>
  <c r="B5" i="68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Y7" i="68"/>
  <c r="Z7" i="68"/>
  <c r="AA7" i="68"/>
  <c r="AB7" i="68"/>
  <c r="AC7" i="68"/>
  <c r="AD7" i="68"/>
  <c r="AE7" i="68"/>
  <c r="AF7" i="68"/>
  <c r="AG7" i="68"/>
  <c r="AH7" i="68"/>
  <c r="AI7" i="68"/>
  <c r="AJ7" i="68"/>
  <c r="AK7" i="68"/>
  <c r="AL7" i="68"/>
  <c r="AM7" i="68"/>
  <c r="AN7" i="68"/>
  <c r="AO7" i="68"/>
  <c r="AP7" i="68"/>
  <c r="AQ7" i="68"/>
  <c r="AR7" i="68"/>
  <c r="AS7" i="68"/>
  <c r="Z8" i="68"/>
  <c r="AA8" i="68"/>
  <c r="AB8" i="68"/>
  <c r="AC8" i="68"/>
  <c r="AD8" i="68"/>
  <c r="AE8" i="68"/>
  <c r="AF8" i="68"/>
  <c r="AG8" i="68"/>
  <c r="AH8" i="68"/>
  <c r="AI8" i="68"/>
  <c r="AJ8" i="68"/>
  <c r="AK8" i="68"/>
  <c r="AL8" i="68"/>
  <c r="AM8" i="68"/>
  <c r="AN8" i="68"/>
  <c r="AO8" i="68"/>
  <c r="AP8" i="68"/>
  <c r="AQ8" i="68"/>
  <c r="AR8" i="68"/>
  <c r="AS8" i="68"/>
  <c r="B9" i="68"/>
  <c r="C9" i="68"/>
  <c r="D9" i="68"/>
  <c r="W9" i="68"/>
  <c r="Z9" i="68"/>
  <c r="AA9" i="68"/>
  <c r="AB9" i="68"/>
  <c r="AC9" i="68"/>
  <c r="AD9" i="68"/>
  <c r="AE9" i="68"/>
  <c r="AF9" i="68"/>
  <c r="AG9" i="68"/>
  <c r="AH9" i="68"/>
  <c r="AI9" i="68"/>
  <c r="AJ9" i="68"/>
  <c r="AK9" i="68"/>
  <c r="AL9" i="68"/>
  <c r="AM9" i="68"/>
  <c r="AN9" i="68"/>
  <c r="AO9" i="68"/>
  <c r="AP9" i="68"/>
  <c r="AQ9" i="68"/>
  <c r="AR9" i="68"/>
  <c r="AS9" i="68"/>
  <c r="B10" i="68"/>
  <c r="C10" i="68"/>
  <c r="D10" i="68"/>
  <c r="W10" i="68"/>
  <c r="B11" i="68"/>
  <c r="C11" i="68"/>
  <c r="D11" i="68"/>
  <c r="W11" i="68"/>
  <c r="B12" i="68"/>
  <c r="C12" i="68"/>
  <c r="D12" i="68"/>
  <c r="W12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W15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W16" i="68"/>
  <c r="W17" i="68"/>
  <c r="B18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W18" i="68"/>
  <c r="B19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W19" i="68"/>
  <c r="B22" i="68"/>
  <c r="C22" i="68"/>
  <c r="D22" i="68"/>
  <c r="E22" i="68"/>
  <c r="F22" i="68"/>
  <c r="G22" i="68"/>
  <c r="H22" i="68"/>
  <c r="I22" i="68"/>
  <c r="J22" i="68"/>
  <c r="K22" i="68"/>
  <c r="L22" i="68"/>
  <c r="M22" i="68"/>
  <c r="N22" i="68"/>
  <c r="O22" i="68"/>
  <c r="P22" i="68"/>
  <c r="Q22" i="68"/>
  <c r="R22" i="68"/>
  <c r="S22" i="68"/>
  <c r="T22" i="68"/>
  <c r="U22" i="68"/>
  <c r="W22" i="68"/>
  <c r="B23" i="68"/>
  <c r="C23" i="68"/>
  <c r="D23" i="68"/>
  <c r="E23" i="68"/>
  <c r="F23" i="68"/>
  <c r="G23" i="68"/>
  <c r="H23" i="68"/>
  <c r="I23" i="68"/>
  <c r="J23" i="68"/>
  <c r="K23" i="68"/>
  <c r="L23" i="68"/>
  <c r="M23" i="68"/>
  <c r="N23" i="68"/>
  <c r="O23" i="68"/>
  <c r="P23" i="68"/>
  <c r="Q23" i="68"/>
  <c r="R23" i="68"/>
  <c r="S23" i="68"/>
  <c r="T23" i="68"/>
  <c r="U23" i="68"/>
  <c r="W23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W24" i="68"/>
  <c r="B25" i="68"/>
  <c r="C25" i="68"/>
  <c r="D25" i="68"/>
  <c r="E25" i="68"/>
  <c r="F25" i="68"/>
  <c r="G25" i="68"/>
  <c r="H25" i="68"/>
  <c r="I25" i="68"/>
  <c r="J25" i="68"/>
  <c r="K25" i="68"/>
  <c r="L25" i="68"/>
  <c r="M25" i="68"/>
  <c r="N25" i="68"/>
  <c r="O25" i="68"/>
  <c r="P25" i="68"/>
  <c r="Q25" i="68"/>
  <c r="R25" i="68"/>
  <c r="S25" i="68"/>
  <c r="T25" i="68"/>
  <c r="U25" i="68"/>
  <c r="W25" i="68"/>
  <c r="W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W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W28" i="68"/>
  <c r="B31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W31" i="68"/>
  <c r="B33" i="68"/>
  <c r="C33" i="68"/>
  <c r="D33" i="68"/>
  <c r="E33" i="68"/>
  <c r="F33" i="68"/>
  <c r="G33" i="68"/>
  <c r="H33" i="68"/>
  <c r="I33" i="68"/>
  <c r="J33" i="68"/>
  <c r="K33" i="68"/>
  <c r="L33" i="68"/>
  <c r="M33" i="68"/>
  <c r="N33" i="68"/>
  <c r="O33" i="68"/>
  <c r="P33" i="68"/>
  <c r="Q33" i="68"/>
  <c r="R33" i="68"/>
  <c r="S33" i="68"/>
  <c r="T33" i="68"/>
  <c r="U33" i="68"/>
  <c r="W33" i="68"/>
  <c r="B35" i="68"/>
  <c r="C35" i="68"/>
  <c r="D35" i="68"/>
  <c r="E35" i="68"/>
  <c r="F35" i="68"/>
  <c r="G35" i="68"/>
  <c r="H35" i="68"/>
  <c r="I35" i="68"/>
  <c r="J35" i="68"/>
  <c r="K35" i="68"/>
  <c r="L35" i="68"/>
  <c r="M35" i="68"/>
  <c r="N35" i="68"/>
  <c r="O35" i="68"/>
  <c r="P35" i="68"/>
  <c r="Q35" i="68"/>
  <c r="R35" i="68"/>
  <c r="S35" i="68"/>
  <c r="T35" i="68"/>
  <c r="U35" i="68"/>
  <c r="W35" i="68"/>
  <c r="B37" i="68"/>
  <c r="C37" i="68"/>
  <c r="D37" i="68"/>
  <c r="E37" i="68"/>
  <c r="F37" i="68"/>
  <c r="G37" i="68"/>
  <c r="H37" i="68"/>
  <c r="I37" i="68"/>
  <c r="J37" i="68"/>
  <c r="K37" i="68"/>
  <c r="L37" i="68"/>
  <c r="M37" i="68"/>
  <c r="N37" i="68"/>
  <c r="O37" i="68"/>
  <c r="P37" i="68"/>
  <c r="Q37" i="68"/>
  <c r="R37" i="68"/>
  <c r="S37" i="68"/>
  <c r="T37" i="68"/>
  <c r="U37" i="68"/>
  <c r="W37" i="68"/>
  <c r="B39" i="68"/>
  <c r="C39" i="68"/>
  <c r="D39" i="68"/>
  <c r="E39" i="68"/>
  <c r="F39" i="68"/>
  <c r="G39" i="68"/>
  <c r="H39" i="68"/>
  <c r="I39" i="68"/>
  <c r="J39" i="68"/>
  <c r="K39" i="68"/>
  <c r="L39" i="68"/>
  <c r="M39" i="68"/>
  <c r="N39" i="68"/>
  <c r="O39" i="68"/>
  <c r="P39" i="68"/>
  <c r="Q39" i="68"/>
  <c r="R39" i="68"/>
  <c r="S39" i="68"/>
  <c r="T39" i="68"/>
  <c r="U39" i="68"/>
  <c r="W39" i="68"/>
  <c r="B41" i="68"/>
  <c r="C41" i="68"/>
  <c r="D41" i="68"/>
  <c r="E41" i="68"/>
  <c r="F41" i="68"/>
  <c r="G41" i="68"/>
  <c r="H41" i="68"/>
  <c r="I41" i="68"/>
  <c r="J41" i="68"/>
  <c r="K41" i="68"/>
  <c r="L41" i="68"/>
  <c r="M41" i="68"/>
  <c r="N41" i="68"/>
  <c r="O41" i="68"/>
  <c r="P41" i="68"/>
  <c r="Q41" i="68"/>
  <c r="R41" i="68"/>
  <c r="S41" i="68"/>
  <c r="T41" i="68"/>
  <c r="U41" i="68"/>
  <c r="W41" i="68"/>
  <c r="B42" i="68"/>
  <c r="C42" i="68"/>
  <c r="D42" i="68"/>
  <c r="E42" i="68"/>
  <c r="F42" i="68"/>
  <c r="G42" i="68"/>
  <c r="H42" i="68"/>
  <c r="I42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W42" i="68"/>
  <c r="B44" i="68"/>
  <c r="C44" i="68"/>
  <c r="D44" i="68"/>
  <c r="E44" i="68"/>
  <c r="F44" i="68"/>
  <c r="G44" i="68"/>
  <c r="H44" i="68"/>
  <c r="I44" i="68"/>
  <c r="J44" i="68"/>
  <c r="K44" i="68"/>
  <c r="L44" i="68"/>
  <c r="M44" i="68"/>
  <c r="N44" i="68"/>
  <c r="O44" i="68"/>
  <c r="P44" i="68"/>
  <c r="Q44" i="68"/>
  <c r="R44" i="68"/>
  <c r="S44" i="68"/>
  <c r="T44" i="68"/>
  <c r="U44" i="68"/>
  <c r="W44" i="68"/>
  <c r="C52" i="68"/>
  <c r="D52" i="68"/>
  <c r="E52" i="68"/>
  <c r="F52" i="68"/>
  <c r="G52" i="68"/>
  <c r="H52" i="68"/>
  <c r="I52" i="68"/>
  <c r="J52" i="68"/>
  <c r="K52" i="68"/>
  <c r="L52" i="68"/>
  <c r="M52" i="68"/>
  <c r="N52" i="68"/>
  <c r="O52" i="68"/>
  <c r="P52" i="68"/>
  <c r="Q52" i="68"/>
  <c r="R52" i="68"/>
  <c r="S52" i="68"/>
  <c r="T52" i="68"/>
  <c r="U52" i="68"/>
  <c r="B54" i="68"/>
  <c r="C54" i="68"/>
  <c r="D54" i="68"/>
  <c r="E54" i="68"/>
  <c r="F54" i="68"/>
  <c r="G54" i="68"/>
  <c r="H54" i="68"/>
  <c r="I54" i="68"/>
  <c r="J54" i="68"/>
  <c r="K54" i="68"/>
  <c r="L54" i="68"/>
  <c r="M54" i="68"/>
  <c r="N54" i="68"/>
  <c r="O54" i="68"/>
  <c r="P54" i="68"/>
  <c r="Q54" i="68"/>
  <c r="R54" i="68"/>
  <c r="S54" i="68"/>
  <c r="T54" i="68"/>
  <c r="U54" i="68"/>
  <c r="W54" i="68"/>
  <c r="B55" i="68"/>
  <c r="C55" i="68"/>
  <c r="D55" i="68"/>
  <c r="E55" i="68"/>
  <c r="F55" i="68"/>
  <c r="G55" i="68"/>
  <c r="H55" i="68"/>
  <c r="I55" i="68"/>
  <c r="J55" i="68"/>
  <c r="K55" i="68"/>
  <c r="L55" i="68"/>
  <c r="M55" i="68"/>
  <c r="N55" i="68"/>
  <c r="O55" i="68"/>
  <c r="P55" i="68"/>
  <c r="Q55" i="68"/>
  <c r="R55" i="68"/>
  <c r="S55" i="68"/>
  <c r="T55" i="68"/>
  <c r="U55" i="68"/>
  <c r="W55" i="68"/>
  <c r="C56" i="68"/>
  <c r="D56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W56" i="68"/>
  <c r="B57" i="68"/>
  <c r="C57" i="68"/>
  <c r="D57" i="68"/>
  <c r="E57" i="68"/>
  <c r="F57" i="68"/>
  <c r="G57" i="68"/>
  <c r="H57" i="68"/>
  <c r="I57" i="68"/>
  <c r="J57" i="68"/>
  <c r="K57" i="68"/>
  <c r="L57" i="68"/>
  <c r="M57" i="68"/>
  <c r="N57" i="68"/>
  <c r="O57" i="68"/>
  <c r="P57" i="68"/>
  <c r="Q57" i="68"/>
  <c r="R57" i="68"/>
  <c r="S57" i="68"/>
  <c r="T57" i="68"/>
  <c r="U57" i="68"/>
  <c r="W57" i="68"/>
  <c r="B59" i="68"/>
  <c r="C59" i="68"/>
  <c r="D59" i="68"/>
  <c r="E59" i="68"/>
  <c r="F59" i="68"/>
  <c r="G59" i="68"/>
  <c r="H59" i="68"/>
  <c r="I59" i="68"/>
  <c r="J59" i="68"/>
  <c r="K59" i="68"/>
  <c r="L59" i="68"/>
  <c r="M59" i="68"/>
  <c r="N59" i="68"/>
  <c r="O59" i="68"/>
  <c r="P59" i="68"/>
  <c r="Q59" i="68"/>
  <c r="R59" i="68"/>
  <c r="S59" i="68"/>
  <c r="T59" i="68"/>
  <c r="U59" i="68"/>
  <c r="W59" i="68"/>
  <c r="B61" i="68"/>
  <c r="C61" i="68"/>
  <c r="D61" i="68"/>
  <c r="E61" i="68"/>
  <c r="F61" i="68"/>
  <c r="G61" i="68"/>
  <c r="H61" i="68"/>
  <c r="I61" i="68"/>
  <c r="J61" i="68"/>
  <c r="K61" i="68"/>
  <c r="L61" i="68"/>
  <c r="M61" i="68"/>
  <c r="N61" i="68"/>
  <c r="O61" i="68"/>
  <c r="P61" i="68"/>
  <c r="Q61" i="68"/>
  <c r="R61" i="68"/>
  <c r="S61" i="68"/>
  <c r="T61" i="68"/>
  <c r="U61" i="68"/>
  <c r="W61" i="68"/>
  <c r="B62" i="68"/>
  <c r="C62" i="68"/>
  <c r="D62" i="68"/>
  <c r="E62" i="68"/>
  <c r="F62" i="68"/>
  <c r="G62" i="68"/>
  <c r="H62" i="68"/>
  <c r="I62" i="68"/>
  <c r="J62" i="68"/>
  <c r="K62" i="68"/>
  <c r="L62" i="68"/>
  <c r="M62" i="68"/>
  <c r="N62" i="68"/>
  <c r="O62" i="68"/>
  <c r="P62" i="68"/>
  <c r="Q62" i="68"/>
  <c r="R62" i="68"/>
  <c r="S62" i="68"/>
  <c r="T62" i="68"/>
  <c r="U62" i="68"/>
  <c r="W62" i="68"/>
  <c r="B64" i="68"/>
  <c r="C64" i="68"/>
  <c r="D64" i="68"/>
  <c r="E64" i="68"/>
  <c r="F64" i="68"/>
  <c r="G64" i="68"/>
  <c r="H64" i="68"/>
  <c r="I64" i="68"/>
  <c r="J64" i="68"/>
  <c r="K64" i="68"/>
  <c r="L64" i="68"/>
  <c r="M64" i="68"/>
  <c r="N64" i="68"/>
  <c r="O64" i="68"/>
  <c r="P64" i="68"/>
  <c r="Q64" i="68"/>
  <c r="R64" i="68"/>
  <c r="S64" i="68"/>
  <c r="T64" i="68"/>
  <c r="U64" i="68"/>
  <c r="W64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B83" i="68"/>
  <c r="C83" i="68"/>
  <c r="D83" i="68"/>
  <c r="E83" i="68"/>
  <c r="F83" i="68"/>
  <c r="G83" i="68"/>
  <c r="H83" i="68"/>
  <c r="I83" i="68"/>
  <c r="J83" i="68"/>
  <c r="K83" i="68"/>
  <c r="L83" i="68"/>
  <c r="M83" i="68"/>
  <c r="N83" i="68"/>
  <c r="O83" i="68"/>
  <c r="P83" i="68"/>
  <c r="Q83" i="68"/>
  <c r="R83" i="68"/>
  <c r="S83" i="68"/>
  <c r="T83" i="68"/>
  <c r="U83" i="68"/>
  <c r="W83" i="68"/>
  <c r="B84" i="68"/>
  <c r="C84" i="68"/>
  <c r="D84" i="68"/>
  <c r="E84" i="68"/>
  <c r="F84" i="68"/>
  <c r="G84" i="68"/>
  <c r="H84" i="68"/>
  <c r="I84" i="68"/>
  <c r="J84" i="68"/>
  <c r="K84" i="68"/>
  <c r="L84" i="68"/>
  <c r="M84" i="68"/>
  <c r="N84" i="68"/>
  <c r="O84" i="68"/>
  <c r="P84" i="68"/>
  <c r="Q84" i="68"/>
  <c r="R84" i="68"/>
  <c r="S84" i="68"/>
  <c r="T84" i="68"/>
  <c r="U84" i="68"/>
  <c r="W84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W85" i="68"/>
  <c r="B86" i="68"/>
  <c r="C86" i="68"/>
  <c r="D86" i="68"/>
  <c r="E86" i="68"/>
  <c r="F86" i="68"/>
  <c r="G86" i="68"/>
  <c r="H86" i="68"/>
  <c r="I86" i="68"/>
  <c r="J86" i="68"/>
  <c r="K86" i="68"/>
  <c r="L86" i="68"/>
  <c r="M86" i="68"/>
  <c r="N86" i="68"/>
  <c r="O86" i="68"/>
  <c r="P86" i="68"/>
  <c r="Q86" i="68"/>
  <c r="R86" i="68"/>
  <c r="S86" i="68"/>
  <c r="T86" i="68"/>
  <c r="U86" i="68"/>
  <c r="W86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B89" i="68"/>
  <c r="C89" i="68"/>
  <c r="D89" i="68"/>
  <c r="E89" i="68"/>
  <c r="F89" i="68"/>
  <c r="G89" i="68"/>
  <c r="H89" i="68"/>
  <c r="I89" i="68"/>
  <c r="J89" i="68"/>
  <c r="K89" i="68"/>
  <c r="L89" i="68"/>
  <c r="M89" i="68"/>
  <c r="N89" i="68"/>
  <c r="O89" i="68"/>
  <c r="P89" i="68"/>
  <c r="Q89" i="68"/>
  <c r="R89" i="68"/>
  <c r="S89" i="68"/>
  <c r="T89" i="68"/>
  <c r="U89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S91" i="68"/>
  <c r="T91" i="68"/>
  <c r="U91" i="68"/>
  <c r="B92" i="68"/>
  <c r="C92" i="68"/>
  <c r="D92" i="68"/>
  <c r="E92" i="68"/>
  <c r="F92" i="68"/>
  <c r="G92" i="68"/>
  <c r="H92" i="68"/>
  <c r="I92" i="68"/>
  <c r="J92" i="68"/>
  <c r="K92" i="68"/>
  <c r="L92" i="68"/>
  <c r="M92" i="68"/>
  <c r="N92" i="68"/>
  <c r="O92" i="68"/>
  <c r="P92" i="68"/>
  <c r="Q92" i="68"/>
  <c r="R92" i="68"/>
  <c r="S92" i="68"/>
  <c r="T92" i="68"/>
  <c r="U92" i="68"/>
  <c r="T93" i="68"/>
  <c r="U93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B95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R95" i="68"/>
  <c r="S95" i="68"/>
  <c r="T95" i="68"/>
  <c r="U95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W97" i="68"/>
  <c r="B105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R105" i="68"/>
  <c r="S105" i="68"/>
  <c r="T105" i="68"/>
  <c r="U105" i="68"/>
  <c r="W105" i="68"/>
  <c r="X105" i="68"/>
  <c r="Y105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W107" i="68"/>
  <c r="X107" i="68"/>
  <c r="Y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W109" i="68"/>
  <c r="X109" i="68"/>
  <c r="Y109" i="68"/>
  <c r="B111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B112" i="68"/>
  <c r="C112" i="68"/>
  <c r="D112" i="68"/>
  <c r="E112" i="68"/>
  <c r="F112" i="68"/>
  <c r="G112" i="68"/>
  <c r="H112" i="68"/>
  <c r="I112" i="68"/>
  <c r="J112" i="68"/>
  <c r="K112" i="68"/>
  <c r="L112" i="68"/>
  <c r="M112" i="68"/>
  <c r="N112" i="68"/>
  <c r="O112" i="68"/>
  <c r="P112" i="68"/>
  <c r="Q112" i="68"/>
  <c r="R112" i="68"/>
  <c r="S112" i="68"/>
  <c r="T112" i="68"/>
  <c r="U112" i="68"/>
  <c r="W112" i="68"/>
  <c r="X112" i="68"/>
  <c r="Y112" i="68"/>
  <c r="C114" i="68"/>
  <c r="D114" i="68"/>
  <c r="E114" i="68"/>
  <c r="F114" i="68"/>
  <c r="G114" i="68"/>
  <c r="H114" i="68"/>
  <c r="I114" i="68"/>
  <c r="J114" i="68"/>
  <c r="K114" i="68"/>
  <c r="L114" i="68"/>
  <c r="M114" i="68"/>
  <c r="N114" i="68"/>
  <c r="O114" i="68"/>
  <c r="P114" i="68"/>
  <c r="Q114" i="68"/>
  <c r="S114" i="68"/>
  <c r="T114" i="68"/>
  <c r="U114" i="68"/>
  <c r="B115" i="68"/>
  <c r="C115" i="68"/>
  <c r="D115" i="68"/>
  <c r="E115" i="68"/>
  <c r="F115" i="68"/>
  <c r="G115" i="68"/>
  <c r="H115" i="68"/>
  <c r="I115" i="68"/>
  <c r="J115" i="68"/>
  <c r="K115" i="68"/>
  <c r="L115" i="68"/>
  <c r="M115" i="68"/>
  <c r="N115" i="68"/>
  <c r="O115" i="68"/>
  <c r="P115" i="68"/>
  <c r="Q115" i="68"/>
  <c r="R115" i="68"/>
  <c r="S115" i="68"/>
  <c r="T115" i="68"/>
  <c r="U115" i="68"/>
  <c r="T116" i="68"/>
  <c r="U116" i="68"/>
  <c r="B117" i="68"/>
  <c r="C117" i="68"/>
  <c r="D117" i="68"/>
  <c r="E117" i="68"/>
  <c r="F117" i="68"/>
  <c r="G117" i="68"/>
  <c r="H117" i="68"/>
  <c r="I117" i="68"/>
  <c r="J117" i="68"/>
  <c r="K117" i="68"/>
  <c r="L117" i="68"/>
  <c r="M117" i="68"/>
  <c r="N117" i="68"/>
  <c r="O117" i="68"/>
  <c r="P117" i="68"/>
  <c r="Q117" i="68"/>
  <c r="R117" i="68"/>
  <c r="S117" i="68"/>
  <c r="T117" i="68"/>
  <c r="U117" i="68"/>
  <c r="B118" i="68"/>
  <c r="C118" i="68"/>
  <c r="D118" i="68"/>
  <c r="E118" i="68"/>
  <c r="F118" i="68"/>
  <c r="G118" i="68"/>
  <c r="H118" i="68"/>
  <c r="I118" i="68"/>
  <c r="J118" i="68"/>
  <c r="K118" i="68"/>
  <c r="L118" i="68"/>
  <c r="M118" i="68"/>
  <c r="N118" i="68"/>
  <c r="O118" i="68"/>
  <c r="P118" i="68"/>
  <c r="Q118" i="68"/>
  <c r="R118" i="68"/>
  <c r="S118" i="68"/>
  <c r="T118" i="68"/>
  <c r="U118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W120" i="68"/>
  <c r="X120" i="68"/>
  <c r="Y120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W125" i="68"/>
  <c r="X125" i="68"/>
  <c r="Y125" i="68"/>
  <c r="B127" i="68"/>
  <c r="C127" i="68"/>
  <c r="D127" i="68"/>
  <c r="E127" i="68"/>
  <c r="F127" i="68"/>
  <c r="G127" i="68"/>
  <c r="H127" i="68"/>
  <c r="I127" i="68"/>
  <c r="J127" i="68"/>
  <c r="K127" i="68"/>
  <c r="L127" i="68"/>
  <c r="M127" i="68"/>
  <c r="N127" i="68"/>
  <c r="O127" i="68"/>
  <c r="P127" i="68"/>
  <c r="Q127" i="68"/>
  <c r="R127" i="68"/>
  <c r="S127" i="68"/>
  <c r="T127" i="68"/>
  <c r="U127" i="68"/>
  <c r="W127" i="68"/>
  <c r="X127" i="68"/>
  <c r="Y127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W129" i="68"/>
  <c r="X129" i="68"/>
  <c r="Y129" i="68"/>
  <c r="B131" i="68"/>
  <c r="C131" i="68"/>
  <c r="D131" i="68"/>
  <c r="E131" i="68"/>
  <c r="F131" i="68"/>
  <c r="G131" i="68"/>
  <c r="H131" i="68"/>
  <c r="I131" i="68"/>
  <c r="J131" i="68"/>
  <c r="K131" i="68"/>
  <c r="L131" i="68"/>
  <c r="M131" i="68"/>
  <c r="N131" i="68"/>
  <c r="O131" i="68"/>
  <c r="P131" i="68"/>
  <c r="Q131" i="68"/>
  <c r="R131" i="68"/>
  <c r="S131" i="68"/>
  <c r="T131" i="68"/>
  <c r="U131" i="68"/>
  <c r="W131" i="68"/>
  <c r="X131" i="68"/>
  <c r="Y131" i="68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E10" i="44"/>
  <c r="F10" i="44"/>
  <c r="G10" i="44"/>
  <c r="H10" i="44"/>
  <c r="I10" i="44"/>
  <c r="J10" i="44"/>
  <c r="K10" i="44"/>
  <c r="L10" i="44"/>
  <c r="M10" i="44"/>
  <c r="N10" i="44"/>
  <c r="O10" i="44"/>
  <c r="P10" i="44"/>
  <c r="Q10" i="44"/>
  <c r="R10" i="44"/>
  <c r="S10" i="44"/>
  <c r="T10" i="44"/>
  <c r="U10" i="44"/>
  <c r="V10" i="44"/>
  <c r="W10" i="44"/>
  <c r="X10" i="44"/>
  <c r="Y10" i="44"/>
  <c r="AA10" i="44"/>
  <c r="AB10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AA11" i="44"/>
  <c r="AB11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V12" i="44"/>
  <c r="W12" i="44"/>
  <c r="X12" i="44"/>
  <c r="Y12" i="44"/>
  <c r="AA12" i="44"/>
  <c r="AB12" i="44"/>
  <c r="AA13" i="44"/>
  <c r="AB13" i="44"/>
  <c r="AA14" i="44"/>
  <c r="AB14" i="44"/>
  <c r="AA15" i="44"/>
  <c r="AB15" i="44"/>
  <c r="AA16" i="44"/>
  <c r="AB16" i="44"/>
  <c r="AA17" i="44"/>
  <c r="AB17" i="44"/>
  <c r="AA18" i="44"/>
  <c r="AB18" i="44"/>
  <c r="AA19" i="44"/>
  <c r="AB19" i="44"/>
  <c r="E20" i="44"/>
  <c r="F20" i="44"/>
  <c r="G20" i="44"/>
  <c r="H20" i="44"/>
  <c r="I20" i="44"/>
  <c r="J20" i="44"/>
  <c r="K20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X20" i="44"/>
  <c r="Y20" i="44"/>
  <c r="AA20" i="44"/>
  <c r="AB20" i="44"/>
  <c r="AA21" i="44"/>
  <c r="AB21" i="44"/>
  <c r="AA22" i="44"/>
  <c r="AB22" i="44"/>
  <c r="AA23" i="44"/>
  <c r="AB23" i="44"/>
  <c r="AA24" i="44"/>
  <c r="AB24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AA25" i="44"/>
  <c r="AB25" i="44"/>
  <c r="AA26" i="44"/>
  <c r="AB26" i="44"/>
  <c r="AA27" i="44"/>
  <c r="AB27" i="44"/>
  <c r="AA28" i="44"/>
  <c r="AB28" i="44"/>
  <c r="AA29" i="44"/>
  <c r="AB29" i="44"/>
  <c r="AA30" i="44"/>
  <c r="AB30" i="44"/>
  <c r="AA31" i="44"/>
  <c r="AB31" i="44"/>
  <c r="AA32" i="44"/>
  <c r="AB32" i="44"/>
  <c r="AA33" i="44"/>
  <c r="AB33" i="44"/>
  <c r="AA34" i="44"/>
  <c r="AB34" i="44"/>
  <c r="AA35" i="44"/>
  <c r="AB35" i="44"/>
  <c r="E36" i="44"/>
  <c r="F36" i="44"/>
  <c r="G36" i="44"/>
  <c r="H36" i="44"/>
  <c r="I36" i="44"/>
  <c r="J36" i="44"/>
  <c r="K36" i="44"/>
  <c r="L36" i="44"/>
  <c r="M36" i="44"/>
  <c r="N36" i="44"/>
  <c r="O36" i="44"/>
  <c r="P36" i="44"/>
  <c r="Q36" i="44"/>
  <c r="R36" i="44"/>
  <c r="S36" i="44"/>
  <c r="T36" i="44"/>
  <c r="U36" i="44"/>
  <c r="V36" i="44"/>
  <c r="W36" i="44"/>
  <c r="X36" i="44"/>
  <c r="Y36" i="44"/>
  <c r="AA36" i="44"/>
  <c r="AB36" i="44"/>
  <c r="AA37" i="44"/>
  <c r="AB37" i="44"/>
  <c r="AA38" i="44"/>
  <c r="AB38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AA39" i="44"/>
  <c r="AB39" i="44"/>
  <c r="AA40" i="44"/>
  <c r="AB40" i="44"/>
  <c r="F41" i="44"/>
  <c r="G41" i="44"/>
  <c r="H41" i="44"/>
  <c r="I41" i="44"/>
  <c r="J41" i="44"/>
  <c r="K41" i="44"/>
  <c r="L41" i="44"/>
  <c r="M41" i="44"/>
  <c r="N41" i="44"/>
  <c r="O41" i="44"/>
  <c r="P41" i="44"/>
  <c r="Q41" i="44"/>
  <c r="R41" i="44"/>
  <c r="S41" i="44"/>
  <c r="T41" i="44"/>
  <c r="U41" i="44"/>
  <c r="V41" i="44"/>
  <c r="W41" i="44"/>
  <c r="X41" i="44"/>
  <c r="Y41" i="44"/>
  <c r="AA41" i="44"/>
  <c r="AB41" i="44"/>
  <c r="AA42" i="44"/>
  <c r="AB42" i="44"/>
  <c r="AA43" i="44"/>
  <c r="AB43" i="44"/>
  <c r="E44" i="44"/>
  <c r="F44" i="44"/>
  <c r="G44" i="44"/>
  <c r="H44" i="44"/>
  <c r="I44" i="44"/>
  <c r="J44" i="44"/>
  <c r="K44" i="44"/>
  <c r="L44" i="44"/>
  <c r="M44" i="44"/>
  <c r="N44" i="44"/>
  <c r="O44" i="44"/>
  <c r="P44" i="44"/>
  <c r="Q44" i="44"/>
  <c r="R44" i="44"/>
  <c r="S44" i="44"/>
  <c r="T44" i="44"/>
  <c r="U44" i="44"/>
  <c r="V44" i="44"/>
  <c r="W44" i="44"/>
  <c r="X44" i="44"/>
  <c r="Y44" i="44"/>
  <c r="AA44" i="44"/>
  <c r="AB44" i="44"/>
  <c r="AA45" i="44"/>
  <c r="AB45" i="44"/>
  <c r="AA46" i="44"/>
  <c r="AB46" i="44"/>
  <c r="AA47" i="44"/>
  <c r="AB47" i="44"/>
  <c r="AA48" i="44"/>
  <c r="AB48" i="44"/>
  <c r="E49" i="44"/>
  <c r="F49" i="44"/>
  <c r="G49" i="44"/>
  <c r="H49" i="44"/>
  <c r="I49" i="44"/>
  <c r="J49" i="44"/>
  <c r="K49" i="44"/>
  <c r="L49" i="44"/>
  <c r="M49" i="44"/>
  <c r="N49" i="44"/>
  <c r="O49" i="44"/>
  <c r="P49" i="44"/>
  <c r="Q49" i="44"/>
  <c r="R49" i="44"/>
  <c r="S49" i="44"/>
  <c r="T49" i="44"/>
  <c r="U49" i="44"/>
  <c r="V49" i="44"/>
  <c r="W49" i="44"/>
  <c r="X49" i="44"/>
  <c r="Y49" i="44"/>
  <c r="AA49" i="44"/>
  <c r="AB49" i="44"/>
  <c r="AA50" i="44"/>
  <c r="AB50" i="44"/>
  <c r="E51" i="44"/>
  <c r="F51" i="44"/>
  <c r="G51" i="44"/>
  <c r="H51" i="44"/>
  <c r="I51" i="44"/>
  <c r="J51" i="44"/>
  <c r="K51" i="44"/>
  <c r="L51" i="44"/>
  <c r="M51" i="44"/>
  <c r="N51" i="44"/>
  <c r="O51" i="44"/>
  <c r="P51" i="44"/>
  <c r="Q51" i="44"/>
  <c r="R51" i="44"/>
  <c r="S51" i="44"/>
  <c r="T51" i="44"/>
  <c r="U51" i="44"/>
  <c r="V51" i="44"/>
  <c r="W51" i="44"/>
  <c r="X51" i="44"/>
  <c r="Y51" i="44"/>
  <c r="AA51" i="44"/>
  <c r="AB51" i="44"/>
  <c r="E52" i="44"/>
  <c r="F52" i="44"/>
  <c r="G52" i="44"/>
  <c r="H52" i="44"/>
  <c r="I52" i="44"/>
  <c r="J52" i="44"/>
  <c r="K52" i="44"/>
  <c r="L52" i="44"/>
  <c r="M52" i="44"/>
  <c r="N52" i="44"/>
  <c r="O52" i="44"/>
  <c r="P52" i="44"/>
  <c r="Q52" i="44"/>
  <c r="R52" i="44"/>
  <c r="S52" i="44"/>
  <c r="T52" i="44"/>
  <c r="U52" i="44"/>
  <c r="V52" i="44"/>
  <c r="W52" i="44"/>
  <c r="X52" i="44"/>
  <c r="Y52" i="44"/>
  <c r="AA52" i="44"/>
  <c r="AB52" i="44"/>
  <c r="AA53" i="44"/>
  <c r="AB53" i="44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X54" i="44"/>
  <c r="Y54" i="44"/>
  <c r="AA54" i="44"/>
  <c r="AB54" i="44"/>
  <c r="AA55" i="44"/>
  <c r="AB55" i="44"/>
  <c r="AA56" i="44"/>
  <c r="AB56" i="44"/>
  <c r="AA57" i="44"/>
  <c r="AB57" i="44"/>
  <c r="AA58" i="44"/>
  <c r="AB58" i="44"/>
  <c r="AA59" i="44"/>
  <c r="AB59" i="44"/>
  <c r="AA60" i="44"/>
  <c r="AB60" i="44"/>
  <c r="AA61" i="44"/>
  <c r="AB61" i="44"/>
  <c r="E62" i="44"/>
  <c r="F62" i="44"/>
  <c r="G62" i="44"/>
  <c r="H62" i="44"/>
  <c r="I62" i="44"/>
  <c r="J62" i="44"/>
  <c r="K62" i="44"/>
  <c r="L62" i="44"/>
  <c r="M62" i="44"/>
  <c r="N62" i="44"/>
  <c r="O62" i="44"/>
  <c r="P62" i="44"/>
  <c r="Q62" i="44"/>
  <c r="R62" i="44"/>
  <c r="S62" i="44"/>
  <c r="T62" i="44"/>
  <c r="U62" i="44"/>
  <c r="V62" i="44"/>
  <c r="W62" i="44"/>
  <c r="X62" i="44"/>
  <c r="Y62" i="44"/>
  <c r="AA62" i="44"/>
  <c r="AB62" i="44"/>
  <c r="AA63" i="44"/>
  <c r="AB63" i="44"/>
  <c r="E64" i="44"/>
  <c r="F64" i="44"/>
  <c r="G64" i="44"/>
  <c r="H64" i="44"/>
  <c r="I64" i="44"/>
  <c r="J64" i="44"/>
  <c r="K64" i="44"/>
  <c r="L64" i="44"/>
  <c r="M64" i="44"/>
  <c r="N64" i="44"/>
  <c r="O64" i="44"/>
  <c r="P64" i="44"/>
  <c r="Q64" i="44"/>
  <c r="R64" i="44"/>
  <c r="S64" i="44"/>
  <c r="T64" i="44"/>
  <c r="U64" i="44"/>
  <c r="V64" i="44"/>
  <c r="W64" i="44"/>
  <c r="X64" i="44"/>
  <c r="Y64" i="44"/>
  <c r="AA64" i="44"/>
  <c r="AB64" i="44"/>
  <c r="AA65" i="44"/>
  <c r="AB65" i="44"/>
  <c r="AA66" i="44"/>
  <c r="AB66" i="44"/>
  <c r="AA67" i="44"/>
  <c r="AB67" i="44"/>
  <c r="AA68" i="44"/>
  <c r="AB68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AA69" i="44"/>
  <c r="AB69" i="44"/>
  <c r="AA70" i="44"/>
  <c r="AB70" i="44"/>
  <c r="E71" i="44"/>
  <c r="F71" i="44"/>
  <c r="G71" i="44"/>
  <c r="H71" i="44"/>
  <c r="I71" i="44"/>
  <c r="J71" i="44"/>
  <c r="K71" i="44"/>
  <c r="L71" i="44"/>
  <c r="M71" i="44"/>
  <c r="N71" i="44"/>
  <c r="O71" i="44"/>
  <c r="P71" i="44"/>
  <c r="Q71" i="44"/>
  <c r="R71" i="44"/>
  <c r="S71" i="44"/>
  <c r="T71" i="44"/>
  <c r="U71" i="44"/>
  <c r="V71" i="44"/>
  <c r="W71" i="44"/>
  <c r="X71" i="44"/>
  <c r="Y71" i="44"/>
  <c r="AA71" i="44"/>
  <c r="AB71" i="44"/>
  <c r="AA72" i="44"/>
  <c r="AB72" i="44"/>
  <c r="E73" i="44"/>
  <c r="F73" i="44"/>
  <c r="G73" i="44"/>
  <c r="H73" i="44"/>
  <c r="I73" i="44"/>
  <c r="J73" i="44"/>
  <c r="K73" i="44"/>
  <c r="L73" i="44"/>
  <c r="M73" i="44"/>
  <c r="N73" i="44"/>
  <c r="O73" i="44"/>
  <c r="P73" i="44"/>
  <c r="Q73" i="44"/>
  <c r="R73" i="44"/>
  <c r="S73" i="44"/>
  <c r="T73" i="44"/>
  <c r="U73" i="44"/>
  <c r="V73" i="44"/>
  <c r="W73" i="44"/>
  <c r="X73" i="44"/>
  <c r="Y73" i="44"/>
  <c r="AA73" i="44"/>
  <c r="AB73" i="44"/>
  <c r="AA74" i="44"/>
  <c r="AB74" i="44"/>
  <c r="AA75" i="44"/>
  <c r="AB75" i="44"/>
  <c r="C76" i="44"/>
  <c r="E76" i="44"/>
  <c r="F76" i="44"/>
  <c r="G76" i="44"/>
  <c r="H76" i="44"/>
  <c r="I76" i="44"/>
  <c r="J76" i="44"/>
  <c r="K76" i="44"/>
  <c r="L76" i="44"/>
  <c r="M76" i="44"/>
  <c r="N76" i="44"/>
  <c r="O76" i="44"/>
  <c r="P76" i="44"/>
  <c r="Q76" i="44"/>
  <c r="R76" i="44"/>
  <c r="S76" i="44"/>
  <c r="T76" i="44"/>
  <c r="U76" i="44"/>
  <c r="V76" i="44"/>
  <c r="W76" i="44"/>
  <c r="X76" i="44"/>
  <c r="Y76" i="44"/>
  <c r="AA76" i="44"/>
  <c r="AB76" i="44"/>
  <c r="C77" i="44"/>
  <c r="E77" i="44"/>
  <c r="F77" i="44"/>
  <c r="G77" i="44"/>
  <c r="H77" i="44"/>
  <c r="I77" i="44"/>
  <c r="J77" i="44"/>
  <c r="K77" i="44"/>
  <c r="L77" i="44"/>
  <c r="M77" i="44"/>
  <c r="N77" i="44"/>
  <c r="O77" i="44"/>
  <c r="P77" i="44"/>
  <c r="Q77" i="44"/>
  <c r="R77" i="44"/>
  <c r="S77" i="44"/>
  <c r="T77" i="44"/>
  <c r="U77" i="44"/>
  <c r="V77" i="44"/>
  <c r="W77" i="44"/>
  <c r="X77" i="44"/>
  <c r="Y77" i="44"/>
  <c r="AA77" i="44"/>
  <c r="AB77" i="44"/>
  <c r="AA78" i="44"/>
  <c r="AB78" i="44"/>
  <c r="AA79" i="44"/>
  <c r="AB79" i="44"/>
  <c r="AA80" i="44"/>
  <c r="AB80" i="44"/>
  <c r="AA81" i="44"/>
  <c r="AB81" i="44"/>
  <c r="AA82" i="44"/>
  <c r="AB82" i="44"/>
  <c r="AA83" i="44"/>
  <c r="AB83" i="44"/>
  <c r="AA84" i="44"/>
  <c r="AB84" i="44"/>
  <c r="AA85" i="44"/>
  <c r="AB85" i="44"/>
  <c r="E86" i="44"/>
  <c r="F86" i="44"/>
  <c r="G86" i="44"/>
  <c r="H86" i="44"/>
  <c r="I86" i="44"/>
  <c r="J86" i="44"/>
  <c r="K86" i="44"/>
  <c r="L86" i="44"/>
  <c r="M86" i="44"/>
  <c r="N86" i="44"/>
  <c r="O86" i="44"/>
  <c r="P86" i="44"/>
  <c r="Q86" i="44"/>
  <c r="R86" i="44"/>
  <c r="S86" i="44"/>
  <c r="T86" i="44"/>
  <c r="U86" i="44"/>
  <c r="V86" i="44"/>
  <c r="W86" i="44"/>
  <c r="X86" i="44"/>
  <c r="Y86" i="44"/>
  <c r="AA86" i="44"/>
  <c r="AB86" i="44"/>
  <c r="AA87" i="44"/>
  <c r="AB87" i="44"/>
  <c r="F88" i="44"/>
  <c r="G88" i="44"/>
  <c r="H88" i="44"/>
  <c r="I88" i="44"/>
  <c r="J88" i="44"/>
  <c r="K88" i="44"/>
  <c r="L88" i="44"/>
  <c r="M88" i="44"/>
  <c r="N88" i="44"/>
  <c r="O88" i="44"/>
  <c r="P88" i="44"/>
  <c r="Q88" i="44"/>
  <c r="R88" i="44"/>
  <c r="S88" i="44"/>
  <c r="T88" i="44"/>
  <c r="U88" i="44"/>
  <c r="V88" i="44"/>
  <c r="W88" i="44"/>
  <c r="X88" i="44"/>
  <c r="Y88" i="44"/>
  <c r="AA88" i="44"/>
  <c r="AB88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AA89" i="44"/>
  <c r="AB89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0" i="44"/>
  <c r="AB90" i="44"/>
  <c r="X91" i="44"/>
  <c r="AA91" i="44"/>
  <c r="AB91" i="44"/>
  <c r="F92" i="44"/>
  <c r="G92" i="44"/>
  <c r="H92" i="44"/>
  <c r="I92" i="44"/>
  <c r="J92" i="44"/>
  <c r="K92" i="44"/>
  <c r="L92" i="44"/>
  <c r="M92" i="44"/>
  <c r="N92" i="44"/>
  <c r="O92" i="44"/>
  <c r="P92" i="44"/>
  <c r="Q92" i="44"/>
  <c r="R92" i="44"/>
  <c r="S92" i="44"/>
  <c r="T92" i="44"/>
  <c r="U92" i="44"/>
  <c r="V92" i="44"/>
  <c r="W92" i="44"/>
  <c r="X92" i="44"/>
  <c r="Y92" i="44"/>
  <c r="AA92" i="44"/>
  <c r="AB92" i="44"/>
  <c r="AA93" i="44"/>
  <c r="AB93" i="44"/>
  <c r="AA94" i="44"/>
  <c r="AB94" i="44"/>
  <c r="E95" i="44"/>
  <c r="Y95" i="44"/>
  <c r="AA95" i="44"/>
  <c r="AB95" i="44"/>
  <c r="AA96" i="44"/>
  <c r="AB96" i="44"/>
  <c r="Y97" i="44"/>
  <c r="AA97" i="44"/>
  <c r="AB97" i="44"/>
  <c r="AA98" i="44"/>
  <c r="AB98" i="44"/>
  <c r="Y99" i="44"/>
  <c r="AA99" i="44"/>
  <c r="AB99" i="44"/>
  <c r="AA100" i="44"/>
  <c r="AB100" i="44"/>
  <c r="AA101" i="44"/>
  <c r="AB101" i="44"/>
  <c r="D102" i="44"/>
  <c r="AA102" i="44"/>
  <c r="AB102" i="44"/>
  <c r="D103" i="44"/>
  <c r="AA103" i="44"/>
  <c r="AB103" i="44"/>
  <c r="AA104" i="44"/>
  <c r="AB104" i="44"/>
  <c r="D105" i="44"/>
  <c r="AA105" i="44"/>
  <c r="AB105" i="44"/>
  <c r="AA106" i="44"/>
  <c r="AB106" i="44"/>
  <c r="F107" i="44"/>
  <c r="G107" i="44"/>
  <c r="H107" i="44"/>
  <c r="I107" i="44"/>
  <c r="J107" i="44"/>
  <c r="K107" i="44"/>
  <c r="L107" i="44"/>
  <c r="M107" i="44"/>
  <c r="N107" i="44"/>
  <c r="O107" i="44"/>
  <c r="P107" i="44"/>
  <c r="Q107" i="44"/>
  <c r="R107" i="44"/>
  <c r="S107" i="44"/>
  <c r="T107" i="44"/>
  <c r="U107" i="44"/>
  <c r="V107" i="44"/>
  <c r="W107" i="44"/>
  <c r="X107" i="44"/>
  <c r="Y107" i="44"/>
  <c r="AA107" i="44"/>
  <c r="AB107" i="44"/>
  <c r="AA108" i="44"/>
  <c r="AB108" i="44"/>
  <c r="D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AA109" i="44"/>
  <c r="AB109" i="44"/>
  <c r="D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AA110" i="44"/>
  <c r="AB110" i="44"/>
  <c r="AA111" i="44"/>
  <c r="AB111" i="44"/>
  <c r="AA112" i="44"/>
  <c r="AB112" i="44"/>
  <c r="D113" i="44"/>
  <c r="AA113" i="44"/>
  <c r="AB113" i="44"/>
  <c r="AA114" i="44"/>
  <c r="AB114" i="44"/>
  <c r="F115" i="44"/>
  <c r="G115" i="44"/>
  <c r="H115" i="44"/>
  <c r="I115" i="44"/>
  <c r="J115" i="44"/>
  <c r="K115" i="44"/>
  <c r="L115" i="44"/>
  <c r="M115" i="44"/>
  <c r="N115" i="44"/>
  <c r="O115" i="44"/>
  <c r="P115" i="44"/>
  <c r="Q115" i="44"/>
  <c r="R115" i="44"/>
  <c r="S115" i="44"/>
  <c r="T115" i="44"/>
  <c r="U115" i="44"/>
  <c r="V115" i="44"/>
  <c r="W115" i="44"/>
  <c r="X115" i="44"/>
  <c r="AA115" i="44"/>
  <c r="AB115" i="44"/>
  <c r="D116" i="44"/>
  <c r="F116" i="44"/>
  <c r="G116" i="44"/>
  <c r="H116" i="44"/>
  <c r="I116" i="44"/>
  <c r="J116" i="44"/>
  <c r="K116" i="44"/>
  <c r="L116" i="44"/>
  <c r="M116" i="44"/>
  <c r="N116" i="44"/>
  <c r="O116" i="44"/>
  <c r="P116" i="44"/>
  <c r="Q116" i="44"/>
  <c r="R116" i="44"/>
  <c r="S116" i="44"/>
  <c r="T116" i="44"/>
  <c r="U116" i="44"/>
  <c r="V116" i="44"/>
  <c r="W116" i="44"/>
  <c r="X116" i="44"/>
  <c r="AA116" i="44"/>
  <c r="AB116" i="44"/>
  <c r="AA117" i="44"/>
  <c r="AB117" i="44"/>
  <c r="AA118" i="44"/>
  <c r="AB118" i="44"/>
  <c r="F119" i="44"/>
  <c r="G119" i="44"/>
  <c r="H119" i="44"/>
  <c r="I119" i="44"/>
  <c r="J119" i="44"/>
  <c r="K119" i="44"/>
  <c r="L119" i="44"/>
  <c r="M119" i="44"/>
  <c r="N119" i="44"/>
  <c r="O119" i="44"/>
  <c r="P119" i="44"/>
  <c r="Q119" i="44"/>
  <c r="R119" i="44"/>
  <c r="S119" i="44"/>
  <c r="T119" i="44"/>
  <c r="U119" i="44"/>
  <c r="V119" i="44"/>
  <c r="W119" i="44"/>
  <c r="X119" i="44"/>
  <c r="Y119" i="44"/>
  <c r="AA119" i="44"/>
  <c r="AB119" i="44"/>
  <c r="AA120" i="44"/>
  <c r="AB120" i="44"/>
  <c r="A121" i="44"/>
  <c r="F121" i="44"/>
  <c r="G121" i="44"/>
  <c r="H121" i="44"/>
  <c r="I121" i="44"/>
  <c r="J121" i="44"/>
  <c r="K121" i="44"/>
  <c r="L121" i="44"/>
  <c r="M121" i="44"/>
  <c r="N121" i="44"/>
  <c r="O121" i="44"/>
  <c r="P121" i="44"/>
  <c r="Q121" i="44"/>
  <c r="R121" i="44"/>
  <c r="S121" i="44"/>
  <c r="T121" i="44"/>
  <c r="U121" i="44"/>
  <c r="V121" i="44"/>
  <c r="W121" i="44"/>
  <c r="X121" i="44"/>
  <c r="Y121" i="44"/>
  <c r="AA121" i="44"/>
  <c r="AB121" i="44"/>
  <c r="F122" i="44"/>
  <c r="G122" i="44"/>
  <c r="H122" i="44"/>
  <c r="I122" i="44"/>
  <c r="J122" i="44"/>
  <c r="K122" i="44"/>
  <c r="L122" i="44"/>
  <c r="M122" i="44"/>
  <c r="N122" i="44"/>
  <c r="O122" i="44"/>
  <c r="P122" i="44"/>
  <c r="Q122" i="44"/>
  <c r="R122" i="44"/>
  <c r="S122" i="44"/>
  <c r="T122" i="44"/>
  <c r="U122" i="44"/>
  <c r="V122" i="44"/>
  <c r="W122" i="44"/>
  <c r="X122" i="44"/>
  <c r="Y122" i="44"/>
  <c r="AA122" i="44"/>
  <c r="AB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3" i="44"/>
  <c r="AB123" i="44"/>
  <c r="F124" i="44"/>
  <c r="G124" i="44"/>
  <c r="H124" i="44"/>
  <c r="I124" i="44"/>
  <c r="J124" i="44"/>
  <c r="K124" i="44"/>
  <c r="L124" i="44"/>
  <c r="M124" i="44"/>
  <c r="N124" i="44"/>
  <c r="O124" i="44"/>
  <c r="P124" i="44"/>
  <c r="Q124" i="44"/>
  <c r="R124" i="44"/>
  <c r="S124" i="44"/>
  <c r="T124" i="44"/>
  <c r="U124" i="44"/>
  <c r="V124" i="44"/>
  <c r="W124" i="44"/>
  <c r="X124" i="44"/>
  <c r="Y124" i="44"/>
  <c r="AA124" i="44"/>
  <c r="AB124" i="44"/>
  <c r="AA125" i="44"/>
  <c r="AB125" i="44"/>
  <c r="C126" i="44"/>
  <c r="F126" i="44"/>
  <c r="G126" i="44"/>
  <c r="H126" i="44"/>
  <c r="I126" i="44"/>
  <c r="J126" i="44"/>
  <c r="K126" i="44"/>
  <c r="L126" i="44"/>
  <c r="M126" i="44"/>
  <c r="N126" i="44"/>
  <c r="O126" i="44"/>
  <c r="P126" i="44"/>
  <c r="Q126" i="44"/>
  <c r="R126" i="44"/>
  <c r="S126" i="44"/>
  <c r="T126" i="44"/>
  <c r="U126" i="44"/>
  <c r="V126" i="44"/>
  <c r="W126" i="44"/>
  <c r="X126" i="44"/>
  <c r="Y126" i="44"/>
  <c r="AA126" i="44"/>
  <c r="AB126" i="44"/>
  <c r="C127" i="44"/>
  <c r="F127" i="44"/>
  <c r="G127" i="44"/>
  <c r="H127" i="44"/>
  <c r="I127" i="44"/>
  <c r="J127" i="44"/>
  <c r="K127" i="44"/>
  <c r="L127" i="44"/>
  <c r="M127" i="44"/>
  <c r="N127" i="44"/>
  <c r="O127" i="44"/>
  <c r="P127" i="44"/>
  <c r="Q127" i="44"/>
  <c r="R127" i="44"/>
  <c r="S127" i="44"/>
  <c r="T127" i="44"/>
  <c r="U127" i="44"/>
  <c r="V127" i="44"/>
  <c r="W127" i="44"/>
  <c r="X127" i="44"/>
  <c r="Y127" i="44"/>
  <c r="AA127" i="44"/>
  <c r="AB127" i="44"/>
  <c r="AA128" i="44"/>
  <c r="AB128" i="44"/>
  <c r="AA129" i="44"/>
  <c r="AB129" i="44"/>
  <c r="AA130" i="44"/>
  <c r="AB130" i="44"/>
  <c r="AA131" i="44"/>
  <c r="AB131" i="44"/>
  <c r="AA132" i="44"/>
  <c r="AB132" i="44"/>
  <c r="AA133" i="44"/>
  <c r="AB133" i="44"/>
  <c r="AA134" i="44"/>
  <c r="AB134" i="44"/>
  <c r="F135" i="44"/>
  <c r="G135" i="44"/>
  <c r="H135" i="44"/>
  <c r="I135" i="44"/>
  <c r="J135" i="44"/>
  <c r="K135" i="44"/>
  <c r="L135" i="44"/>
  <c r="M135" i="44"/>
  <c r="N135" i="44"/>
  <c r="O135" i="44"/>
  <c r="P135" i="44"/>
  <c r="Q135" i="44"/>
  <c r="R135" i="44"/>
  <c r="S135" i="44"/>
  <c r="T135" i="44"/>
  <c r="U135" i="44"/>
  <c r="V135" i="44"/>
  <c r="W135" i="44"/>
  <c r="X135" i="44"/>
  <c r="Y135" i="44"/>
  <c r="AA135" i="44"/>
  <c r="AB135" i="44"/>
  <c r="AA136" i="44"/>
  <c r="AB136" i="44"/>
  <c r="F137" i="44"/>
  <c r="G137" i="44"/>
  <c r="H137" i="44"/>
  <c r="I137" i="44"/>
  <c r="J137" i="44"/>
  <c r="K137" i="44"/>
  <c r="L137" i="44"/>
  <c r="M137" i="44"/>
  <c r="N137" i="44"/>
  <c r="O137" i="44"/>
  <c r="P137" i="44"/>
  <c r="Q137" i="44"/>
  <c r="R137" i="44"/>
  <c r="S137" i="44"/>
  <c r="T137" i="44"/>
  <c r="U137" i="44"/>
  <c r="V137" i="44"/>
  <c r="W137" i="44"/>
  <c r="X137" i="44"/>
  <c r="Y137" i="44"/>
  <c r="AA137" i="44"/>
  <c r="AB137" i="44"/>
  <c r="F138" i="44"/>
  <c r="G138" i="44"/>
  <c r="H138" i="44"/>
  <c r="I138" i="44"/>
  <c r="J138" i="44"/>
  <c r="K138" i="44"/>
  <c r="L138" i="44"/>
  <c r="M138" i="44"/>
  <c r="N138" i="44"/>
  <c r="O138" i="44"/>
  <c r="P138" i="44"/>
  <c r="Q138" i="44"/>
  <c r="R138" i="44"/>
  <c r="S138" i="44"/>
  <c r="T138" i="44"/>
  <c r="U138" i="44"/>
  <c r="V138" i="44"/>
  <c r="W138" i="44"/>
  <c r="X138" i="44"/>
  <c r="Y138" i="44"/>
  <c r="AA138" i="44"/>
  <c r="AB138" i="44"/>
  <c r="F139" i="44"/>
  <c r="G139" i="44"/>
  <c r="H139" i="44"/>
  <c r="I139" i="44"/>
  <c r="J139" i="44"/>
  <c r="K139" i="44"/>
  <c r="L139" i="44"/>
  <c r="M139" i="44"/>
  <c r="N139" i="44"/>
  <c r="O139" i="44"/>
  <c r="P139" i="44"/>
  <c r="Q139" i="44"/>
  <c r="R139" i="44"/>
  <c r="S139" i="44"/>
  <c r="T139" i="44"/>
  <c r="U139" i="44"/>
  <c r="V139" i="44"/>
  <c r="W139" i="44"/>
  <c r="X139" i="44"/>
  <c r="Y139" i="44"/>
  <c r="AA139" i="44"/>
  <c r="AB139" i="44"/>
  <c r="C140" i="44"/>
  <c r="F140" i="44"/>
  <c r="G140" i="44"/>
  <c r="H140" i="44"/>
  <c r="I140" i="44"/>
  <c r="J140" i="44"/>
  <c r="K140" i="44"/>
  <c r="L140" i="44"/>
  <c r="M140" i="44"/>
  <c r="N140" i="44"/>
  <c r="O140" i="44"/>
  <c r="P140" i="44"/>
  <c r="Q140" i="44"/>
  <c r="R140" i="44"/>
  <c r="S140" i="44"/>
  <c r="T140" i="44"/>
  <c r="U140" i="44"/>
  <c r="V140" i="44"/>
  <c r="W140" i="44"/>
  <c r="X140" i="44"/>
  <c r="Y140" i="44"/>
  <c r="AA140" i="44"/>
  <c r="AB140" i="44"/>
  <c r="C141" i="44"/>
  <c r="F141" i="44"/>
  <c r="G141" i="44"/>
  <c r="H141" i="44"/>
  <c r="I141" i="44"/>
  <c r="J141" i="44"/>
  <c r="K141" i="44"/>
  <c r="L141" i="44"/>
  <c r="M141" i="44"/>
  <c r="N141" i="44"/>
  <c r="O141" i="44"/>
  <c r="P141" i="44"/>
  <c r="Q141" i="44"/>
  <c r="R141" i="44"/>
  <c r="S141" i="44"/>
  <c r="T141" i="44"/>
  <c r="U141" i="44"/>
  <c r="V141" i="44"/>
  <c r="W141" i="44"/>
  <c r="X141" i="44"/>
  <c r="Y141" i="44"/>
  <c r="AA141" i="44"/>
  <c r="AB141" i="44"/>
  <c r="F142" i="44"/>
  <c r="G142" i="44"/>
  <c r="H142" i="44"/>
  <c r="I142" i="44"/>
  <c r="J142" i="44"/>
  <c r="K142" i="44"/>
  <c r="L142" i="44"/>
  <c r="M142" i="44"/>
  <c r="N142" i="44"/>
  <c r="O142" i="44"/>
  <c r="P142" i="44"/>
  <c r="Q142" i="44"/>
  <c r="R142" i="44"/>
  <c r="S142" i="44"/>
  <c r="T142" i="44"/>
  <c r="U142" i="44"/>
  <c r="V142" i="44"/>
  <c r="W142" i="44"/>
  <c r="X142" i="44"/>
  <c r="Y142" i="44"/>
  <c r="AA142" i="44"/>
  <c r="AB142" i="44"/>
  <c r="AA143" i="44"/>
  <c r="AB143" i="44"/>
  <c r="A144" i="44"/>
  <c r="F144" i="44"/>
  <c r="G144" i="44"/>
  <c r="H144" i="44"/>
  <c r="I144" i="44"/>
  <c r="J144" i="44"/>
  <c r="K144" i="44"/>
  <c r="L144" i="44"/>
  <c r="M144" i="44"/>
  <c r="N144" i="44"/>
  <c r="O144" i="44"/>
  <c r="P144" i="44"/>
  <c r="Q144" i="44"/>
  <c r="R144" i="44"/>
  <c r="S144" i="44"/>
  <c r="T144" i="44"/>
  <c r="U144" i="44"/>
  <c r="V144" i="44"/>
  <c r="W144" i="44"/>
  <c r="X144" i="44"/>
  <c r="Y144" i="44"/>
  <c r="AA144" i="44"/>
  <c r="AB144" i="44"/>
  <c r="F145" i="44"/>
  <c r="G145" i="44"/>
  <c r="H145" i="44"/>
  <c r="I145" i="44"/>
  <c r="J145" i="44"/>
  <c r="K145" i="44"/>
  <c r="L145" i="44"/>
  <c r="M145" i="44"/>
  <c r="N145" i="44"/>
  <c r="O145" i="44"/>
  <c r="P145" i="44"/>
  <c r="Q145" i="44"/>
  <c r="R145" i="44"/>
  <c r="S145" i="44"/>
  <c r="T145" i="44"/>
  <c r="U145" i="44"/>
  <c r="V145" i="44"/>
  <c r="W145" i="44"/>
  <c r="X145" i="44"/>
  <c r="Y145" i="44"/>
  <c r="AA145" i="44"/>
  <c r="AB145" i="44"/>
  <c r="AA146" i="44"/>
  <c r="AB146" i="44"/>
  <c r="AA147" i="44"/>
  <c r="AB147" i="44"/>
  <c r="AA148" i="44"/>
  <c r="AB148" i="44"/>
  <c r="AA149" i="44"/>
  <c r="AB149" i="44"/>
  <c r="A150" i="44"/>
  <c r="F150" i="44"/>
  <c r="G150" i="44"/>
  <c r="H150" i="44"/>
  <c r="I150" i="44"/>
  <c r="J150" i="44"/>
  <c r="K150" i="44"/>
  <c r="L150" i="44"/>
  <c r="M150" i="44"/>
  <c r="N150" i="44"/>
  <c r="O150" i="44"/>
  <c r="P150" i="44"/>
  <c r="Q150" i="44"/>
  <c r="R150" i="44"/>
  <c r="S150" i="44"/>
  <c r="T150" i="44"/>
  <c r="U150" i="44"/>
  <c r="V150" i="44"/>
  <c r="W150" i="44"/>
  <c r="X150" i="44"/>
  <c r="Y150" i="44"/>
  <c r="AA150" i="44"/>
  <c r="AB150" i="44"/>
  <c r="AA151" i="44"/>
  <c r="AB151" i="44"/>
  <c r="F152" i="44"/>
  <c r="G152" i="44"/>
  <c r="H152" i="44"/>
  <c r="I152" i="44"/>
  <c r="J152" i="44"/>
  <c r="K152" i="44"/>
  <c r="L152" i="44"/>
  <c r="M152" i="44"/>
  <c r="N152" i="44"/>
  <c r="O152" i="44"/>
  <c r="P152" i="44"/>
  <c r="Q152" i="44"/>
  <c r="R152" i="44"/>
  <c r="S152" i="44"/>
  <c r="T152" i="44"/>
  <c r="U152" i="44"/>
  <c r="V152" i="44"/>
  <c r="W152" i="44"/>
  <c r="X152" i="44"/>
  <c r="Y152" i="44"/>
  <c r="AA152" i="44"/>
  <c r="C155" i="44"/>
  <c r="C156" i="44"/>
  <c r="D160" i="44"/>
  <c r="D162" i="44"/>
  <c r="D163" i="44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AA10" i="46"/>
  <c r="AB10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AA11" i="46"/>
  <c r="AB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AA12" i="46"/>
  <c r="AB12" i="46"/>
  <c r="AA13" i="46"/>
  <c r="AB13" i="46"/>
  <c r="AA14" i="46"/>
  <c r="AB14" i="46"/>
  <c r="AA15" i="46"/>
  <c r="AB15" i="46"/>
  <c r="AA16" i="46"/>
  <c r="AB16" i="46"/>
  <c r="AA17" i="46"/>
  <c r="AB17" i="46"/>
  <c r="AA18" i="46"/>
  <c r="AB18" i="46"/>
  <c r="AA19" i="46"/>
  <c r="AB19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AA20" i="46"/>
  <c r="AB20" i="46"/>
  <c r="AA21" i="46"/>
  <c r="AB21" i="46"/>
  <c r="AA22" i="46"/>
  <c r="AB22" i="46"/>
  <c r="AA23" i="46"/>
  <c r="AB23" i="46"/>
  <c r="AA24" i="46"/>
  <c r="AB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AA25" i="46"/>
  <c r="AB25" i="46"/>
  <c r="AA26" i="46"/>
  <c r="AB26" i="46"/>
  <c r="AA27" i="46"/>
  <c r="AB27" i="46"/>
  <c r="AA28" i="46"/>
  <c r="AB28" i="46"/>
  <c r="AA29" i="46"/>
  <c r="AB29" i="46"/>
  <c r="AA30" i="46"/>
  <c r="AB30" i="46"/>
  <c r="AA31" i="46"/>
  <c r="AB31" i="46"/>
  <c r="AA32" i="46"/>
  <c r="AB32" i="46"/>
  <c r="AA33" i="46"/>
  <c r="AB33" i="46"/>
  <c r="AA34" i="46"/>
  <c r="AB34" i="46"/>
  <c r="AA35" i="46"/>
  <c r="AB35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AA36" i="46"/>
  <c r="AB36" i="46"/>
  <c r="AA37" i="46"/>
  <c r="AB37" i="46"/>
  <c r="AA38" i="46"/>
  <c r="AB38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AA39" i="46"/>
  <c r="AB39" i="46"/>
  <c r="AA40" i="46"/>
  <c r="AB40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AA41" i="46"/>
  <c r="AB41" i="46"/>
  <c r="AA42" i="46"/>
  <c r="AB42" i="46"/>
  <c r="AA43" i="46"/>
  <c r="AB43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AA44" i="46"/>
  <c r="AB44" i="46"/>
  <c r="AA45" i="46"/>
  <c r="AB45" i="46"/>
  <c r="AA46" i="46"/>
  <c r="AB46" i="46"/>
  <c r="AA47" i="46"/>
  <c r="AB47" i="46"/>
  <c r="AA48" i="46"/>
  <c r="AB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AA49" i="46"/>
  <c r="AB49" i="46"/>
  <c r="AA50" i="46"/>
  <c r="AB50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AA51" i="46"/>
  <c r="AB51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AA52" i="46"/>
  <c r="AB52" i="46"/>
  <c r="AA53" i="46"/>
  <c r="AB53" i="46"/>
  <c r="E54" i="46"/>
  <c r="F54" i="46"/>
  <c r="G54" i="46"/>
  <c r="H54" i="46"/>
  <c r="I54" i="46"/>
  <c r="J54" i="46"/>
  <c r="K54" i="46"/>
  <c r="L54" i="46"/>
  <c r="M54" i="46"/>
  <c r="N54" i="46"/>
  <c r="O54" i="46"/>
  <c r="P54" i="46"/>
  <c r="Q54" i="46"/>
  <c r="R54" i="46"/>
  <c r="S54" i="46"/>
  <c r="T54" i="46"/>
  <c r="U54" i="46"/>
  <c r="V54" i="46"/>
  <c r="W54" i="46"/>
  <c r="X54" i="46"/>
  <c r="Y54" i="46"/>
  <c r="AA54" i="46"/>
  <c r="AB54" i="46"/>
  <c r="AA55" i="46"/>
  <c r="AB55" i="46"/>
  <c r="AA56" i="46"/>
  <c r="AB56" i="46"/>
  <c r="AA57" i="46"/>
  <c r="AB57" i="46"/>
  <c r="AA58" i="46"/>
  <c r="AB58" i="46"/>
  <c r="AA59" i="46"/>
  <c r="AB59" i="46"/>
  <c r="AA60" i="46"/>
  <c r="AB60" i="46"/>
  <c r="AA61" i="46"/>
  <c r="AB61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T62" i="46"/>
  <c r="U62" i="46"/>
  <c r="V62" i="46"/>
  <c r="W62" i="46"/>
  <c r="X62" i="46"/>
  <c r="Y62" i="46"/>
  <c r="AA62" i="46"/>
  <c r="AB62" i="46"/>
  <c r="AA63" i="46"/>
  <c r="AB63" i="46"/>
  <c r="E64" i="46"/>
  <c r="F64" i="46"/>
  <c r="G64" i="46"/>
  <c r="H64" i="46"/>
  <c r="I64" i="46"/>
  <c r="J64" i="46"/>
  <c r="K64" i="46"/>
  <c r="L64" i="46"/>
  <c r="M64" i="46"/>
  <c r="N64" i="46"/>
  <c r="O64" i="46"/>
  <c r="P64" i="46"/>
  <c r="Q64" i="46"/>
  <c r="R64" i="46"/>
  <c r="S64" i="46"/>
  <c r="T64" i="46"/>
  <c r="U64" i="46"/>
  <c r="V64" i="46"/>
  <c r="W64" i="46"/>
  <c r="X64" i="46"/>
  <c r="Y64" i="46"/>
  <c r="AA64" i="46"/>
  <c r="AB64" i="46"/>
  <c r="AA65" i="46"/>
  <c r="AB65" i="46"/>
  <c r="AA66" i="46"/>
  <c r="AB66" i="46"/>
  <c r="AA67" i="46"/>
  <c r="AB67" i="46"/>
  <c r="AA68" i="46"/>
  <c r="AB68" i="46"/>
  <c r="E69" i="46"/>
  <c r="F69" i="46"/>
  <c r="G69" i="46"/>
  <c r="H69" i="46"/>
  <c r="I69" i="46"/>
  <c r="J69" i="46"/>
  <c r="K69" i="46"/>
  <c r="L69" i="46"/>
  <c r="M69" i="46"/>
  <c r="N69" i="46"/>
  <c r="O69" i="46"/>
  <c r="P69" i="46"/>
  <c r="Q69" i="46"/>
  <c r="R69" i="46"/>
  <c r="S69" i="46"/>
  <c r="T69" i="46"/>
  <c r="U69" i="46"/>
  <c r="V69" i="46"/>
  <c r="W69" i="46"/>
  <c r="X69" i="46"/>
  <c r="Y69" i="46"/>
  <c r="AA69" i="46"/>
  <c r="AB69" i="46"/>
  <c r="AA70" i="46"/>
  <c r="AB70" i="46"/>
  <c r="E71" i="46"/>
  <c r="F71" i="46"/>
  <c r="G71" i="46"/>
  <c r="H71" i="46"/>
  <c r="I71" i="46"/>
  <c r="J71" i="46"/>
  <c r="K71" i="46"/>
  <c r="L71" i="46"/>
  <c r="M71" i="46"/>
  <c r="N71" i="46"/>
  <c r="O71" i="46"/>
  <c r="P71" i="46"/>
  <c r="Q71" i="46"/>
  <c r="R71" i="46"/>
  <c r="S71" i="46"/>
  <c r="T71" i="46"/>
  <c r="U71" i="46"/>
  <c r="V71" i="46"/>
  <c r="W71" i="46"/>
  <c r="X71" i="46"/>
  <c r="Y71" i="46"/>
  <c r="AA71" i="46"/>
  <c r="AB71" i="46"/>
  <c r="AA72" i="46"/>
  <c r="AB72" i="46"/>
  <c r="E73" i="46"/>
  <c r="F73" i="46"/>
  <c r="G73" i="46"/>
  <c r="H73" i="46"/>
  <c r="I73" i="46"/>
  <c r="J73" i="46"/>
  <c r="K73" i="46"/>
  <c r="L73" i="46"/>
  <c r="M73" i="46"/>
  <c r="N73" i="46"/>
  <c r="O73" i="46"/>
  <c r="P73" i="46"/>
  <c r="Q73" i="46"/>
  <c r="R73" i="46"/>
  <c r="S73" i="46"/>
  <c r="T73" i="46"/>
  <c r="U73" i="46"/>
  <c r="V73" i="46"/>
  <c r="W73" i="46"/>
  <c r="X73" i="46"/>
  <c r="Y73" i="46"/>
  <c r="AA73" i="46"/>
  <c r="AB73" i="46"/>
  <c r="AA74" i="46"/>
  <c r="AB74" i="46"/>
  <c r="AA75" i="46"/>
  <c r="AB75" i="46"/>
  <c r="C76" i="46"/>
  <c r="E76" i="46"/>
  <c r="F76" i="46"/>
  <c r="G76" i="46"/>
  <c r="H76" i="46"/>
  <c r="I76" i="46"/>
  <c r="J76" i="46"/>
  <c r="K76" i="46"/>
  <c r="L76" i="46"/>
  <c r="M76" i="46"/>
  <c r="N76" i="46"/>
  <c r="O76" i="46"/>
  <c r="P76" i="46"/>
  <c r="Q76" i="46"/>
  <c r="R76" i="46"/>
  <c r="S76" i="46"/>
  <c r="T76" i="46"/>
  <c r="U76" i="46"/>
  <c r="V76" i="46"/>
  <c r="W76" i="46"/>
  <c r="X76" i="46"/>
  <c r="Y76" i="46"/>
  <c r="AA76" i="46"/>
  <c r="AB76" i="46"/>
  <c r="C77" i="46"/>
  <c r="E77" i="46"/>
  <c r="F77" i="46"/>
  <c r="G77" i="46"/>
  <c r="H77" i="46"/>
  <c r="I77" i="46"/>
  <c r="J77" i="46"/>
  <c r="K77" i="46"/>
  <c r="L77" i="46"/>
  <c r="M77" i="46"/>
  <c r="N77" i="46"/>
  <c r="O77" i="46"/>
  <c r="P77" i="46"/>
  <c r="Q77" i="46"/>
  <c r="R77" i="46"/>
  <c r="S77" i="46"/>
  <c r="T77" i="46"/>
  <c r="U77" i="46"/>
  <c r="V77" i="46"/>
  <c r="W77" i="46"/>
  <c r="X77" i="46"/>
  <c r="Y77" i="46"/>
  <c r="AA77" i="46"/>
  <c r="AB77" i="46"/>
  <c r="AA78" i="46"/>
  <c r="AB78" i="46"/>
  <c r="AA79" i="46"/>
  <c r="AB79" i="46"/>
  <c r="AA80" i="46"/>
  <c r="AB80" i="46"/>
  <c r="AA81" i="46"/>
  <c r="AB81" i="46"/>
  <c r="AA82" i="46"/>
  <c r="AB82" i="46"/>
  <c r="AA83" i="46"/>
  <c r="AB83" i="46"/>
  <c r="AA84" i="46"/>
  <c r="AB84" i="46"/>
  <c r="AA85" i="46"/>
  <c r="AB85" i="46"/>
  <c r="E86" i="46"/>
  <c r="F86" i="46"/>
  <c r="G86" i="46"/>
  <c r="H86" i="46"/>
  <c r="I86" i="46"/>
  <c r="J86" i="46"/>
  <c r="K86" i="46"/>
  <c r="L86" i="46"/>
  <c r="M86" i="46"/>
  <c r="N86" i="46"/>
  <c r="O86" i="46"/>
  <c r="P86" i="46"/>
  <c r="Q86" i="46"/>
  <c r="R86" i="46"/>
  <c r="S86" i="46"/>
  <c r="T86" i="46"/>
  <c r="U86" i="46"/>
  <c r="V86" i="46"/>
  <c r="W86" i="46"/>
  <c r="X86" i="46"/>
  <c r="Y86" i="46"/>
  <c r="AA86" i="46"/>
  <c r="AB86" i="46"/>
  <c r="AA87" i="46"/>
  <c r="AB87" i="46"/>
  <c r="F88" i="46"/>
  <c r="G88" i="46"/>
  <c r="H88" i="46"/>
  <c r="I88" i="46"/>
  <c r="J88" i="46"/>
  <c r="K88" i="46"/>
  <c r="L88" i="46"/>
  <c r="M88" i="46"/>
  <c r="N88" i="46"/>
  <c r="O88" i="46"/>
  <c r="P88" i="46"/>
  <c r="Q88" i="46"/>
  <c r="R88" i="46"/>
  <c r="S88" i="46"/>
  <c r="T88" i="46"/>
  <c r="U88" i="46"/>
  <c r="V88" i="46"/>
  <c r="W88" i="46"/>
  <c r="X88" i="46"/>
  <c r="Y88" i="46"/>
  <c r="AA88" i="46"/>
  <c r="AB88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R89" i="46"/>
  <c r="S89" i="46"/>
  <c r="T89" i="46"/>
  <c r="U89" i="46"/>
  <c r="V89" i="46"/>
  <c r="W89" i="46"/>
  <c r="X89" i="46"/>
  <c r="Y89" i="46"/>
  <c r="AA89" i="46"/>
  <c r="AB89" i="46"/>
  <c r="F90" i="46"/>
  <c r="G90" i="46"/>
  <c r="H90" i="46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0" i="46"/>
  <c r="AB90" i="46"/>
  <c r="W91" i="46"/>
  <c r="AA91" i="46"/>
  <c r="AB91" i="46"/>
  <c r="F92" i="46"/>
  <c r="G92" i="46"/>
  <c r="H92" i="46"/>
  <c r="I92" i="46"/>
  <c r="J92" i="46"/>
  <c r="K92" i="46"/>
  <c r="L92" i="46"/>
  <c r="M92" i="46"/>
  <c r="N92" i="46"/>
  <c r="O92" i="46"/>
  <c r="P92" i="46"/>
  <c r="Q92" i="46"/>
  <c r="R92" i="46"/>
  <c r="S92" i="46"/>
  <c r="T92" i="46"/>
  <c r="U92" i="46"/>
  <c r="V92" i="46"/>
  <c r="W92" i="46"/>
  <c r="X92" i="46"/>
  <c r="Y92" i="46"/>
  <c r="AA92" i="46"/>
  <c r="AB92" i="46"/>
  <c r="AA93" i="46"/>
  <c r="AB93" i="46"/>
  <c r="AA94" i="46"/>
  <c r="AB94" i="46"/>
  <c r="E95" i="46"/>
  <c r="Y95" i="46"/>
  <c r="AA95" i="46"/>
  <c r="AB95" i="46"/>
  <c r="AA96" i="46"/>
  <c r="AB96" i="46"/>
  <c r="Y97" i="46"/>
  <c r="AA97" i="46"/>
  <c r="AB97" i="46"/>
  <c r="AA98" i="46"/>
  <c r="AB98" i="46"/>
  <c r="Y99" i="46"/>
  <c r="AA99" i="46"/>
  <c r="AB99" i="46"/>
  <c r="AA100" i="46"/>
  <c r="AB100" i="46"/>
  <c r="AA101" i="46"/>
  <c r="AB101" i="46"/>
  <c r="D102" i="46"/>
  <c r="AA102" i="46"/>
  <c r="AB102" i="46"/>
  <c r="D103" i="46"/>
  <c r="AA103" i="46"/>
  <c r="AB103" i="46"/>
  <c r="AA104" i="46"/>
  <c r="AB104" i="46"/>
  <c r="D105" i="46"/>
  <c r="AA105" i="46"/>
  <c r="AB105" i="46"/>
  <c r="AA106" i="46"/>
  <c r="AB106" i="46"/>
  <c r="F107" i="46"/>
  <c r="G107" i="46"/>
  <c r="H107" i="46"/>
  <c r="I107" i="46"/>
  <c r="J107" i="46"/>
  <c r="K107" i="46"/>
  <c r="L107" i="46"/>
  <c r="M107" i="46"/>
  <c r="N107" i="46"/>
  <c r="O107" i="46"/>
  <c r="P107" i="46"/>
  <c r="Q107" i="46"/>
  <c r="R107" i="46"/>
  <c r="S107" i="46"/>
  <c r="T107" i="46"/>
  <c r="U107" i="46"/>
  <c r="V107" i="46"/>
  <c r="W107" i="46"/>
  <c r="X107" i="46"/>
  <c r="Y107" i="46"/>
  <c r="AA107" i="46"/>
  <c r="AB107" i="46"/>
  <c r="AA108" i="46"/>
  <c r="AB108" i="46"/>
  <c r="D109" i="46"/>
  <c r="F109" i="46"/>
  <c r="G109" i="46"/>
  <c r="H109" i="46"/>
  <c r="I109" i="46"/>
  <c r="J109" i="46"/>
  <c r="K109" i="46"/>
  <c r="L109" i="46"/>
  <c r="M109" i="46"/>
  <c r="N109" i="46"/>
  <c r="O109" i="46"/>
  <c r="P109" i="46"/>
  <c r="Q109" i="46"/>
  <c r="R109" i="46"/>
  <c r="S109" i="46"/>
  <c r="T109" i="46"/>
  <c r="U109" i="46"/>
  <c r="V109" i="46"/>
  <c r="W109" i="46"/>
  <c r="AA109" i="46"/>
  <c r="AB109" i="46"/>
  <c r="D110" i="46"/>
  <c r="F110" i="46"/>
  <c r="G110" i="46"/>
  <c r="H110" i="46"/>
  <c r="I110" i="46"/>
  <c r="J110" i="46"/>
  <c r="K110" i="46"/>
  <c r="L110" i="46"/>
  <c r="M110" i="46"/>
  <c r="N110" i="46"/>
  <c r="O110" i="46"/>
  <c r="P110" i="46"/>
  <c r="Q110" i="46"/>
  <c r="R110" i="46"/>
  <c r="S110" i="46"/>
  <c r="T110" i="46"/>
  <c r="U110" i="46"/>
  <c r="V110" i="46"/>
  <c r="W110" i="46"/>
  <c r="AA110" i="46"/>
  <c r="AB110" i="46"/>
  <c r="AA111" i="46"/>
  <c r="AB111" i="46"/>
  <c r="AA112" i="46"/>
  <c r="AB112" i="46"/>
  <c r="D113" i="46"/>
  <c r="AA113" i="46"/>
  <c r="AB113" i="46"/>
  <c r="AA114" i="46"/>
  <c r="AB114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R115" i="46"/>
  <c r="S115" i="46"/>
  <c r="T115" i="46"/>
  <c r="U115" i="46"/>
  <c r="V115" i="46"/>
  <c r="W115" i="46"/>
  <c r="AA115" i="46"/>
  <c r="AB115" i="46"/>
  <c r="D116" i="46"/>
  <c r="F116" i="46"/>
  <c r="G116" i="46"/>
  <c r="H116" i="46"/>
  <c r="I116" i="46"/>
  <c r="J116" i="46"/>
  <c r="K116" i="46"/>
  <c r="L116" i="46"/>
  <c r="M116" i="46"/>
  <c r="N116" i="46"/>
  <c r="O116" i="46"/>
  <c r="P116" i="46"/>
  <c r="Q116" i="46"/>
  <c r="R116" i="46"/>
  <c r="S116" i="46"/>
  <c r="T116" i="46"/>
  <c r="U116" i="46"/>
  <c r="V116" i="46"/>
  <c r="W116" i="46"/>
  <c r="AA116" i="46"/>
  <c r="AB116" i="46"/>
  <c r="AA117" i="46"/>
  <c r="AB117" i="46"/>
  <c r="AA118" i="46"/>
  <c r="AB118" i="46"/>
  <c r="F119" i="46"/>
  <c r="G119" i="46"/>
  <c r="H119" i="46"/>
  <c r="I119" i="46"/>
  <c r="J119" i="46"/>
  <c r="K119" i="46"/>
  <c r="L119" i="46"/>
  <c r="M119" i="46"/>
  <c r="N119" i="46"/>
  <c r="O119" i="46"/>
  <c r="P119" i="46"/>
  <c r="Q119" i="46"/>
  <c r="R119" i="46"/>
  <c r="S119" i="46"/>
  <c r="T119" i="46"/>
  <c r="U119" i="46"/>
  <c r="V119" i="46"/>
  <c r="W119" i="46"/>
  <c r="X119" i="46"/>
  <c r="Y119" i="46"/>
  <c r="AA119" i="46"/>
  <c r="AB119" i="46"/>
  <c r="AA120" i="46"/>
  <c r="AB120" i="46"/>
  <c r="A121" i="46"/>
  <c r="F121" i="46"/>
  <c r="G121" i="46"/>
  <c r="H121" i="46"/>
  <c r="I121" i="46"/>
  <c r="J121" i="46"/>
  <c r="K121" i="46"/>
  <c r="L121" i="46"/>
  <c r="M121" i="46"/>
  <c r="N121" i="46"/>
  <c r="O121" i="46"/>
  <c r="P121" i="46"/>
  <c r="Q121" i="46"/>
  <c r="R121" i="46"/>
  <c r="S121" i="46"/>
  <c r="T121" i="46"/>
  <c r="U121" i="46"/>
  <c r="V121" i="46"/>
  <c r="W121" i="46"/>
  <c r="X121" i="46"/>
  <c r="Y121" i="46"/>
  <c r="AA121" i="46"/>
  <c r="AB121" i="46"/>
  <c r="F122" i="46"/>
  <c r="G122" i="46"/>
  <c r="H122" i="46"/>
  <c r="I122" i="46"/>
  <c r="J122" i="46"/>
  <c r="K122" i="46"/>
  <c r="L122" i="46"/>
  <c r="M122" i="46"/>
  <c r="N122" i="46"/>
  <c r="O122" i="46"/>
  <c r="P122" i="46"/>
  <c r="Q122" i="46"/>
  <c r="R122" i="46"/>
  <c r="S122" i="46"/>
  <c r="T122" i="46"/>
  <c r="U122" i="46"/>
  <c r="V122" i="46"/>
  <c r="W122" i="46"/>
  <c r="X122" i="46"/>
  <c r="Y122" i="46"/>
  <c r="AA122" i="46"/>
  <c r="AB122" i="46"/>
  <c r="F123" i="46"/>
  <c r="G123" i="46"/>
  <c r="H123" i="46"/>
  <c r="I123" i="46"/>
  <c r="J123" i="46"/>
  <c r="K123" i="46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3" i="46"/>
  <c r="AB123" i="46"/>
  <c r="F124" i="46"/>
  <c r="G124" i="46"/>
  <c r="H124" i="46"/>
  <c r="I124" i="46"/>
  <c r="J124" i="46"/>
  <c r="K124" i="46"/>
  <c r="L124" i="46"/>
  <c r="M124" i="46"/>
  <c r="N124" i="46"/>
  <c r="O124" i="46"/>
  <c r="P124" i="46"/>
  <c r="Q124" i="46"/>
  <c r="R124" i="46"/>
  <c r="S124" i="46"/>
  <c r="T124" i="46"/>
  <c r="U124" i="46"/>
  <c r="V124" i="46"/>
  <c r="W124" i="46"/>
  <c r="X124" i="46"/>
  <c r="Y124" i="46"/>
  <c r="AA124" i="46"/>
  <c r="AB124" i="46"/>
  <c r="AA125" i="46"/>
  <c r="AB125" i="46"/>
  <c r="C126" i="46"/>
  <c r="F126" i="46"/>
  <c r="G126" i="46"/>
  <c r="H126" i="46"/>
  <c r="I126" i="46"/>
  <c r="J126" i="46"/>
  <c r="K126" i="46"/>
  <c r="L126" i="46"/>
  <c r="M126" i="46"/>
  <c r="N126" i="46"/>
  <c r="O126" i="46"/>
  <c r="P126" i="46"/>
  <c r="Q126" i="46"/>
  <c r="R126" i="46"/>
  <c r="S126" i="46"/>
  <c r="T126" i="46"/>
  <c r="U126" i="46"/>
  <c r="V126" i="46"/>
  <c r="W126" i="46"/>
  <c r="X126" i="46"/>
  <c r="Y126" i="46"/>
  <c r="AA126" i="46"/>
  <c r="AB126" i="46"/>
  <c r="C127" i="46"/>
  <c r="F127" i="46"/>
  <c r="G127" i="46"/>
  <c r="H127" i="46"/>
  <c r="I127" i="46"/>
  <c r="J127" i="46"/>
  <c r="K127" i="46"/>
  <c r="L127" i="46"/>
  <c r="M127" i="46"/>
  <c r="N127" i="46"/>
  <c r="O127" i="46"/>
  <c r="P127" i="46"/>
  <c r="Q127" i="46"/>
  <c r="R127" i="46"/>
  <c r="S127" i="46"/>
  <c r="T127" i="46"/>
  <c r="U127" i="46"/>
  <c r="V127" i="46"/>
  <c r="W127" i="46"/>
  <c r="X127" i="46"/>
  <c r="Y127" i="46"/>
  <c r="AA127" i="46"/>
  <c r="AB127" i="46"/>
  <c r="AA128" i="46"/>
  <c r="AB128" i="46"/>
  <c r="AA129" i="46"/>
  <c r="AB129" i="46"/>
  <c r="AA130" i="46"/>
  <c r="AB130" i="46"/>
  <c r="AA131" i="46"/>
  <c r="AB131" i="46"/>
  <c r="AA132" i="46"/>
  <c r="AB132" i="46"/>
  <c r="AA133" i="46"/>
  <c r="AB133" i="46"/>
  <c r="AA134" i="46"/>
  <c r="AB134" i="46"/>
  <c r="F135" i="46"/>
  <c r="G135" i="46"/>
  <c r="H135" i="46"/>
  <c r="I135" i="46"/>
  <c r="J135" i="46"/>
  <c r="K135" i="46"/>
  <c r="L135" i="46"/>
  <c r="M135" i="46"/>
  <c r="N135" i="46"/>
  <c r="O135" i="46"/>
  <c r="P135" i="46"/>
  <c r="Q135" i="46"/>
  <c r="R135" i="46"/>
  <c r="S135" i="46"/>
  <c r="T135" i="46"/>
  <c r="U135" i="46"/>
  <c r="V135" i="46"/>
  <c r="W135" i="46"/>
  <c r="X135" i="46"/>
  <c r="Y135" i="46"/>
  <c r="AA135" i="46"/>
  <c r="AB135" i="46"/>
  <c r="AA136" i="46"/>
  <c r="AB136" i="46"/>
  <c r="F137" i="46"/>
  <c r="G137" i="46"/>
  <c r="H137" i="46"/>
  <c r="I137" i="46"/>
  <c r="J137" i="46"/>
  <c r="K137" i="46"/>
  <c r="L137" i="46"/>
  <c r="M137" i="46"/>
  <c r="N137" i="46"/>
  <c r="O137" i="46"/>
  <c r="P137" i="46"/>
  <c r="Q137" i="46"/>
  <c r="R137" i="46"/>
  <c r="S137" i="46"/>
  <c r="T137" i="46"/>
  <c r="U137" i="46"/>
  <c r="V137" i="46"/>
  <c r="W137" i="46"/>
  <c r="X137" i="46"/>
  <c r="Y137" i="46"/>
  <c r="AA137" i="46"/>
  <c r="AB137" i="46"/>
  <c r="F138" i="46"/>
  <c r="G138" i="46"/>
  <c r="H138" i="46"/>
  <c r="I138" i="46"/>
  <c r="J138" i="46"/>
  <c r="K138" i="46"/>
  <c r="L138" i="46"/>
  <c r="M138" i="46"/>
  <c r="N138" i="46"/>
  <c r="O138" i="46"/>
  <c r="P138" i="46"/>
  <c r="Q138" i="46"/>
  <c r="R138" i="46"/>
  <c r="S138" i="46"/>
  <c r="T138" i="46"/>
  <c r="U138" i="46"/>
  <c r="V138" i="46"/>
  <c r="W138" i="46"/>
  <c r="X138" i="46"/>
  <c r="Y138" i="46"/>
  <c r="AA138" i="46"/>
  <c r="AB138" i="46"/>
  <c r="F139" i="46"/>
  <c r="G139" i="46"/>
  <c r="H139" i="46"/>
  <c r="I139" i="46"/>
  <c r="J139" i="46"/>
  <c r="K139" i="46"/>
  <c r="L139" i="46"/>
  <c r="M139" i="46"/>
  <c r="N139" i="46"/>
  <c r="O139" i="46"/>
  <c r="P139" i="46"/>
  <c r="Q139" i="46"/>
  <c r="R139" i="46"/>
  <c r="S139" i="46"/>
  <c r="T139" i="46"/>
  <c r="U139" i="46"/>
  <c r="V139" i="46"/>
  <c r="W139" i="46"/>
  <c r="X139" i="46"/>
  <c r="Y139" i="46"/>
  <c r="AA139" i="46"/>
  <c r="AB139" i="46"/>
  <c r="C140" i="46"/>
  <c r="F140" i="46"/>
  <c r="G140" i="46"/>
  <c r="H140" i="46"/>
  <c r="I140" i="46"/>
  <c r="J140" i="46"/>
  <c r="K140" i="46"/>
  <c r="L140" i="46"/>
  <c r="M140" i="46"/>
  <c r="N140" i="46"/>
  <c r="O140" i="46"/>
  <c r="P140" i="46"/>
  <c r="Q140" i="46"/>
  <c r="R140" i="46"/>
  <c r="S140" i="46"/>
  <c r="T140" i="46"/>
  <c r="U140" i="46"/>
  <c r="V140" i="46"/>
  <c r="W140" i="46"/>
  <c r="X140" i="46"/>
  <c r="Y140" i="46"/>
  <c r="AA140" i="46"/>
  <c r="AB140" i="46"/>
  <c r="C141" i="46"/>
  <c r="F141" i="46"/>
  <c r="G141" i="46"/>
  <c r="H141" i="46"/>
  <c r="I141" i="46"/>
  <c r="J141" i="46"/>
  <c r="K141" i="46"/>
  <c r="L141" i="46"/>
  <c r="M141" i="46"/>
  <c r="N141" i="46"/>
  <c r="O141" i="46"/>
  <c r="P141" i="46"/>
  <c r="Q141" i="46"/>
  <c r="R141" i="46"/>
  <c r="S141" i="46"/>
  <c r="T141" i="46"/>
  <c r="U141" i="46"/>
  <c r="V141" i="46"/>
  <c r="W141" i="46"/>
  <c r="X141" i="46"/>
  <c r="Y141" i="46"/>
  <c r="AA141" i="46"/>
  <c r="AB141" i="46"/>
  <c r="F142" i="46"/>
  <c r="G142" i="46"/>
  <c r="H142" i="46"/>
  <c r="I142" i="46"/>
  <c r="J142" i="46"/>
  <c r="K142" i="46"/>
  <c r="L142" i="46"/>
  <c r="M142" i="46"/>
  <c r="N142" i="46"/>
  <c r="O142" i="46"/>
  <c r="P142" i="46"/>
  <c r="Q142" i="46"/>
  <c r="R142" i="46"/>
  <c r="S142" i="46"/>
  <c r="T142" i="46"/>
  <c r="U142" i="46"/>
  <c r="V142" i="46"/>
  <c r="W142" i="46"/>
  <c r="X142" i="46"/>
  <c r="Y142" i="46"/>
  <c r="AA142" i="46"/>
  <c r="AB142" i="46"/>
  <c r="AA143" i="46"/>
  <c r="AB143" i="46"/>
  <c r="A144" i="46"/>
  <c r="F144" i="46"/>
  <c r="G144" i="46"/>
  <c r="H144" i="46"/>
  <c r="I144" i="46"/>
  <c r="J144" i="46"/>
  <c r="K144" i="46"/>
  <c r="L144" i="46"/>
  <c r="M144" i="46"/>
  <c r="N144" i="46"/>
  <c r="O144" i="46"/>
  <c r="P144" i="46"/>
  <c r="Q144" i="46"/>
  <c r="R144" i="46"/>
  <c r="S144" i="46"/>
  <c r="T144" i="46"/>
  <c r="U144" i="46"/>
  <c r="V144" i="46"/>
  <c r="W144" i="46"/>
  <c r="X144" i="46"/>
  <c r="Y144" i="46"/>
  <c r="AA144" i="46"/>
  <c r="AB144" i="46"/>
  <c r="F145" i="46"/>
  <c r="G145" i="46"/>
  <c r="H145" i="46"/>
  <c r="I145" i="46"/>
  <c r="J145" i="46"/>
  <c r="K145" i="46"/>
  <c r="L145" i="46"/>
  <c r="M145" i="46"/>
  <c r="N145" i="46"/>
  <c r="O145" i="46"/>
  <c r="P145" i="46"/>
  <c r="Q145" i="46"/>
  <c r="R145" i="46"/>
  <c r="S145" i="46"/>
  <c r="T145" i="46"/>
  <c r="U145" i="46"/>
  <c r="V145" i="46"/>
  <c r="W145" i="46"/>
  <c r="X145" i="46"/>
  <c r="Y145" i="46"/>
  <c r="AA145" i="46"/>
  <c r="AB145" i="46"/>
  <c r="AA146" i="46"/>
  <c r="AB146" i="46"/>
  <c r="AA147" i="46"/>
  <c r="AB147" i="46"/>
  <c r="AA148" i="46"/>
  <c r="AB148" i="46"/>
  <c r="AA149" i="46"/>
  <c r="AB149" i="46"/>
  <c r="A150" i="46"/>
  <c r="F150" i="46"/>
  <c r="G150" i="46"/>
  <c r="H150" i="46"/>
  <c r="I150" i="46"/>
  <c r="J150" i="46"/>
  <c r="K150" i="46"/>
  <c r="L150" i="46"/>
  <c r="M150" i="46"/>
  <c r="N150" i="46"/>
  <c r="O150" i="46"/>
  <c r="P150" i="46"/>
  <c r="Q150" i="46"/>
  <c r="R150" i="46"/>
  <c r="S150" i="46"/>
  <c r="T150" i="46"/>
  <c r="U150" i="46"/>
  <c r="V150" i="46"/>
  <c r="W150" i="46"/>
  <c r="X150" i="46"/>
  <c r="Y150" i="46"/>
  <c r="AA150" i="46"/>
  <c r="AB150" i="46"/>
  <c r="AA151" i="46"/>
  <c r="AB151" i="46"/>
  <c r="F152" i="46"/>
  <c r="G152" i="46"/>
  <c r="H152" i="46"/>
  <c r="I152" i="46"/>
  <c r="J152" i="46"/>
  <c r="K152" i="46"/>
  <c r="L152" i="46"/>
  <c r="M152" i="46"/>
  <c r="N152" i="46"/>
  <c r="O152" i="46"/>
  <c r="P152" i="46"/>
  <c r="Q152" i="46"/>
  <c r="R152" i="46"/>
  <c r="S152" i="46"/>
  <c r="T152" i="46"/>
  <c r="U152" i="46"/>
  <c r="V152" i="46"/>
  <c r="W152" i="46"/>
  <c r="X152" i="46"/>
  <c r="Y152" i="46"/>
  <c r="AA152" i="46"/>
  <c r="C155" i="46"/>
  <c r="C156" i="46"/>
  <c r="D160" i="46"/>
  <c r="D162" i="46"/>
  <c r="D163" i="46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AA10" i="45"/>
  <c r="AB10" i="45"/>
  <c r="E11" i="45"/>
  <c r="F11" i="45"/>
  <c r="G11" i="45"/>
  <c r="H11" i="45"/>
  <c r="I11" i="45"/>
  <c r="J11" i="45"/>
  <c r="K11" i="45"/>
  <c r="L11" i="45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AA11" i="45"/>
  <c r="AB11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AA12" i="45"/>
  <c r="AB12" i="45"/>
  <c r="AA13" i="45"/>
  <c r="AB13" i="45"/>
  <c r="AA14" i="45"/>
  <c r="AB14" i="45"/>
  <c r="AA15" i="45"/>
  <c r="AB15" i="45"/>
  <c r="AA16" i="45"/>
  <c r="AB16" i="45"/>
  <c r="AA17" i="45"/>
  <c r="AB17" i="45"/>
  <c r="AA18" i="45"/>
  <c r="AB18" i="45"/>
  <c r="AA19" i="45"/>
  <c r="AB19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AA20" i="45"/>
  <c r="AB20" i="45"/>
  <c r="AA21" i="45"/>
  <c r="AB21" i="45"/>
  <c r="AA22" i="45"/>
  <c r="AB22" i="45"/>
  <c r="AA23" i="45"/>
  <c r="AB23" i="45"/>
  <c r="AA24" i="45"/>
  <c r="AB24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AA25" i="45"/>
  <c r="AB25" i="45"/>
  <c r="AA26" i="45"/>
  <c r="AB26" i="45"/>
  <c r="AA27" i="45"/>
  <c r="AB27" i="45"/>
  <c r="AA28" i="45"/>
  <c r="AB28" i="45"/>
  <c r="AA29" i="45"/>
  <c r="AB29" i="45"/>
  <c r="AA30" i="45"/>
  <c r="AB30" i="45"/>
  <c r="AA31" i="45"/>
  <c r="AB31" i="45"/>
  <c r="AA32" i="45"/>
  <c r="AB32" i="45"/>
  <c r="AA33" i="45"/>
  <c r="AB33" i="45"/>
  <c r="AA34" i="45"/>
  <c r="AB34" i="45"/>
  <c r="AA35" i="45"/>
  <c r="AB35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AA36" i="45"/>
  <c r="AB36" i="45"/>
  <c r="AA37" i="45"/>
  <c r="AB37" i="45"/>
  <c r="AA38" i="45"/>
  <c r="AB38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X39" i="45"/>
  <c r="Y39" i="45"/>
  <c r="AA39" i="45"/>
  <c r="AB39" i="45"/>
  <c r="AA40" i="45"/>
  <c r="AB40" i="45"/>
  <c r="F41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X41" i="45"/>
  <c r="Y41" i="45"/>
  <c r="AA41" i="45"/>
  <c r="AB41" i="45"/>
  <c r="AA42" i="45"/>
  <c r="AB42" i="45"/>
  <c r="AA43" i="45"/>
  <c r="AB43" i="45"/>
  <c r="E44" i="45"/>
  <c r="F44" i="45"/>
  <c r="G44" i="45"/>
  <c r="H44" i="45"/>
  <c r="I44" i="45"/>
  <c r="J44" i="45"/>
  <c r="K44" i="45"/>
  <c r="L44" i="45"/>
  <c r="M44" i="45"/>
  <c r="N44" i="45"/>
  <c r="O44" i="45"/>
  <c r="P44" i="45"/>
  <c r="Q44" i="45"/>
  <c r="R44" i="45"/>
  <c r="S44" i="45"/>
  <c r="T44" i="45"/>
  <c r="U44" i="45"/>
  <c r="V44" i="45"/>
  <c r="W44" i="45"/>
  <c r="X44" i="45"/>
  <c r="Y44" i="45"/>
  <c r="AA44" i="45"/>
  <c r="AB44" i="45"/>
  <c r="AA45" i="45"/>
  <c r="AB45" i="45"/>
  <c r="AA46" i="45"/>
  <c r="AB46" i="45"/>
  <c r="AA47" i="45"/>
  <c r="AB47" i="45"/>
  <c r="AA48" i="45"/>
  <c r="AB48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AA49" i="45"/>
  <c r="AB49" i="45"/>
  <c r="AA50" i="45"/>
  <c r="AB50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AA51" i="45"/>
  <c r="AB51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AA52" i="45"/>
  <c r="AB52" i="45"/>
  <c r="AA53" i="45"/>
  <c r="AB53" i="45"/>
  <c r="E54" i="45"/>
  <c r="F54" i="45"/>
  <c r="G54" i="45"/>
  <c r="H54" i="45"/>
  <c r="I54" i="45"/>
  <c r="J54" i="45"/>
  <c r="K54" i="45"/>
  <c r="L54" i="45"/>
  <c r="M54" i="45"/>
  <c r="N54" i="45"/>
  <c r="O54" i="45"/>
  <c r="P54" i="45"/>
  <c r="Q54" i="45"/>
  <c r="R54" i="45"/>
  <c r="S54" i="45"/>
  <c r="T54" i="45"/>
  <c r="U54" i="45"/>
  <c r="V54" i="45"/>
  <c r="W54" i="45"/>
  <c r="X54" i="45"/>
  <c r="Y54" i="45"/>
  <c r="AA54" i="45"/>
  <c r="AB54" i="45"/>
  <c r="AA55" i="45"/>
  <c r="AB55" i="45"/>
  <c r="AA56" i="45"/>
  <c r="AB56" i="45"/>
  <c r="AA57" i="45"/>
  <c r="AB57" i="45"/>
  <c r="AA58" i="45"/>
  <c r="AB58" i="45"/>
  <c r="AA59" i="45"/>
  <c r="AB59" i="45"/>
  <c r="AA60" i="45"/>
  <c r="AB60" i="45"/>
  <c r="AA61" i="45"/>
  <c r="AB61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S62" i="45"/>
  <c r="T62" i="45"/>
  <c r="U62" i="45"/>
  <c r="V62" i="45"/>
  <c r="W62" i="45"/>
  <c r="X62" i="45"/>
  <c r="Y62" i="45"/>
  <c r="AA62" i="45"/>
  <c r="AB62" i="45"/>
  <c r="AA63" i="45"/>
  <c r="AB63" i="45"/>
  <c r="E64" i="45"/>
  <c r="F64" i="45"/>
  <c r="G64" i="45"/>
  <c r="H64" i="45"/>
  <c r="I64" i="45"/>
  <c r="J64" i="45"/>
  <c r="K64" i="45"/>
  <c r="L64" i="45"/>
  <c r="M64" i="45"/>
  <c r="N64" i="45"/>
  <c r="O64" i="45"/>
  <c r="P64" i="45"/>
  <c r="Q64" i="45"/>
  <c r="R64" i="45"/>
  <c r="S64" i="45"/>
  <c r="T64" i="45"/>
  <c r="U64" i="45"/>
  <c r="V64" i="45"/>
  <c r="W64" i="45"/>
  <c r="X64" i="45"/>
  <c r="Y64" i="45"/>
  <c r="AA64" i="45"/>
  <c r="AB64" i="45"/>
  <c r="AA65" i="45"/>
  <c r="AB65" i="45"/>
  <c r="AA66" i="45"/>
  <c r="AB66" i="45"/>
  <c r="AA67" i="45"/>
  <c r="AB67" i="45"/>
  <c r="AA68" i="45"/>
  <c r="AB68" i="45"/>
  <c r="E69" i="45"/>
  <c r="F69" i="45"/>
  <c r="G69" i="45"/>
  <c r="H69" i="45"/>
  <c r="I69" i="45"/>
  <c r="J69" i="45"/>
  <c r="K69" i="45"/>
  <c r="L69" i="45"/>
  <c r="M69" i="45"/>
  <c r="N69" i="45"/>
  <c r="O69" i="45"/>
  <c r="P69" i="45"/>
  <c r="Q69" i="45"/>
  <c r="R69" i="45"/>
  <c r="S69" i="45"/>
  <c r="T69" i="45"/>
  <c r="U69" i="45"/>
  <c r="V69" i="45"/>
  <c r="W69" i="45"/>
  <c r="X69" i="45"/>
  <c r="Y69" i="45"/>
  <c r="AA69" i="45"/>
  <c r="AB69" i="45"/>
  <c r="AA70" i="45"/>
  <c r="AB70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R71" i="45"/>
  <c r="S71" i="45"/>
  <c r="T71" i="45"/>
  <c r="U71" i="45"/>
  <c r="V71" i="45"/>
  <c r="W71" i="45"/>
  <c r="X71" i="45"/>
  <c r="Y71" i="45"/>
  <c r="AA71" i="45"/>
  <c r="AB71" i="45"/>
  <c r="AA72" i="45"/>
  <c r="AB72" i="45"/>
  <c r="E73" i="45"/>
  <c r="F73" i="45"/>
  <c r="G73" i="45"/>
  <c r="H73" i="45"/>
  <c r="I73" i="45"/>
  <c r="J73" i="45"/>
  <c r="K73" i="45"/>
  <c r="L73" i="45"/>
  <c r="M73" i="45"/>
  <c r="N73" i="45"/>
  <c r="O73" i="45"/>
  <c r="P73" i="45"/>
  <c r="Q73" i="45"/>
  <c r="R73" i="45"/>
  <c r="S73" i="45"/>
  <c r="T73" i="45"/>
  <c r="U73" i="45"/>
  <c r="V73" i="45"/>
  <c r="W73" i="45"/>
  <c r="X73" i="45"/>
  <c r="Y73" i="45"/>
  <c r="AA73" i="45"/>
  <c r="AB73" i="45"/>
  <c r="AA74" i="45"/>
  <c r="AB74" i="45"/>
  <c r="AA75" i="45"/>
  <c r="AB75" i="45"/>
  <c r="C76" i="45"/>
  <c r="E76" i="45"/>
  <c r="F76" i="45"/>
  <c r="G76" i="45"/>
  <c r="H76" i="45"/>
  <c r="I76" i="45"/>
  <c r="J76" i="45"/>
  <c r="K76" i="45"/>
  <c r="L76" i="45"/>
  <c r="M76" i="45"/>
  <c r="N76" i="45"/>
  <c r="O76" i="45"/>
  <c r="P76" i="45"/>
  <c r="Q76" i="45"/>
  <c r="R76" i="45"/>
  <c r="S76" i="45"/>
  <c r="T76" i="45"/>
  <c r="U76" i="45"/>
  <c r="V76" i="45"/>
  <c r="W76" i="45"/>
  <c r="X76" i="45"/>
  <c r="Y76" i="45"/>
  <c r="AA76" i="45"/>
  <c r="AB76" i="45"/>
  <c r="C77" i="45"/>
  <c r="E77" i="45"/>
  <c r="F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S77" i="45"/>
  <c r="T77" i="45"/>
  <c r="U77" i="45"/>
  <c r="V77" i="45"/>
  <c r="W77" i="45"/>
  <c r="X77" i="45"/>
  <c r="Y77" i="45"/>
  <c r="AA77" i="45"/>
  <c r="AB77" i="45"/>
  <c r="AA78" i="45"/>
  <c r="AB78" i="45"/>
  <c r="AA79" i="45"/>
  <c r="AB79" i="45"/>
  <c r="AA80" i="45"/>
  <c r="AB80" i="45"/>
  <c r="AA81" i="45"/>
  <c r="AB81" i="45"/>
  <c r="AA82" i="45"/>
  <c r="AB82" i="45"/>
  <c r="AA83" i="45"/>
  <c r="AB83" i="45"/>
  <c r="AA84" i="45"/>
  <c r="AB84" i="45"/>
  <c r="AA85" i="45"/>
  <c r="AB85" i="45"/>
  <c r="E86" i="45"/>
  <c r="F86" i="45"/>
  <c r="G86" i="45"/>
  <c r="H86" i="45"/>
  <c r="I86" i="45"/>
  <c r="J86" i="45"/>
  <c r="K86" i="45"/>
  <c r="L86" i="45"/>
  <c r="M86" i="45"/>
  <c r="N86" i="45"/>
  <c r="O86" i="45"/>
  <c r="P86" i="45"/>
  <c r="Q86" i="45"/>
  <c r="R86" i="45"/>
  <c r="S86" i="45"/>
  <c r="T86" i="45"/>
  <c r="U86" i="45"/>
  <c r="V86" i="45"/>
  <c r="W86" i="45"/>
  <c r="X86" i="45"/>
  <c r="Y86" i="45"/>
  <c r="AA86" i="45"/>
  <c r="AB86" i="45"/>
  <c r="AA87" i="45"/>
  <c r="AB87" i="45"/>
  <c r="F88" i="45"/>
  <c r="G88" i="45"/>
  <c r="H88" i="45"/>
  <c r="I88" i="45"/>
  <c r="J88" i="45"/>
  <c r="K88" i="45"/>
  <c r="L88" i="45"/>
  <c r="M88" i="45"/>
  <c r="N88" i="45"/>
  <c r="O88" i="45"/>
  <c r="P88" i="45"/>
  <c r="Q88" i="45"/>
  <c r="R88" i="45"/>
  <c r="S88" i="45"/>
  <c r="T88" i="45"/>
  <c r="U88" i="45"/>
  <c r="V88" i="45"/>
  <c r="W88" i="45"/>
  <c r="X88" i="45"/>
  <c r="Y88" i="45"/>
  <c r="AA88" i="45"/>
  <c r="AB88" i="45"/>
  <c r="F89" i="45"/>
  <c r="G89" i="45"/>
  <c r="H89" i="45"/>
  <c r="I89" i="45"/>
  <c r="J89" i="45"/>
  <c r="K89" i="45"/>
  <c r="L89" i="45"/>
  <c r="M89" i="45"/>
  <c r="N89" i="45"/>
  <c r="O89" i="45"/>
  <c r="P89" i="45"/>
  <c r="Q89" i="45"/>
  <c r="R89" i="45"/>
  <c r="S89" i="45"/>
  <c r="T89" i="45"/>
  <c r="U89" i="45"/>
  <c r="V89" i="45"/>
  <c r="W89" i="45"/>
  <c r="X89" i="45"/>
  <c r="Y89" i="45"/>
  <c r="AA89" i="45"/>
  <c r="AB89" i="45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0" i="45"/>
  <c r="AB90" i="45"/>
  <c r="W91" i="45"/>
  <c r="AA91" i="45"/>
  <c r="AB91" i="45"/>
  <c r="F92" i="45"/>
  <c r="G92" i="45"/>
  <c r="H92" i="45"/>
  <c r="I92" i="45"/>
  <c r="J92" i="45"/>
  <c r="K92" i="45"/>
  <c r="L92" i="45"/>
  <c r="M92" i="45"/>
  <c r="N92" i="45"/>
  <c r="O92" i="45"/>
  <c r="P92" i="45"/>
  <c r="Q92" i="45"/>
  <c r="R92" i="45"/>
  <c r="S92" i="45"/>
  <c r="T92" i="45"/>
  <c r="U92" i="45"/>
  <c r="V92" i="45"/>
  <c r="W92" i="45"/>
  <c r="X92" i="45"/>
  <c r="Y92" i="45"/>
  <c r="AA92" i="45"/>
  <c r="AB92" i="45"/>
  <c r="AA93" i="45"/>
  <c r="AB93" i="45"/>
  <c r="AA94" i="45"/>
  <c r="AB94" i="45"/>
  <c r="E95" i="45"/>
  <c r="Y95" i="45"/>
  <c r="AA95" i="45"/>
  <c r="AB95" i="45"/>
  <c r="AA96" i="45"/>
  <c r="AB96" i="45"/>
  <c r="Y97" i="45"/>
  <c r="AA97" i="45"/>
  <c r="AB97" i="45"/>
  <c r="AA98" i="45"/>
  <c r="AB98" i="45"/>
  <c r="Y99" i="45"/>
  <c r="AA99" i="45"/>
  <c r="AB99" i="45"/>
  <c r="AA100" i="45"/>
  <c r="AB100" i="45"/>
  <c r="AA101" i="45"/>
  <c r="AB101" i="45"/>
  <c r="D102" i="45"/>
  <c r="AA102" i="45"/>
  <c r="AB102" i="45"/>
  <c r="D103" i="45"/>
  <c r="AA103" i="45"/>
  <c r="AB103" i="45"/>
  <c r="AA104" i="45"/>
  <c r="AB104" i="45"/>
  <c r="D105" i="45"/>
  <c r="AA105" i="45"/>
  <c r="AB105" i="45"/>
  <c r="AA106" i="45"/>
  <c r="AB106" i="45"/>
  <c r="F107" i="45"/>
  <c r="G107" i="45"/>
  <c r="H107" i="45"/>
  <c r="I107" i="45"/>
  <c r="J107" i="45"/>
  <c r="K107" i="45"/>
  <c r="L107" i="45"/>
  <c r="M107" i="45"/>
  <c r="N107" i="45"/>
  <c r="O107" i="45"/>
  <c r="P107" i="45"/>
  <c r="Q107" i="45"/>
  <c r="R107" i="45"/>
  <c r="S107" i="45"/>
  <c r="T107" i="45"/>
  <c r="U107" i="45"/>
  <c r="V107" i="45"/>
  <c r="W107" i="45"/>
  <c r="X107" i="45"/>
  <c r="Y107" i="45"/>
  <c r="AA107" i="45"/>
  <c r="AB107" i="45"/>
  <c r="AA108" i="45"/>
  <c r="AB108" i="45"/>
  <c r="D109" i="45"/>
  <c r="F109" i="45"/>
  <c r="G109" i="45"/>
  <c r="H109" i="45"/>
  <c r="I109" i="45"/>
  <c r="J109" i="45"/>
  <c r="K109" i="45"/>
  <c r="L109" i="45"/>
  <c r="M109" i="45"/>
  <c r="N109" i="45"/>
  <c r="O109" i="45"/>
  <c r="P109" i="45"/>
  <c r="Q109" i="45"/>
  <c r="R109" i="45"/>
  <c r="S109" i="45"/>
  <c r="T109" i="45"/>
  <c r="U109" i="45"/>
  <c r="V109" i="45"/>
  <c r="W109" i="45"/>
  <c r="AA109" i="45"/>
  <c r="AB109" i="45"/>
  <c r="D110" i="45"/>
  <c r="F110" i="45"/>
  <c r="G110" i="45"/>
  <c r="H110" i="45"/>
  <c r="I110" i="45"/>
  <c r="J110" i="45"/>
  <c r="K110" i="45"/>
  <c r="L110" i="45"/>
  <c r="M110" i="45"/>
  <c r="N110" i="45"/>
  <c r="O110" i="45"/>
  <c r="P110" i="45"/>
  <c r="Q110" i="45"/>
  <c r="R110" i="45"/>
  <c r="S110" i="45"/>
  <c r="T110" i="45"/>
  <c r="U110" i="45"/>
  <c r="V110" i="45"/>
  <c r="W110" i="45"/>
  <c r="AA110" i="45"/>
  <c r="AB110" i="45"/>
  <c r="AA111" i="45"/>
  <c r="AB111" i="45"/>
  <c r="AA112" i="45"/>
  <c r="AB112" i="45"/>
  <c r="D113" i="45"/>
  <c r="AA113" i="45"/>
  <c r="AB113" i="45"/>
  <c r="AA114" i="45"/>
  <c r="AB114" i="45"/>
  <c r="F115" i="45"/>
  <c r="G115" i="45"/>
  <c r="H115" i="45"/>
  <c r="I115" i="45"/>
  <c r="J115" i="45"/>
  <c r="K115" i="45"/>
  <c r="L115" i="45"/>
  <c r="M115" i="45"/>
  <c r="N115" i="45"/>
  <c r="O115" i="45"/>
  <c r="P115" i="45"/>
  <c r="Q115" i="45"/>
  <c r="R115" i="45"/>
  <c r="S115" i="45"/>
  <c r="T115" i="45"/>
  <c r="U115" i="45"/>
  <c r="V115" i="45"/>
  <c r="W115" i="45"/>
  <c r="AA115" i="45"/>
  <c r="AB115" i="45"/>
  <c r="D116" i="45"/>
  <c r="F116" i="45"/>
  <c r="G116" i="45"/>
  <c r="H116" i="45"/>
  <c r="I116" i="45"/>
  <c r="J116" i="45"/>
  <c r="K116" i="45"/>
  <c r="L116" i="45"/>
  <c r="M116" i="45"/>
  <c r="N116" i="45"/>
  <c r="O116" i="45"/>
  <c r="P116" i="45"/>
  <c r="Q116" i="45"/>
  <c r="R116" i="45"/>
  <c r="S116" i="45"/>
  <c r="T116" i="45"/>
  <c r="U116" i="45"/>
  <c r="V116" i="45"/>
  <c r="W116" i="45"/>
  <c r="AA116" i="45"/>
  <c r="AB116" i="45"/>
  <c r="AA117" i="45"/>
  <c r="AB117" i="45"/>
  <c r="AA118" i="45"/>
  <c r="AB118" i="45"/>
  <c r="F119" i="45"/>
  <c r="G119" i="45"/>
  <c r="H119" i="45"/>
  <c r="I119" i="45"/>
  <c r="J119" i="45"/>
  <c r="K119" i="45"/>
  <c r="L119" i="45"/>
  <c r="M119" i="45"/>
  <c r="N119" i="45"/>
  <c r="O119" i="45"/>
  <c r="P119" i="45"/>
  <c r="Q119" i="45"/>
  <c r="R119" i="45"/>
  <c r="S119" i="45"/>
  <c r="T119" i="45"/>
  <c r="U119" i="45"/>
  <c r="V119" i="45"/>
  <c r="W119" i="45"/>
  <c r="X119" i="45"/>
  <c r="Y119" i="45"/>
  <c r="AA119" i="45"/>
  <c r="AB119" i="45"/>
  <c r="AA120" i="45"/>
  <c r="AB120" i="45"/>
  <c r="A121" i="45"/>
  <c r="F121" i="45"/>
  <c r="G121" i="45"/>
  <c r="H121" i="45"/>
  <c r="I121" i="45"/>
  <c r="J121" i="45"/>
  <c r="K121" i="45"/>
  <c r="L121" i="45"/>
  <c r="M121" i="45"/>
  <c r="N121" i="45"/>
  <c r="O121" i="45"/>
  <c r="P121" i="45"/>
  <c r="Q121" i="45"/>
  <c r="R121" i="45"/>
  <c r="S121" i="45"/>
  <c r="T121" i="45"/>
  <c r="U121" i="45"/>
  <c r="V121" i="45"/>
  <c r="W121" i="45"/>
  <c r="X121" i="45"/>
  <c r="Y121" i="45"/>
  <c r="AA121" i="45"/>
  <c r="AB121" i="45"/>
  <c r="F122" i="45"/>
  <c r="G122" i="45"/>
  <c r="H122" i="45"/>
  <c r="I122" i="45"/>
  <c r="J122" i="45"/>
  <c r="K122" i="45"/>
  <c r="L122" i="45"/>
  <c r="M122" i="45"/>
  <c r="N122" i="45"/>
  <c r="O122" i="45"/>
  <c r="P122" i="45"/>
  <c r="Q122" i="45"/>
  <c r="R122" i="45"/>
  <c r="S122" i="45"/>
  <c r="T122" i="45"/>
  <c r="U122" i="45"/>
  <c r="V122" i="45"/>
  <c r="W122" i="45"/>
  <c r="X122" i="45"/>
  <c r="Y122" i="45"/>
  <c r="AA122" i="45"/>
  <c r="AB122" i="45"/>
  <c r="F123" i="45"/>
  <c r="G123" i="45"/>
  <c r="H123" i="45"/>
  <c r="I123" i="45"/>
  <c r="J123" i="45"/>
  <c r="K123" i="45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AA123" i="45"/>
  <c r="AB123" i="45"/>
  <c r="F124" i="45"/>
  <c r="G124" i="45"/>
  <c r="H124" i="45"/>
  <c r="I124" i="45"/>
  <c r="J124" i="45"/>
  <c r="K124" i="45"/>
  <c r="L124" i="45"/>
  <c r="M124" i="45"/>
  <c r="N124" i="45"/>
  <c r="O124" i="45"/>
  <c r="P124" i="45"/>
  <c r="Q124" i="45"/>
  <c r="R124" i="45"/>
  <c r="S124" i="45"/>
  <c r="T124" i="45"/>
  <c r="U124" i="45"/>
  <c r="V124" i="45"/>
  <c r="W124" i="45"/>
  <c r="X124" i="45"/>
  <c r="Y124" i="45"/>
  <c r="AA124" i="45"/>
  <c r="AB124" i="45"/>
  <c r="AA125" i="45"/>
  <c r="AB125" i="45"/>
  <c r="C126" i="45"/>
  <c r="F126" i="45"/>
  <c r="G126" i="45"/>
  <c r="H126" i="45"/>
  <c r="I126" i="45"/>
  <c r="J126" i="45"/>
  <c r="K126" i="45"/>
  <c r="L126" i="45"/>
  <c r="M126" i="45"/>
  <c r="N126" i="45"/>
  <c r="O126" i="45"/>
  <c r="P126" i="45"/>
  <c r="Q126" i="45"/>
  <c r="R126" i="45"/>
  <c r="S126" i="45"/>
  <c r="T126" i="45"/>
  <c r="U126" i="45"/>
  <c r="V126" i="45"/>
  <c r="W126" i="45"/>
  <c r="X126" i="45"/>
  <c r="Y126" i="45"/>
  <c r="AA126" i="45"/>
  <c r="AB126" i="45"/>
  <c r="C127" i="45"/>
  <c r="F127" i="45"/>
  <c r="G127" i="45"/>
  <c r="H127" i="45"/>
  <c r="I127" i="45"/>
  <c r="J127" i="45"/>
  <c r="K127" i="45"/>
  <c r="L127" i="45"/>
  <c r="M127" i="45"/>
  <c r="N127" i="45"/>
  <c r="O127" i="45"/>
  <c r="P127" i="45"/>
  <c r="Q127" i="45"/>
  <c r="R127" i="45"/>
  <c r="S127" i="45"/>
  <c r="T127" i="45"/>
  <c r="U127" i="45"/>
  <c r="V127" i="45"/>
  <c r="W127" i="45"/>
  <c r="X127" i="45"/>
  <c r="Y127" i="45"/>
  <c r="AA127" i="45"/>
  <c r="AB127" i="45"/>
  <c r="AA128" i="45"/>
  <c r="AB128" i="45"/>
  <c r="AA129" i="45"/>
  <c r="AB129" i="45"/>
  <c r="AA130" i="45"/>
  <c r="AB130" i="45"/>
  <c r="AA131" i="45"/>
  <c r="AB131" i="45"/>
  <c r="AA132" i="45"/>
  <c r="AB132" i="45"/>
  <c r="AA133" i="45"/>
  <c r="AB133" i="45"/>
  <c r="AA134" i="45"/>
  <c r="AB134" i="45"/>
  <c r="F135" i="45"/>
  <c r="G135" i="45"/>
  <c r="H135" i="45"/>
  <c r="I135" i="45"/>
  <c r="J135" i="45"/>
  <c r="K135" i="45"/>
  <c r="L135" i="45"/>
  <c r="M135" i="45"/>
  <c r="N135" i="45"/>
  <c r="O135" i="45"/>
  <c r="P135" i="45"/>
  <c r="Q135" i="45"/>
  <c r="R135" i="45"/>
  <c r="S135" i="45"/>
  <c r="T135" i="45"/>
  <c r="U135" i="45"/>
  <c r="V135" i="45"/>
  <c r="W135" i="45"/>
  <c r="X135" i="45"/>
  <c r="Y135" i="45"/>
  <c r="AA135" i="45"/>
  <c r="AB135" i="45"/>
  <c r="AA136" i="45"/>
  <c r="AB136" i="45"/>
  <c r="F137" i="45"/>
  <c r="G137" i="45"/>
  <c r="H137" i="45"/>
  <c r="I137" i="45"/>
  <c r="J137" i="45"/>
  <c r="K137" i="45"/>
  <c r="L137" i="45"/>
  <c r="M137" i="45"/>
  <c r="N137" i="45"/>
  <c r="O137" i="45"/>
  <c r="P137" i="45"/>
  <c r="Q137" i="45"/>
  <c r="R137" i="45"/>
  <c r="S137" i="45"/>
  <c r="T137" i="45"/>
  <c r="U137" i="45"/>
  <c r="V137" i="45"/>
  <c r="W137" i="45"/>
  <c r="X137" i="45"/>
  <c r="Y137" i="45"/>
  <c r="AA137" i="45"/>
  <c r="AB137" i="45"/>
  <c r="F138" i="45"/>
  <c r="G138" i="45"/>
  <c r="H138" i="45"/>
  <c r="I138" i="45"/>
  <c r="J138" i="45"/>
  <c r="K138" i="45"/>
  <c r="L138" i="45"/>
  <c r="M138" i="45"/>
  <c r="N138" i="45"/>
  <c r="O138" i="45"/>
  <c r="P138" i="45"/>
  <c r="Q138" i="45"/>
  <c r="R138" i="45"/>
  <c r="S138" i="45"/>
  <c r="T138" i="45"/>
  <c r="U138" i="45"/>
  <c r="V138" i="45"/>
  <c r="W138" i="45"/>
  <c r="X138" i="45"/>
  <c r="Y138" i="45"/>
  <c r="AA138" i="45"/>
  <c r="AB138" i="45"/>
  <c r="F139" i="45"/>
  <c r="G139" i="45"/>
  <c r="H139" i="45"/>
  <c r="I139" i="45"/>
  <c r="J139" i="45"/>
  <c r="K139" i="45"/>
  <c r="L139" i="45"/>
  <c r="M139" i="45"/>
  <c r="N139" i="45"/>
  <c r="O139" i="45"/>
  <c r="P139" i="45"/>
  <c r="Q139" i="45"/>
  <c r="R139" i="45"/>
  <c r="S139" i="45"/>
  <c r="T139" i="45"/>
  <c r="U139" i="45"/>
  <c r="V139" i="45"/>
  <c r="W139" i="45"/>
  <c r="X139" i="45"/>
  <c r="Y139" i="45"/>
  <c r="AA139" i="45"/>
  <c r="AB139" i="45"/>
  <c r="C140" i="45"/>
  <c r="F140" i="45"/>
  <c r="G140" i="45"/>
  <c r="H140" i="45"/>
  <c r="I140" i="45"/>
  <c r="J140" i="45"/>
  <c r="K140" i="45"/>
  <c r="L140" i="45"/>
  <c r="M140" i="45"/>
  <c r="N140" i="45"/>
  <c r="O140" i="45"/>
  <c r="P140" i="45"/>
  <c r="Q140" i="45"/>
  <c r="R140" i="45"/>
  <c r="S140" i="45"/>
  <c r="T140" i="45"/>
  <c r="U140" i="45"/>
  <c r="V140" i="45"/>
  <c r="W140" i="45"/>
  <c r="X140" i="45"/>
  <c r="Y140" i="45"/>
  <c r="AA140" i="45"/>
  <c r="AB140" i="45"/>
  <c r="C141" i="45"/>
  <c r="F141" i="45"/>
  <c r="G141" i="45"/>
  <c r="H141" i="45"/>
  <c r="I141" i="45"/>
  <c r="J141" i="45"/>
  <c r="K141" i="45"/>
  <c r="L141" i="45"/>
  <c r="M141" i="45"/>
  <c r="N141" i="45"/>
  <c r="O141" i="45"/>
  <c r="P141" i="45"/>
  <c r="Q141" i="45"/>
  <c r="R141" i="45"/>
  <c r="S141" i="45"/>
  <c r="T141" i="45"/>
  <c r="U141" i="45"/>
  <c r="V141" i="45"/>
  <c r="W141" i="45"/>
  <c r="X141" i="45"/>
  <c r="Y141" i="45"/>
  <c r="AA141" i="45"/>
  <c r="AB141" i="45"/>
  <c r="F142" i="45"/>
  <c r="G142" i="45"/>
  <c r="H142" i="45"/>
  <c r="I142" i="45"/>
  <c r="J142" i="45"/>
  <c r="K142" i="45"/>
  <c r="L142" i="45"/>
  <c r="M142" i="45"/>
  <c r="N142" i="45"/>
  <c r="O142" i="45"/>
  <c r="P142" i="45"/>
  <c r="Q142" i="45"/>
  <c r="R142" i="45"/>
  <c r="S142" i="45"/>
  <c r="T142" i="45"/>
  <c r="U142" i="45"/>
  <c r="V142" i="45"/>
  <c r="W142" i="45"/>
  <c r="X142" i="45"/>
  <c r="Y142" i="45"/>
  <c r="AA142" i="45"/>
  <c r="AB142" i="45"/>
  <c r="AA143" i="45"/>
  <c r="AB143" i="45"/>
  <c r="A144" i="45"/>
  <c r="F144" i="45"/>
  <c r="G144" i="45"/>
  <c r="H144" i="45"/>
  <c r="I144" i="45"/>
  <c r="J144" i="45"/>
  <c r="K144" i="45"/>
  <c r="L144" i="45"/>
  <c r="M144" i="45"/>
  <c r="N144" i="45"/>
  <c r="O144" i="45"/>
  <c r="P144" i="45"/>
  <c r="Q144" i="45"/>
  <c r="R144" i="45"/>
  <c r="S144" i="45"/>
  <c r="T144" i="45"/>
  <c r="U144" i="45"/>
  <c r="V144" i="45"/>
  <c r="W144" i="45"/>
  <c r="X144" i="45"/>
  <c r="Y144" i="45"/>
  <c r="AA144" i="45"/>
  <c r="AB144" i="45"/>
  <c r="F145" i="45"/>
  <c r="G145" i="45"/>
  <c r="H145" i="45"/>
  <c r="I145" i="45"/>
  <c r="J145" i="45"/>
  <c r="K145" i="45"/>
  <c r="L145" i="45"/>
  <c r="M145" i="45"/>
  <c r="N145" i="45"/>
  <c r="O145" i="45"/>
  <c r="P145" i="45"/>
  <c r="Q145" i="45"/>
  <c r="R145" i="45"/>
  <c r="S145" i="45"/>
  <c r="T145" i="45"/>
  <c r="U145" i="45"/>
  <c r="V145" i="45"/>
  <c r="W145" i="45"/>
  <c r="X145" i="45"/>
  <c r="Y145" i="45"/>
  <c r="AA145" i="45"/>
  <c r="AB145" i="45"/>
  <c r="AA146" i="45"/>
  <c r="AB146" i="45"/>
  <c r="AA147" i="45"/>
  <c r="AB147" i="45"/>
  <c r="AA148" i="45"/>
  <c r="AB148" i="45"/>
  <c r="AA149" i="45"/>
  <c r="AB149" i="45"/>
  <c r="A150" i="45"/>
  <c r="F150" i="45"/>
  <c r="G150" i="45"/>
  <c r="H150" i="45"/>
  <c r="I150" i="45"/>
  <c r="J150" i="45"/>
  <c r="K150" i="45"/>
  <c r="L150" i="45"/>
  <c r="M150" i="45"/>
  <c r="N150" i="45"/>
  <c r="O150" i="45"/>
  <c r="P150" i="45"/>
  <c r="Q150" i="45"/>
  <c r="R150" i="45"/>
  <c r="S150" i="45"/>
  <c r="T150" i="45"/>
  <c r="U150" i="45"/>
  <c r="V150" i="45"/>
  <c r="W150" i="45"/>
  <c r="X150" i="45"/>
  <c r="Y150" i="45"/>
  <c r="AA150" i="45"/>
  <c r="AB150" i="45"/>
  <c r="AA151" i="45"/>
  <c r="AB151" i="45"/>
  <c r="F152" i="45"/>
  <c r="G152" i="45"/>
  <c r="H152" i="45"/>
  <c r="I152" i="45"/>
  <c r="J152" i="45"/>
  <c r="K152" i="45"/>
  <c r="L152" i="45"/>
  <c r="M152" i="45"/>
  <c r="N152" i="45"/>
  <c r="O152" i="45"/>
  <c r="P152" i="45"/>
  <c r="Q152" i="45"/>
  <c r="R152" i="45"/>
  <c r="S152" i="45"/>
  <c r="T152" i="45"/>
  <c r="U152" i="45"/>
  <c r="V152" i="45"/>
  <c r="W152" i="45"/>
  <c r="X152" i="45"/>
  <c r="Y152" i="45"/>
  <c r="AA152" i="45"/>
  <c r="C155" i="45"/>
  <c r="C156" i="45"/>
  <c r="D160" i="45"/>
  <c r="D162" i="45"/>
  <c r="D163" i="45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AA10" i="43"/>
  <c r="AB10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AA11" i="43"/>
  <c r="AB11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AA12" i="43"/>
  <c r="AB12" i="43"/>
  <c r="AA13" i="43"/>
  <c r="AB13" i="43"/>
  <c r="AA14" i="43"/>
  <c r="AB14" i="43"/>
  <c r="AA15" i="43"/>
  <c r="AB15" i="43"/>
  <c r="AA16" i="43"/>
  <c r="AB16" i="43"/>
  <c r="AA17" i="43"/>
  <c r="AB17" i="43"/>
  <c r="AA18" i="43"/>
  <c r="AB18" i="43"/>
  <c r="AA19" i="43"/>
  <c r="AB19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AA20" i="43"/>
  <c r="AB20" i="43"/>
  <c r="AA21" i="43"/>
  <c r="AB21" i="43"/>
  <c r="AA22" i="43"/>
  <c r="AB22" i="43"/>
  <c r="AA23" i="43"/>
  <c r="AB23" i="43"/>
  <c r="AA24" i="43"/>
  <c r="AB24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A25" i="43"/>
  <c r="AB25" i="43"/>
  <c r="AA26" i="43"/>
  <c r="AB26" i="43"/>
  <c r="AA27" i="43"/>
  <c r="AB27" i="43"/>
  <c r="AA28" i="43"/>
  <c r="AB28" i="43"/>
  <c r="AA29" i="43"/>
  <c r="AB29" i="43"/>
  <c r="AA30" i="43"/>
  <c r="AB30" i="43"/>
  <c r="AA31" i="43"/>
  <c r="AB31" i="43"/>
  <c r="AA32" i="43"/>
  <c r="AB32" i="43"/>
  <c r="AA33" i="43"/>
  <c r="AB33" i="43"/>
  <c r="AA34" i="43"/>
  <c r="AB34" i="43"/>
  <c r="AA35" i="43"/>
  <c r="AB35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A36" i="43"/>
  <c r="AB36" i="43"/>
  <c r="AA37" i="43"/>
  <c r="AB37" i="43"/>
  <c r="AA38" i="43"/>
  <c r="AB38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A39" i="43"/>
  <c r="AB39" i="43"/>
  <c r="AA40" i="43"/>
  <c r="AB40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A41" i="43"/>
  <c r="AB41" i="43"/>
  <c r="AA42" i="43"/>
  <c r="AB42" i="43"/>
  <c r="AA43" i="43"/>
  <c r="AB43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A44" i="43"/>
  <c r="AB44" i="43"/>
  <c r="AA45" i="43"/>
  <c r="AB45" i="43"/>
  <c r="AA46" i="43"/>
  <c r="AB46" i="43"/>
  <c r="AA47" i="43"/>
  <c r="AB47" i="43"/>
  <c r="AA48" i="43"/>
  <c r="AB48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AA49" i="43"/>
  <c r="AB49" i="43"/>
  <c r="AA50" i="43"/>
  <c r="AB50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A51" i="43"/>
  <c r="AB51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A52" i="43"/>
  <c r="AB52" i="43"/>
  <c r="AA53" i="43"/>
  <c r="AB53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A54" i="43"/>
  <c r="AB54" i="43"/>
  <c r="AA55" i="43"/>
  <c r="AB55" i="43"/>
  <c r="AA56" i="43"/>
  <c r="AB56" i="43"/>
  <c r="AA57" i="43"/>
  <c r="AB57" i="43"/>
  <c r="AA58" i="43"/>
  <c r="AB58" i="43"/>
  <c r="AA59" i="43"/>
  <c r="AB59" i="43"/>
  <c r="AA60" i="43"/>
  <c r="AB60" i="43"/>
  <c r="AA61" i="43"/>
  <c r="AB61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A62" i="43"/>
  <c r="AB62" i="43"/>
  <c r="AA63" i="43"/>
  <c r="AB63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AA64" i="43"/>
  <c r="AB64" i="43"/>
  <c r="AA65" i="43"/>
  <c r="AB65" i="43"/>
  <c r="AA66" i="43"/>
  <c r="AB66" i="43"/>
  <c r="AA67" i="43"/>
  <c r="AB67" i="43"/>
  <c r="AA68" i="43"/>
  <c r="AB68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A69" i="43"/>
  <c r="AB69" i="43"/>
  <c r="AA70" i="43"/>
  <c r="AB70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A71" i="43"/>
  <c r="AB71" i="43"/>
  <c r="AA72" i="43"/>
  <c r="AB72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A73" i="43"/>
  <c r="AB73" i="43"/>
  <c r="AA74" i="43"/>
  <c r="AB74" i="43"/>
  <c r="AA75" i="43"/>
  <c r="AB75" i="43"/>
  <c r="C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A76" i="43"/>
  <c r="AB76" i="43"/>
  <c r="C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A77" i="43"/>
  <c r="AB77" i="43"/>
  <c r="AA78" i="43"/>
  <c r="AB78" i="43"/>
  <c r="AA79" i="43"/>
  <c r="AB79" i="43"/>
  <c r="AA80" i="43"/>
  <c r="AB80" i="43"/>
  <c r="AA81" i="43"/>
  <c r="AB81" i="43"/>
  <c r="AA82" i="43"/>
  <c r="AB82" i="43"/>
  <c r="AA83" i="43"/>
  <c r="AB83" i="43"/>
  <c r="AA84" i="43"/>
  <c r="AB84" i="43"/>
  <c r="AA85" i="43"/>
  <c r="AB85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A86" i="43"/>
  <c r="AB86" i="43"/>
  <c r="AA87" i="43"/>
  <c r="AB87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A88" i="43"/>
  <c r="AB88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A89" i="43"/>
  <c r="AB89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0" i="43"/>
  <c r="AB90" i="43"/>
  <c r="T91" i="43"/>
  <c r="AA91" i="43"/>
  <c r="AB91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A92" i="43"/>
  <c r="AB92" i="43"/>
  <c r="AA93" i="43"/>
  <c r="AB93" i="43"/>
  <c r="AA94" i="43"/>
  <c r="AB94" i="43"/>
  <c r="E95" i="43"/>
  <c r="Y95" i="43"/>
  <c r="AA95" i="43"/>
  <c r="AB95" i="43"/>
  <c r="AA96" i="43"/>
  <c r="AB96" i="43"/>
  <c r="Y97" i="43"/>
  <c r="AA97" i="43"/>
  <c r="AB97" i="43"/>
  <c r="AA98" i="43"/>
  <c r="AB98" i="43"/>
  <c r="Y99" i="43"/>
  <c r="AA99" i="43"/>
  <c r="AB99" i="43"/>
  <c r="AA100" i="43"/>
  <c r="AB100" i="43"/>
  <c r="AA101" i="43"/>
  <c r="AB101" i="43"/>
  <c r="D102" i="43"/>
  <c r="AA102" i="43"/>
  <c r="AB102" i="43"/>
  <c r="D103" i="43"/>
  <c r="AA103" i="43"/>
  <c r="AB103" i="43"/>
  <c r="AA104" i="43"/>
  <c r="AB104" i="43"/>
  <c r="D105" i="43"/>
  <c r="AA105" i="43"/>
  <c r="AB105" i="43"/>
  <c r="AA106" i="43"/>
  <c r="AB106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A107" i="43"/>
  <c r="AB107" i="43"/>
  <c r="AA108" i="43"/>
  <c r="AB108" i="43"/>
  <c r="D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AA109" i="43"/>
  <c r="AB109" i="43"/>
  <c r="D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AA110" i="43"/>
  <c r="AB110" i="43"/>
  <c r="AA111" i="43"/>
  <c r="AB111" i="43"/>
  <c r="AA112" i="43"/>
  <c r="AB112" i="43"/>
  <c r="D113" i="43"/>
  <c r="AA113" i="43"/>
  <c r="AB113" i="43"/>
  <c r="AA114" i="43"/>
  <c r="AB114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AA115" i="43"/>
  <c r="AB115" i="43"/>
  <c r="D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AA116" i="43"/>
  <c r="AB116" i="43"/>
  <c r="AA117" i="43"/>
  <c r="AB117" i="43"/>
  <c r="AA118" i="43"/>
  <c r="AB118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A119" i="43"/>
  <c r="AB119" i="43"/>
  <c r="AA120" i="43"/>
  <c r="AB120" i="43"/>
  <c r="A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A121" i="43"/>
  <c r="AB121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A122" i="43"/>
  <c r="AB122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A123" i="43"/>
  <c r="AB123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A124" i="43"/>
  <c r="AB124" i="43"/>
  <c r="AA125" i="43"/>
  <c r="AB125" i="43"/>
  <c r="C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A126" i="43"/>
  <c r="AB126" i="43"/>
  <c r="C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A127" i="43"/>
  <c r="AB127" i="43"/>
  <c r="AA128" i="43"/>
  <c r="AB128" i="43"/>
  <c r="AA129" i="43"/>
  <c r="AB129" i="43"/>
  <c r="AA130" i="43"/>
  <c r="AB130" i="43"/>
  <c r="AA131" i="43"/>
  <c r="AB131" i="43"/>
  <c r="AA132" i="43"/>
  <c r="AB132" i="43"/>
  <c r="AA133" i="43"/>
  <c r="AB133" i="43"/>
  <c r="AA134" i="43"/>
  <c r="AB134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A135" i="43"/>
  <c r="AB135" i="43"/>
  <c r="AA136" i="43"/>
  <c r="AB136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A137" i="43"/>
  <c r="AB137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A138" i="43"/>
  <c r="AB138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A139" i="43"/>
  <c r="AB139" i="43"/>
  <c r="C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A140" i="43"/>
  <c r="AB140" i="43"/>
  <c r="C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A141" i="43"/>
  <c r="AB141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A142" i="43"/>
  <c r="AB142" i="43"/>
  <c r="AA143" i="43"/>
  <c r="AB143" i="43"/>
  <c r="A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A144" i="43"/>
  <c r="AB144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A145" i="43"/>
  <c r="AB145" i="43"/>
  <c r="AA146" i="43"/>
  <c r="AB146" i="43"/>
  <c r="AA147" i="43"/>
  <c r="AB147" i="43"/>
  <c r="AA148" i="43"/>
  <c r="AB148" i="43"/>
  <c r="AA149" i="43"/>
  <c r="AB149" i="43"/>
  <c r="A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A150" i="43"/>
  <c r="AB150" i="43"/>
  <c r="AA151" i="43"/>
  <c r="AB151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A152" i="43"/>
  <c r="C155" i="43"/>
  <c r="C156" i="43"/>
  <c r="D160" i="43"/>
  <c r="D162" i="43"/>
  <c r="D163" i="43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AA10" i="42"/>
  <c r="AB10" i="42"/>
  <c r="E11" i="42"/>
  <c r="F11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AA11" i="42"/>
  <c r="AB11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AA12" i="42"/>
  <c r="AB12" i="42"/>
  <c r="AA13" i="42"/>
  <c r="AB13" i="42"/>
  <c r="AA14" i="42"/>
  <c r="AB14" i="42"/>
  <c r="AA15" i="42"/>
  <c r="AB15" i="42"/>
  <c r="AA16" i="42"/>
  <c r="AB16" i="42"/>
  <c r="AA17" i="42"/>
  <c r="AB17" i="42"/>
  <c r="AA18" i="42"/>
  <c r="AB18" i="42"/>
  <c r="AA19" i="42"/>
  <c r="AB19" i="42"/>
  <c r="E20" i="42"/>
  <c r="F20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AA20" i="42"/>
  <c r="AB20" i="42"/>
  <c r="AA21" i="42"/>
  <c r="AB21" i="42"/>
  <c r="AA22" i="42"/>
  <c r="AB22" i="42"/>
  <c r="AA23" i="42"/>
  <c r="AB23" i="42"/>
  <c r="AA24" i="42"/>
  <c r="AB24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AA25" i="42"/>
  <c r="AB25" i="42"/>
  <c r="AA26" i="42"/>
  <c r="AB26" i="42"/>
  <c r="AA27" i="42"/>
  <c r="AB27" i="42"/>
  <c r="AA28" i="42"/>
  <c r="AB28" i="42"/>
  <c r="AA29" i="42"/>
  <c r="AB29" i="42"/>
  <c r="AA30" i="42"/>
  <c r="AB30" i="42"/>
  <c r="AA31" i="42"/>
  <c r="AB31" i="42"/>
  <c r="AA32" i="42"/>
  <c r="AB32" i="42"/>
  <c r="AA33" i="42"/>
  <c r="AB33" i="42"/>
  <c r="AA34" i="42"/>
  <c r="AB34" i="42"/>
  <c r="AA35" i="42"/>
  <c r="AB35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AA36" i="42"/>
  <c r="AB36" i="42"/>
  <c r="AA37" i="42"/>
  <c r="AB37" i="42"/>
  <c r="AA38" i="42"/>
  <c r="AB38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T39" i="42"/>
  <c r="U39" i="42"/>
  <c r="V39" i="42"/>
  <c r="W39" i="42"/>
  <c r="X39" i="42"/>
  <c r="Y39" i="42"/>
  <c r="AA39" i="42"/>
  <c r="AB39" i="42"/>
  <c r="AA40" i="42"/>
  <c r="AB40" i="42"/>
  <c r="F41" i="42"/>
  <c r="G41" i="42"/>
  <c r="H41" i="42"/>
  <c r="I41" i="42"/>
  <c r="J41" i="42"/>
  <c r="K41" i="42"/>
  <c r="L41" i="42"/>
  <c r="M41" i="42"/>
  <c r="N41" i="42"/>
  <c r="O41" i="42"/>
  <c r="P41" i="42"/>
  <c r="Q41" i="42"/>
  <c r="R41" i="42"/>
  <c r="S41" i="42"/>
  <c r="T41" i="42"/>
  <c r="U41" i="42"/>
  <c r="V41" i="42"/>
  <c r="W41" i="42"/>
  <c r="X41" i="42"/>
  <c r="Y41" i="42"/>
  <c r="AA41" i="42"/>
  <c r="AB41" i="42"/>
  <c r="AA42" i="42"/>
  <c r="AB42" i="42"/>
  <c r="AA43" i="42"/>
  <c r="AB43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R44" i="42"/>
  <c r="S44" i="42"/>
  <c r="T44" i="42"/>
  <c r="U44" i="42"/>
  <c r="V44" i="42"/>
  <c r="W44" i="42"/>
  <c r="X44" i="42"/>
  <c r="Y44" i="42"/>
  <c r="AA44" i="42"/>
  <c r="AB44" i="42"/>
  <c r="AA45" i="42"/>
  <c r="AB45" i="42"/>
  <c r="AA46" i="42"/>
  <c r="AB46" i="42"/>
  <c r="AA47" i="42"/>
  <c r="AB47" i="42"/>
  <c r="AA48" i="42"/>
  <c r="AB48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AA49" i="42"/>
  <c r="AB49" i="42"/>
  <c r="AA50" i="42"/>
  <c r="AB50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R51" i="42"/>
  <c r="S51" i="42"/>
  <c r="T51" i="42"/>
  <c r="U51" i="42"/>
  <c r="V51" i="42"/>
  <c r="W51" i="42"/>
  <c r="X51" i="42"/>
  <c r="Y51" i="42"/>
  <c r="AA51" i="42"/>
  <c r="AB51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R52" i="42"/>
  <c r="S52" i="42"/>
  <c r="T52" i="42"/>
  <c r="U52" i="42"/>
  <c r="V52" i="42"/>
  <c r="W52" i="42"/>
  <c r="X52" i="42"/>
  <c r="Y52" i="42"/>
  <c r="AA52" i="42"/>
  <c r="AB52" i="42"/>
  <c r="AA53" i="42"/>
  <c r="AB53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R54" i="42"/>
  <c r="S54" i="42"/>
  <c r="T54" i="42"/>
  <c r="U54" i="42"/>
  <c r="V54" i="42"/>
  <c r="W54" i="42"/>
  <c r="X54" i="42"/>
  <c r="Y54" i="42"/>
  <c r="AA54" i="42"/>
  <c r="AB54" i="42"/>
  <c r="AA55" i="42"/>
  <c r="AB55" i="42"/>
  <c r="AA56" i="42"/>
  <c r="AB56" i="42"/>
  <c r="AA57" i="42"/>
  <c r="AB57" i="42"/>
  <c r="AA58" i="42"/>
  <c r="AB58" i="42"/>
  <c r="AA59" i="42"/>
  <c r="AB59" i="42"/>
  <c r="AA60" i="42"/>
  <c r="AB60" i="42"/>
  <c r="AA61" i="42"/>
  <c r="AB61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AA62" i="42"/>
  <c r="AB62" i="42"/>
  <c r="AA63" i="42"/>
  <c r="AB63" i="42"/>
  <c r="E64" i="42"/>
  <c r="F64" i="42"/>
  <c r="G64" i="42"/>
  <c r="H64" i="42"/>
  <c r="I64" i="42"/>
  <c r="J64" i="42"/>
  <c r="K64" i="42"/>
  <c r="L64" i="42"/>
  <c r="M64" i="42"/>
  <c r="N64" i="42"/>
  <c r="O64" i="42"/>
  <c r="P64" i="42"/>
  <c r="Q64" i="42"/>
  <c r="R64" i="42"/>
  <c r="S64" i="42"/>
  <c r="T64" i="42"/>
  <c r="U64" i="42"/>
  <c r="V64" i="42"/>
  <c r="W64" i="42"/>
  <c r="X64" i="42"/>
  <c r="Y64" i="42"/>
  <c r="AA64" i="42"/>
  <c r="AB64" i="42"/>
  <c r="AA65" i="42"/>
  <c r="AB65" i="42"/>
  <c r="AA66" i="42"/>
  <c r="AB66" i="42"/>
  <c r="AA67" i="42"/>
  <c r="AB67" i="42"/>
  <c r="AA68" i="42"/>
  <c r="AB68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R69" i="42"/>
  <c r="S69" i="42"/>
  <c r="T69" i="42"/>
  <c r="U69" i="42"/>
  <c r="V69" i="42"/>
  <c r="W69" i="42"/>
  <c r="X69" i="42"/>
  <c r="Y69" i="42"/>
  <c r="AA69" i="42"/>
  <c r="AB69" i="42"/>
  <c r="AA70" i="42"/>
  <c r="AB70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R71" i="42"/>
  <c r="S71" i="42"/>
  <c r="T71" i="42"/>
  <c r="U71" i="42"/>
  <c r="V71" i="42"/>
  <c r="W71" i="42"/>
  <c r="X71" i="42"/>
  <c r="Y71" i="42"/>
  <c r="AA71" i="42"/>
  <c r="AB71" i="42"/>
  <c r="AA72" i="42"/>
  <c r="AB72" i="42"/>
  <c r="E73" i="42"/>
  <c r="F73" i="42"/>
  <c r="G73" i="42"/>
  <c r="H73" i="42"/>
  <c r="I73" i="42"/>
  <c r="J73" i="42"/>
  <c r="K73" i="42"/>
  <c r="L73" i="42"/>
  <c r="M73" i="42"/>
  <c r="N73" i="42"/>
  <c r="O73" i="42"/>
  <c r="P73" i="42"/>
  <c r="Q73" i="42"/>
  <c r="R73" i="42"/>
  <c r="S73" i="42"/>
  <c r="T73" i="42"/>
  <c r="U73" i="42"/>
  <c r="V73" i="42"/>
  <c r="W73" i="42"/>
  <c r="X73" i="42"/>
  <c r="Y73" i="42"/>
  <c r="AA73" i="42"/>
  <c r="AB73" i="42"/>
  <c r="AA74" i="42"/>
  <c r="AB74" i="42"/>
  <c r="AA75" i="42"/>
  <c r="AB75" i="42"/>
  <c r="C76" i="42"/>
  <c r="E76" i="42"/>
  <c r="F76" i="42"/>
  <c r="G76" i="42"/>
  <c r="H76" i="42"/>
  <c r="I76" i="42"/>
  <c r="J76" i="42"/>
  <c r="K76" i="42"/>
  <c r="L76" i="42"/>
  <c r="M76" i="42"/>
  <c r="N76" i="42"/>
  <c r="O76" i="42"/>
  <c r="P76" i="42"/>
  <c r="Q76" i="42"/>
  <c r="R76" i="42"/>
  <c r="S76" i="42"/>
  <c r="T76" i="42"/>
  <c r="U76" i="42"/>
  <c r="V76" i="42"/>
  <c r="W76" i="42"/>
  <c r="X76" i="42"/>
  <c r="Y76" i="42"/>
  <c r="AA76" i="42"/>
  <c r="AB76" i="42"/>
  <c r="C77" i="42"/>
  <c r="E77" i="42"/>
  <c r="F77" i="42"/>
  <c r="G77" i="42"/>
  <c r="H77" i="42"/>
  <c r="I77" i="42"/>
  <c r="J77" i="42"/>
  <c r="K77" i="42"/>
  <c r="L77" i="42"/>
  <c r="M77" i="42"/>
  <c r="N77" i="42"/>
  <c r="O77" i="42"/>
  <c r="P77" i="42"/>
  <c r="Q77" i="42"/>
  <c r="R77" i="42"/>
  <c r="S77" i="42"/>
  <c r="T77" i="42"/>
  <c r="U77" i="42"/>
  <c r="V77" i="42"/>
  <c r="W77" i="42"/>
  <c r="X77" i="42"/>
  <c r="Y77" i="42"/>
  <c r="AA77" i="42"/>
  <c r="AB77" i="42"/>
  <c r="AA78" i="42"/>
  <c r="AB78" i="42"/>
  <c r="AA79" i="42"/>
  <c r="AB79" i="42"/>
  <c r="AA80" i="42"/>
  <c r="AB80" i="42"/>
  <c r="AA81" i="42"/>
  <c r="AB81" i="42"/>
  <c r="AA82" i="42"/>
  <c r="AB82" i="42"/>
  <c r="AA83" i="42"/>
  <c r="AB83" i="42"/>
  <c r="AA84" i="42"/>
  <c r="AB84" i="42"/>
  <c r="AA85" i="42"/>
  <c r="AB85" i="42"/>
  <c r="E86" i="42"/>
  <c r="F86" i="42"/>
  <c r="G86" i="42"/>
  <c r="H86" i="42"/>
  <c r="I86" i="42"/>
  <c r="J86" i="42"/>
  <c r="K86" i="42"/>
  <c r="L86" i="42"/>
  <c r="M86" i="42"/>
  <c r="N86" i="42"/>
  <c r="O86" i="42"/>
  <c r="P86" i="42"/>
  <c r="Q86" i="42"/>
  <c r="R86" i="42"/>
  <c r="S86" i="42"/>
  <c r="T86" i="42"/>
  <c r="U86" i="42"/>
  <c r="V86" i="42"/>
  <c r="W86" i="42"/>
  <c r="X86" i="42"/>
  <c r="Y86" i="42"/>
  <c r="AA86" i="42"/>
  <c r="AB86" i="42"/>
  <c r="AA87" i="42"/>
  <c r="AB87" i="42"/>
  <c r="F88" i="42"/>
  <c r="G88" i="42"/>
  <c r="H88" i="42"/>
  <c r="I88" i="42"/>
  <c r="J88" i="42"/>
  <c r="K88" i="42"/>
  <c r="L88" i="42"/>
  <c r="M88" i="42"/>
  <c r="N88" i="42"/>
  <c r="O88" i="42"/>
  <c r="P88" i="42"/>
  <c r="Q88" i="42"/>
  <c r="R88" i="42"/>
  <c r="S88" i="42"/>
  <c r="T88" i="42"/>
  <c r="U88" i="42"/>
  <c r="V88" i="42"/>
  <c r="W88" i="42"/>
  <c r="X88" i="42"/>
  <c r="Y88" i="42"/>
  <c r="AA88" i="42"/>
  <c r="AB88" i="42"/>
  <c r="F89" i="42"/>
  <c r="G89" i="42"/>
  <c r="H89" i="42"/>
  <c r="I89" i="42"/>
  <c r="J89" i="42"/>
  <c r="K89" i="42"/>
  <c r="L89" i="42"/>
  <c r="M89" i="42"/>
  <c r="N89" i="42"/>
  <c r="O89" i="42"/>
  <c r="P89" i="42"/>
  <c r="Q89" i="42"/>
  <c r="R89" i="42"/>
  <c r="S89" i="42"/>
  <c r="T89" i="42"/>
  <c r="U89" i="42"/>
  <c r="V89" i="42"/>
  <c r="W89" i="42"/>
  <c r="X89" i="42"/>
  <c r="Y89" i="42"/>
  <c r="AA89" i="42"/>
  <c r="AB89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0" i="42"/>
  <c r="AB90" i="42"/>
  <c r="U91" i="42"/>
  <c r="AA91" i="42"/>
  <c r="AB91" i="42"/>
  <c r="F92" i="42"/>
  <c r="G92" i="42"/>
  <c r="H92" i="42"/>
  <c r="I92" i="42"/>
  <c r="J92" i="42"/>
  <c r="K92" i="42"/>
  <c r="L92" i="42"/>
  <c r="M92" i="42"/>
  <c r="N92" i="42"/>
  <c r="O92" i="42"/>
  <c r="P92" i="42"/>
  <c r="Q92" i="42"/>
  <c r="R92" i="42"/>
  <c r="S92" i="42"/>
  <c r="T92" i="42"/>
  <c r="U92" i="42"/>
  <c r="V92" i="42"/>
  <c r="W92" i="42"/>
  <c r="X92" i="42"/>
  <c r="Y92" i="42"/>
  <c r="AA92" i="42"/>
  <c r="AB92" i="42"/>
  <c r="AA93" i="42"/>
  <c r="AB93" i="42"/>
  <c r="AA94" i="42"/>
  <c r="AB94" i="42"/>
  <c r="E95" i="42"/>
  <c r="Y95" i="42"/>
  <c r="AA95" i="42"/>
  <c r="AB95" i="42"/>
  <c r="AA96" i="42"/>
  <c r="AB96" i="42"/>
  <c r="Y97" i="42"/>
  <c r="AA97" i="42"/>
  <c r="AB97" i="42"/>
  <c r="AA98" i="42"/>
  <c r="AB98" i="42"/>
  <c r="Y99" i="42"/>
  <c r="AA99" i="42"/>
  <c r="AB99" i="42"/>
  <c r="AA100" i="42"/>
  <c r="AB100" i="42"/>
  <c r="AA101" i="42"/>
  <c r="AB101" i="42"/>
  <c r="D102" i="42"/>
  <c r="AA102" i="42"/>
  <c r="AB102" i="42"/>
  <c r="D103" i="42"/>
  <c r="AA103" i="42"/>
  <c r="AB103" i="42"/>
  <c r="AA104" i="42"/>
  <c r="AB104" i="42"/>
  <c r="D105" i="42"/>
  <c r="AA105" i="42"/>
  <c r="AB105" i="42"/>
  <c r="AA106" i="42"/>
  <c r="AB106" i="42"/>
  <c r="F107" i="42"/>
  <c r="G107" i="42"/>
  <c r="H107" i="42"/>
  <c r="I107" i="42"/>
  <c r="J107" i="42"/>
  <c r="K107" i="42"/>
  <c r="L107" i="42"/>
  <c r="M107" i="42"/>
  <c r="N107" i="42"/>
  <c r="O107" i="42"/>
  <c r="P107" i="42"/>
  <c r="Q107" i="42"/>
  <c r="R107" i="42"/>
  <c r="S107" i="42"/>
  <c r="T107" i="42"/>
  <c r="U107" i="42"/>
  <c r="V107" i="42"/>
  <c r="W107" i="42"/>
  <c r="X107" i="42"/>
  <c r="Y107" i="42"/>
  <c r="AA107" i="42"/>
  <c r="AB107" i="42"/>
  <c r="AA108" i="42"/>
  <c r="AB108" i="42"/>
  <c r="D109" i="42"/>
  <c r="F109" i="42"/>
  <c r="G109" i="42"/>
  <c r="H109" i="42"/>
  <c r="I109" i="42"/>
  <c r="J109" i="42"/>
  <c r="K109" i="42"/>
  <c r="L109" i="42"/>
  <c r="M109" i="42"/>
  <c r="N109" i="42"/>
  <c r="O109" i="42"/>
  <c r="P109" i="42"/>
  <c r="Q109" i="42"/>
  <c r="R109" i="42"/>
  <c r="S109" i="42"/>
  <c r="T109" i="42"/>
  <c r="U109" i="42"/>
  <c r="AA109" i="42"/>
  <c r="AB109" i="42"/>
  <c r="D110" i="42"/>
  <c r="F110" i="42"/>
  <c r="G110" i="42"/>
  <c r="H110" i="42"/>
  <c r="I110" i="42"/>
  <c r="J110" i="42"/>
  <c r="K110" i="42"/>
  <c r="L110" i="42"/>
  <c r="M110" i="42"/>
  <c r="N110" i="42"/>
  <c r="O110" i="42"/>
  <c r="P110" i="42"/>
  <c r="Q110" i="42"/>
  <c r="R110" i="42"/>
  <c r="S110" i="42"/>
  <c r="T110" i="42"/>
  <c r="U110" i="42"/>
  <c r="AA110" i="42"/>
  <c r="AB110" i="42"/>
  <c r="AA111" i="42"/>
  <c r="AB111" i="42"/>
  <c r="AA112" i="42"/>
  <c r="AB112" i="42"/>
  <c r="D113" i="42"/>
  <c r="AA113" i="42"/>
  <c r="AB113" i="42"/>
  <c r="AA114" i="42"/>
  <c r="AB114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R115" i="42"/>
  <c r="S115" i="42"/>
  <c r="T115" i="42"/>
  <c r="U115" i="42"/>
  <c r="AA115" i="42"/>
  <c r="AB115" i="42"/>
  <c r="D116" i="42"/>
  <c r="F116" i="42"/>
  <c r="G116" i="42"/>
  <c r="H116" i="42"/>
  <c r="I116" i="42"/>
  <c r="J116" i="42"/>
  <c r="K116" i="42"/>
  <c r="L116" i="42"/>
  <c r="M116" i="42"/>
  <c r="N116" i="42"/>
  <c r="O116" i="42"/>
  <c r="P116" i="42"/>
  <c r="Q116" i="42"/>
  <c r="R116" i="42"/>
  <c r="S116" i="42"/>
  <c r="T116" i="42"/>
  <c r="U116" i="42"/>
  <c r="AA116" i="42"/>
  <c r="AB116" i="42"/>
  <c r="AA117" i="42"/>
  <c r="AB117" i="42"/>
  <c r="AA118" i="42"/>
  <c r="AB118" i="42"/>
  <c r="F119" i="42"/>
  <c r="G119" i="42"/>
  <c r="H119" i="42"/>
  <c r="I119" i="42"/>
  <c r="J119" i="42"/>
  <c r="K119" i="42"/>
  <c r="L119" i="42"/>
  <c r="M119" i="42"/>
  <c r="N119" i="42"/>
  <c r="O119" i="42"/>
  <c r="P119" i="42"/>
  <c r="Q119" i="42"/>
  <c r="R119" i="42"/>
  <c r="S119" i="42"/>
  <c r="T119" i="42"/>
  <c r="U119" i="42"/>
  <c r="V119" i="42"/>
  <c r="W119" i="42"/>
  <c r="X119" i="42"/>
  <c r="Y119" i="42"/>
  <c r="AA119" i="42"/>
  <c r="AB119" i="42"/>
  <c r="AA120" i="42"/>
  <c r="AB120" i="42"/>
  <c r="A121" i="42"/>
  <c r="F121" i="42"/>
  <c r="G121" i="42"/>
  <c r="H121" i="42"/>
  <c r="I121" i="42"/>
  <c r="J121" i="42"/>
  <c r="K121" i="42"/>
  <c r="L121" i="42"/>
  <c r="M121" i="42"/>
  <c r="N121" i="42"/>
  <c r="O121" i="42"/>
  <c r="P121" i="42"/>
  <c r="Q121" i="42"/>
  <c r="R121" i="42"/>
  <c r="S121" i="42"/>
  <c r="T121" i="42"/>
  <c r="U121" i="42"/>
  <c r="V121" i="42"/>
  <c r="W121" i="42"/>
  <c r="X121" i="42"/>
  <c r="Y121" i="42"/>
  <c r="AA121" i="42"/>
  <c r="AB121" i="42"/>
  <c r="F122" i="42"/>
  <c r="G122" i="42"/>
  <c r="H122" i="42"/>
  <c r="I122" i="42"/>
  <c r="J122" i="42"/>
  <c r="K122" i="42"/>
  <c r="L122" i="42"/>
  <c r="M122" i="42"/>
  <c r="N122" i="42"/>
  <c r="O122" i="42"/>
  <c r="P122" i="42"/>
  <c r="Q122" i="42"/>
  <c r="R122" i="42"/>
  <c r="S122" i="42"/>
  <c r="T122" i="42"/>
  <c r="U122" i="42"/>
  <c r="V122" i="42"/>
  <c r="W122" i="42"/>
  <c r="X122" i="42"/>
  <c r="Y122" i="42"/>
  <c r="AA122" i="42"/>
  <c r="AB122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AA123" i="42"/>
  <c r="AB123" i="42"/>
  <c r="F124" i="42"/>
  <c r="G124" i="42"/>
  <c r="H124" i="42"/>
  <c r="I124" i="42"/>
  <c r="J124" i="42"/>
  <c r="K124" i="42"/>
  <c r="L124" i="42"/>
  <c r="M124" i="42"/>
  <c r="N124" i="42"/>
  <c r="O124" i="42"/>
  <c r="P124" i="42"/>
  <c r="Q124" i="42"/>
  <c r="R124" i="42"/>
  <c r="S124" i="42"/>
  <c r="T124" i="42"/>
  <c r="U124" i="42"/>
  <c r="V124" i="42"/>
  <c r="W124" i="42"/>
  <c r="X124" i="42"/>
  <c r="Y124" i="42"/>
  <c r="AA124" i="42"/>
  <c r="AB124" i="42"/>
  <c r="AA125" i="42"/>
  <c r="AB125" i="42"/>
  <c r="C126" i="42"/>
  <c r="F126" i="42"/>
  <c r="G126" i="42"/>
  <c r="H126" i="42"/>
  <c r="I126" i="42"/>
  <c r="J126" i="42"/>
  <c r="K126" i="42"/>
  <c r="L126" i="42"/>
  <c r="M126" i="42"/>
  <c r="N126" i="42"/>
  <c r="O126" i="42"/>
  <c r="P126" i="42"/>
  <c r="Q126" i="42"/>
  <c r="R126" i="42"/>
  <c r="S126" i="42"/>
  <c r="T126" i="42"/>
  <c r="U126" i="42"/>
  <c r="V126" i="42"/>
  <c r="W126" i="42"/>
  <c r="X126" i="42"/>
  <c r="Y126" i="42"/>
  <c r="AA126" i="42"/>
  <c r="AB126" i="42"/>
  <c r="C127" i="42"/>
  <c r="F127" i="42"/>
  <c r="G127" i="42"/>
  <c r="H127" i="42"/>
  <c r="I127" i="42"/>
  <c r="J127" i="42"/>
  <c r="K127" i="42"/>
  <c r="L127" i="42"/>
  <c r="M127" i="42"/>
  <c r="N127" i="42"/>
  <c r="O127" i="42"/>
  <c r="P127" i="42"/>
  <c r="Q127" i="42"/>
  <c r="R127" i="42"/>
  <c r="S127" i="42"/>
  <c r="T127" i="42"/>
  <c r="U127" i="42"/>
  <c r="V127" i="42"/>
  <c r="W127" i="42"/>
  <c r="X127" i="42"/>
  <c r="Y127" i="42"/>
  <c r="AA127" i="42"/>
  <c r="AB127" i="42"/>
  <c r="AA128" i="42"/>
  <c r="AB128" i="42"/>
  <c r="AA129" i="42"/>
  <c r="AB129" i="42"/>
  <c r="AA130" i="42"/>
  <c r="AB130" i="42"/>
  <c r="AA131" i="42"/>
  <c r="AB131" i="42"/>
  <c r="AA132" i="42"/>
  <c r="AB132" i="42"/>
  <c r="AA133" i="42"/>
  <c r="AB133" i="42"/>
  <c r="AA134" i="42"/>
  <c r="AB134" i="42"/>
  <c r="F135" i="42"/>
  <c r="G135" i="42"/>
  <c r="H135" i="42"/>
  <c r="I135" i="42"/>
  <c r="J135" i="42"/>
  <c r="K135" i="42"/>
  <c r="L135" i="42"/>
  <c r="M135" i="42"/>
  <c r="N135" i="42"/>
  <c r="O135" i="42"/>
  <c r="P135" i="42"/>
  <c r="Q135" i="42"/>
  <c r="R135" i="42"/>
  <c r="S135" i="42"/>
  <c r="T135" i="42"/>
  <c r="U135" i="42"/>
  <c r="V135" i="42"/>
  <c r="W135" i="42"/>
  <c r="X135" i="42"/>
  <c r="Y135" i="42"/>
  <c r="AA135" i="42"/>
  <c r="AB135" i="42"/>
  <c r="AA136" i="42"/>
  <c r="AB136" i="42"/>
  <c r="F137" i="42"/>
  <c r="G137" i="42"/>
  <c r="H137" i="42"/>
  <c r="I137" i="42"/>
  <c r="J137" i="42"/>
  <c r="K137" i="42"/>
  <c r="L137" i="42"/>
  <c r="M137" i="42"/>
  <c r="N137" i="42"/>
  <c r="O137" i="42"/>
  <c r="P137" i="42"/>
  <c r="Q137" i="42"/>
  <c r="R137" i="42"/>
  <c r="S137" i="42"/>
  <c r="T137" i="42"/>
  <c r="U137" i="42"/>
  <c r="V137" i="42"/>
  <c r="W137" i="42"/>
  <c r="X137" i="42"/>
  <c r="Y137" i="42"/>
  <c r="AA137" i="42"/>
  <c r="AB137" i="42"/>
  <c r="F138" i="42"/>
  <c r="G138" i="42"/>
  <c r="H138" i="42"/>
  <c r="I138" i="42"/>
  <c r="J138" i="42"/>
  <c r="K138" i="42"/>
  <c r="L138" i="42"/>
  <c r="M138" i="42"/>
  <c r="N138" i="42"/>
  <c r="O138" i="42"/>
  <c r="P138" i="42"/>
  <c r="Q138" i="42"/>
  <c r="R138" i="42"/>
  <c r="S138" i="42"/>
  <c r="T138" i="42"/>
  <c r="U138" i="42"/>
  <c r="V138" i="42"/>
  <c r="W138" i="42"/>
  <c r="X138" i="42"/>
  <c r="Y138" i="42"/>
  <c r="AA138" i="42"/>
  <c r="AB138" i="42"/>
  <c r="F139" i="42"/>
  <c r="G139" i="42"/>
  <c r="H139" i="42"/>
  <c r="I139" i="42"/>
  <c r="J139" i="42"/>
  <c r="K139" i="42"/>
  <c r="L139" i="42"/>
  <c r="M139" i="42"/>
  <c r="N139" i="42"/>
  <c r="O139" i="42"/>
  <c r="P139" i="42"/>
  <c r="Q139" i="42"/>
  <c r="R139" i="42"/>
  <c r="S139" i="42"/>
  <c r="T139" i="42"/>
  <c r="U139" i="42"/>
  <c r="V139" i="42"/>
  <c r="W139" i="42"/>
  <c r="X139" i="42"/>
  <c r="Y139" i="42"/>
  <c r="AA139" i="42"/>
  <c r="AB139" i="42"/>
  <c r="C140" i="42"/>
  <c r="F140" i="42"/>
  <c r="G140" i="42"/>
  <c r="H140" i="42"/>
  <c r="I140" i="42"/>
  <c r="J140" i="42"/>
  <c r="K140" i="42"/>
  <c r="L140" i="42"/>
  <c r="M140" i="42"/>
  <c r="N140" i="42"/>
  <c r="O140" i="42"/>
  <c r="P140" i="42"/>
  <c r="Q140" i="42"/>
  <c r="R140" i="42"/>
  <c r="S140" i="42"/>
  <c r="T140" i="42"/>
  <c r="U140" i="42"/>
  <c r="V140" i="42"/>
  <c r="W140" i="42"/>
  <c r="X140" i="42"/>
  <c r="Y140" i="42"/>
  <c r="AA140" i="42"/>
  <c r="AB140" i="42"/>
  <c r="C141" i="42"/>
  <c r="F141" i="42"/>
  <c r="G141" i="42"/>
  <c r="H141" i="42"/>
  <c r="I141" i="42"/>
  <c r="J141" i="42"/>
  <c r="K141" i="42"/>
  <c r="L141" i="42"/>
  <c r="M141" i="42"/>
  <c r="N141" i="42"/>
  <c r="O141" i="42"/>
  <c r="P141" i="42"/>
  <c r="Q141" i="42"/>
  <c r="R141" i="42"/>
  <c r="S141" i="42"/>
  <c r="T141" i="42"/>
  <c r="U141" i="42"/>
  <c r="V141" i="42"/>
  <c r="W141" i="42"/>
  <c r="X141" i="42"/>
  <c r="Y141" i="42"/>
  <c r="AA141" i="42"/>
  <c r="AB141" i="42"/>
  <c r="F142" i="42"/>
  <c r="G142" i="42"/>
  <c r="H142" i="42"/>
  <c r="I142" i="42"/>
  <c r="J142" i="42"/>
  <c r="K142" i="42"/>
  <c r="L142" i="42"/>
  <c r="M142" i="42"/>
  <c r="N142" i="42"/>
  <c r="O142" i="42"/>
  <c r="P142" i="42"/>
  <c r="Q142" i="42"/>
  <c r="R142" i="42"/>
  <c r="S142" i="42"/>
  <c r="T142" i="42"/>
  <c r="U142" i="42"/>
  <c r="V142" i="42"/>
  <c r="W142" i="42"/>
  <c r="X142" i="42"/>
  <c r="Y142" i="42"/>
  <c r="AA142" i="42"/>
  <c r="AB142" i="42"/>
  <c r="AA143" i="42"/>
  <c r="AB143" i="42"/>
  <c r="A144" i="42"/>
  <c r="F144" i="42"/>
  <c r="G144" i="42"/>
  <c r="H144" i="42"/>
  <c r="I144" i="42"/>
  <c r="J144" i="42"/>
  <c r="K144" i="42"/>
  <c r="L144" i="42"/>
  <c r="M144" i="42"/>
  <c r="N144" i="42"/>
  <c r="O144" i="42"/>
  <c r="P144" i="42"/>
  <c r="Q144" i="42"/>
  <c r="R144" i="42"/>
  <c r="S144" i="42"/>
  <c r="T144" i="42"/>
  <c r="U144" i="42"/>
  <c r="V144" i="42"/>
  <c r="W144" i="42"/>
  <c r="X144" i="42"/>
  <c r="Y144" i="42"/>
  <c r="AA144" i="42"/>
  <c r="AB144" i="42"/>
  <c r="F145" i="42"/>
  <c r="G145" i="42"/>
  <c r="H145" i="42"/>
  <c r="I145" i="42"/>
  <c r="J145" i="42"/>
  <c r="K145" i="42"/>
  <c r="L145" i="42"/>
  <c r="M145" i="42"/>
  <c r="N145" i="42"/>
  <c r="O145" i="42"/>
  <c r="P145" i="42"/>
  <c r="Q145" i="42"/>
  <c r="R145" i="42"/>
  <c r="S145" i="42"/>
  <c r="T145" i="42"/>
  <c r="U145" i="42"/>
  <c r="V145" i="42"/>
  <c r="W145" i="42"/>
  <c r="X145" i="42"/>
  <c r="Y145" i="42"/>
  <c r="AA145" i="42"/>
  <c r="AB145" i="42"/>
  <c r="AA146" i="42"/>
  <c r="AB146" i="42"/>
  <c r="AA147" i="42"/>
  <c r="AB147" i="42"/>
  <c r="AA148" i="42"/>
  <c r="AB148" i="42"/>
  <c r="AA149" i="42"/>
  <c r="AB149" i="42"/>
  <c r="A150" i="42"/>
  <c r="F150" i="42"/>
  <c r="G150" i="42"/>
  <c r="H150" i="42"/>
  <c r="I150" i="42"/>
  <c r="J150" i="42"/>
  <c r="K150" i="42"/>
  <c r="L150" i="42"/>
  <c r="M150" i="42"/>
  <c r="N150" i="42"/>
  <c r="O150" i="42"/>
  <c r="P150" i="42"/>
  <c r="Q150" i="42"/>
  <c r="R150" i="42"/>
  <c r="S150" i="42"/>
  <c r="T150" i="42"/>
  <c r="U150" i="42"/>
  <c r="V150" i="42"/>
  <c r="W150" i="42"/>
  <c r="X150" i="42"/>
  <c r="Y150" i="42"/>
  <c r="AA150" i="42"/>
  <c r="AB150" i="42"/>
  <c r="AA151" i="42"/>
  <c r="AB151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R152" i="42"/>
  <c r="S152" i="42"/>
  <c r="T152" i="42"/>
  <c r="U152" i="42"/>
  <c r="V152" i="42"/>
  <c r="W152" i="42"/>
  <c r="X152" i="42"/>
  <c r="Y152" i="42"/>
  <c r="AA152" i="42"/>
  <c r="C155" i="42"/>
  <c r="C156" i="42"/>
  <c r="D160" i="42"/>
  <c r="D162" i="42"/>
  <c r="D163" i="42"/>
</calcChain>
</file>

<file path=xl/comments1.xml><?xml version="1.0" encoding="utf-8"?>
<comments xmlns="http://schemas.openxmlformats.org/spreadsheetml/2006/main">
  <authors>
    <author>WDISPATCH</author>
  </authors>
  <commentList>
    <comment ref="E25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Reclassed $15,000 from G&amp;A to Fixed O&amp;M from budget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H420" authorId="0" shapeId="0">
      <text>
        <r>
          <rPr>
            <sz val="8"/>
            <color indexed="81"/>
            <rFont val="Tahoma"/>
          </rPr>
          <t>Calculation prepared here to account from non-deduction of book depreciation.</t>
        </r>
      </text>
    </comment>
    <comment ref="B488" authorId="0" shapeId="0">
      <text>
        <r>
          <rPr>
            <sz val="8"/>
            <color indexed="81"/>
            <rFont val="Tahoma"/>
          </rPr>
          <t>Management Fee Toggle</t>
        </r>
      </text>
    </comment>
    <comment ref="A509" authorId="0" shapeId="0">
      <text>
        <r>
          <rPr>
            <sz val="8"/>
            <color indexed="81"/>
            <rFont val="Tahoma"/>
          </rPr>
          <t>Depletion Sheets are driven off of Summary sheet so reflect CE share of each project</t>
        </r>
      </text>
    </comment>
    <comment ref="H514" authorId="0" shapeId="0">
      <text>
        <r>
          <rPr>
            <sz val="8"/>
            <color indexed="81"/>
            <rFont val="Tahoma"/>
          </rPr>
          <t>Eliminated due to CapEx related to well drilling</t>
        </r>
      </text>
    </comment>
  </commentList>
</comments>
</file>

<file path=xl/comments3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<sst xmlns="http://schemas.openxmlformats.org/spreadsheetml/2006/main" count="4715" uniqueCount="791">
  <si>
    <t>SL</t>
  </si>
  <si>
    <t>Fixed O&amp;M</t>
  </si>
  <si>
    <t>Major Maintenance &amp; Ongoing Capex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</si>
  <si>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</si>
  <si>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</si>
  <si>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</si>
  <si>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</si>
  <si>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</si>
  <si>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</si>
  <si>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</si>
  <si>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</si>
  <si>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</si>
  <si>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</si>
  <si>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</si>
  <si>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</si>
  <si>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</si>
  <si>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</si>
  <si>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Fuel 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</si>
  <si>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</si>
  <si>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</si>
  <si>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</si>
  <si>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</si>
  <si>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</si>
  <si>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</si>
  <si>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</si>
  <si>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</si>
  <si>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</si>
  <si>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</si>
  <si>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</si>
  <si>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</si>
  <si>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</si>
  <si>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CASH FLOW</t>
  </si>
  <si>
    <t>Capital Expenditures</t>
  </si>
  <si>
    <t>Debt Service</t>
  </si>
  <si>
    <t>Pre Tax Cash Flow</t>
  </si>
  <si>
    <t>After Tax Cash Flow</t>
  </si>
  <si>
    <t>Utility Start Up Power</t>
  </si>
  <si>
    <t>Property, Other Taxes</t>
  </si>
  <si>
    <t>Debt Service L/C Fee</t>
  </si>
  <si>
    <t>Investor Interest</t>
  </si>
  <si>
    <t xml:space="preserve"> Cash Taxes Benefit (Expense)</t>
  </si>
  <si>
    <t>INCOME STATEMENT - Doswell</t>
  </si>
  <si>
    <t>CASH FLOW - Doswell</t>
  </si>
  <si>
    <t>INCOME STATEMENT - Cherokee</t>
  </si>
  <si>
    <t>CASH FLOW - Cherokee</t>
  </si>
  <si>
    <t>Fuel  (Includes Fixed Transportation)</t>
  </si>
  <si>
    <t>Major Maintenance &amp; Ongoing Capex (Cash)</t>
  </si>
  <si>
    <t>Utility Start Up Power (included in O&amp;M)</t>
  </si>
  <si>
    <t>FPLE Net Income</t>
  </si>
  <si>
    <t>Tax Depreciation - Based on Value or Current</t>
  </si>
  <si>
    <t>FPLE Interest</t>
  </si>
  <si>
    <t>INCOME STATEMENT - Doswell CT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</si>
  <si>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</si>
  <si>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</si>
  <si>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</si>
  <si>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</si>
  <si>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</si>
  <si>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</si>
  <si>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</si>
  <si>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</si>
  <si>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</si>
  <si>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</si>
  <si>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</si>
  <si>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</si>
  <si>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</si>
  <si>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</si>
  <si>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</si>
  <si>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</si>
  <si>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</si>
  <si>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</si>
  <si>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</si>
  <si>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</si>
  <si>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</si>
  <si>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</si>
  <si>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</si>
  <si>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</si>
  <si>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</si>
  <si>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</si>
  <si>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</si>
  <si>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</si>
  <si>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</si>
  <si>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</si>
  <si>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</si>
  <si>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</si>
  <si>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</si>
  <si>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</si>
  <si>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</si>
  <si>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</si>
  <si>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</si>
  <si>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CASH FLOW - Doswell CT</t>
  </si>
  <si>
    <t>Interest Income - Loan Receivable</t>
  </si>
  <si>
    <t xml:space="preserve">   Total FPLE Net Income</t>
  </si>
  <si>
    <t>Project Interest Expense</t>
  </si>
  <si>
    <t>Other Payment</t>
  </si>
  <si>
    <t>2016 EBITDA</t>
  </si>
  <si>
    <t>FPLE Financial Summary</t>
  </si>
  <si>
    <t>-  Operating Merchant Assets</t>
  </si>
  <si>
    <t>Lamar</t>
  </si>
  <si>
    <t>Marcus Hook 50</t>
  </si>
  <si>
    <t>-  Operating Contract Assets</t>
  </si>
  <si>
    <t>Doswell</t>
  </si>
  <si>
    <t>Wind</t>
  </si>
  <si>
    <t>Segs</t>
  </si>
  <si>
    <t>Bellingham/Sayreville</t>
  </si>
  <si>
    <t>Cherokee</t>
  </si>
  <si>
    <t>Net MW</t>
  </si>
  <si>
    <t>INCOME STATEMENT - Lamar</t>
  </si>
  <si>
    <t>CASH FLOW - Lamar</t>
  </si>
  <si>
    <t>INCOME STATEMENT - Marcus Hook 50</t>
  </si>
  <si>
    <t>CASH FLOW - Marcus Hook 50</t>
  </si>
  <si>
    <t>Depreciation Rate: 20 Year 150% MACRS HY</t>
  </si>
  <si>
    <t>Other Payment (Includes Steam &amp; Hedge Savings)</t>
  </si>
  <si>
    <t>INCOME STATEMENT - NELP Bellingham &amp; Sayreville</t>
  </si>
  <si>
    <t>CASH FLOW - NELP  Bellingham &amp; Sayreville</t>
  </si>
  <si>
    <t>Maine - Hydro</t>
  </si>
  <si>
    <t>Doswell CT</t>
  </si>
  <si>
    <t>Aftertax Cash Flow</t>
  </si>
  <si>
    <t>Net Income - Total</t>
  </si>
  <si>
    <t>Maine - Thermal</t>
  </si>
  <si>
    <t>proof</t>
  </si>
  <si>
    <t>Steam Sales</t>
  </si>
  <si>
    <t>INCOME STATEMENT - Maine Hydro</t>
  </si>
  <si>
    <t>INCOME STATEMENT - Maine Thermal</t>
  </si>
  <si>
    <t>Principal Repayment</t>
  </si>
  <si>
    <t>CA Income Tax</t>
  </si>
  <si>
    <t>FPLE's Net Income</t>
  </si>
  <si>
    <t xml:space="preserve">   FPLE's Net Income</t>
  </si>
  <si>
    <t>Aftertax Cash - Total</t>
  </si>
  <si>
    <t>Total</t>
  </si>
  <si>
    <t>Equity</t>
  </si>
  <si>
    <t>Debt</t>
  </si>
  <si>
    <t>DCF Value</t>
  </si>
  <si>
    <t>Tax Depreciation - Plant @ 25%'</t>
  </si>
  <si>
    <t xml:space="preserve">  Net Income from Fee Income</t>
  </si>
  <si>
    <t>FPLE Other Cash Flows  (Loan Receivable valued at principal)</t>
  </si>
  <si>
    <t xml:space="preserve">  Aftertax cash from Fee Income</t>
  </si>
  <si>
    <t xml:space="preserve">   Other</t>
  </si>
  <si>
    <t>CASH FLOW - Maine Hydro</t>
  </si>
  <si>
    <t xml:space="preserve">    Other</t>
  </si>
  <si>
    <t>(a)</t>
  </si>
  <si>
    <t>Debt (a)</t>
  </si>
  <si>
    <t>-  Consolidated Wind Assets</t>
  </si>
  <si>
    <t>Cerro Gordo</t>
  </si>
  <si>
    <t>Southwest Mesa</t>
  </si>
  <si>
    <t>Vansycle</t>
  </si>
  <si>
    <t>-  Non-Consolidated Wind Assets</t>
  </si>
  <si>
    <t>Cameron Ridge</t>
  </si>
  <si>
    <t>Pacific Crest (b)</t>
  </si>
  <si>
    <t xml:space="preserve">Sky River </t>
  </si>
  <si>
    <t>Ridge Top</t>
  </si>
  <si>
    <t>Green Ridge</t>
  </si>
  <si>
    <t>Mojave 16/17/18 (c)</t>
  </si>
  <si>
    <t>Morwind</t>
  </si>
  <si>
    <t>Victory Garden</t>
  </si>
  <si>
    <t>WPP 92</t>
  </si>
  <si>
    <t>WPP 91-2</t>
  </si>
  <si>
    <t>Mojave 3/5</t>
  </si>
  <si>
    <t>WPP 89</t>
  </si>
  <si>
    <t>WPP 91</t>
  </si>
  <si>
    <t>WPP 90</t>
  </si>
  <si>
    <t>Altamont Power</t>
  </si>
  <si>
    <t>Wind Portfolio</t>
  </si>
  <si>
    <t>Pacific Crest</t>
  </si>
  <si>
    <t>Sky River</t>
  </si>
  <si>
    <t xml:space="preserve">Mojave 16/17/18 </t>
  </si>
  <si>
    <t xml:space="preserve">-  Non-Core Wind Assets </t>
  </si>
  <si>
    <t>Wind Portfolio Net Income</t>
  </si>
  <si>
    <t xml:space="preserve">Wind Portfolio After Tax Cash </t>
  </si>
  <si>
    <t>Production Tax Credits</t>
  </si>
  <si>
    <t>Wind Portfolio Net PTC</t>
  </si>
  <si>
    <t>=</t>
  </si>
  <si>
    <t>"$ in X</t>
  </si>
  <si>
    <t>Treasury (%)</t>
  </si>
  <si>
    <t>Spread (%)</t>
  </si>
  <si>
    <t>All In Coupon Rate (%)</t>
  </si>
  <si>
    <t>Coverage</t>
  </si>
  <si>
    <t>Coverage Ratio</t>
  </si>
  <si>
    <t>Annual Debt Service</t>
  </si>
  <si>
    <t>Beginning Balance</t>
  </si>
  <si>
    <t>Ending Balance</t>
  </si>
  <si>
    <t xml:space="preserve">  Principal Repayment</t>
  </si>
  <si>
    <t>Aftertax Interest Expense</t>
  </si>
  <si>
    <t>Tax Rate</t>
  </si>
  <si>
    <t>Cash Flow Available for Equity</t>
  </si>
  <si>
    <t>Resultant Coverage</t>
  </si>
  <si>
    <t>Core Portfolio Value - Levered</t>
  </si>
  <si>
    <t>Core Portfolio Value - Unlevered</t>
  </si>
  <si>
    <t>FPLE Valuation Summary</t>
  </si>
  <si>
    <t>Interest Tax Shield</t>
  </si>
  <si>
    <t>NPV @</t>
  </si>
  <si>
    <t>Debt Schedule</t>
  </si>
  <si>
    <t xml:space="preserve">  Beginning Balance</t>
  </si>
  <si>
    <t xml:space="preserve">    Principal Repayment</t>
  </si>
  <si>
    <t>Mojave 3/5 (d)</t>
  </si>
  <si>
    <t>Altamont Power (d)</t>
  </si>
  <si>
    <t>Project EBITDA</t>
  </si>
  <si>
    <t>Wind Portfolio EBITDA</t>
  </si>
  <si>
    <t>Adjusted Net Income</t>
  </si>
  <si>
    <t>Less:  Corporate Principal</t>
  </si>
  <si>
    <t>Adjusted Aftertax Cash Flow</t>
  </si>
  <si>
    <t>(a)  Assets are written up, income is net of interest expense, and major maintenance is expensed as incurred (equal to cash).</t>
  </si>
  <si>
    <t>-  Corporate Leverage</t>
  </si>
  <si>
    <t>Resultant Coverage Ratio</t>
  </si>
  <si>
    <t>-  No trading, portfolio, real option, or contract restructuring value is shown.</t>
  </si>
  <si>
    <t>EBITDA - Total</t>
  </si>
  <si>
    <t>FPLE Ownership</t>
  </si>
  <si>
    <t>Main Hydro</t>
  </si>
  <si>
    <t>Maine Thermal</t>
  </si>
  <si>
    <t>SegsVIII</t>
  </si>
  <si>
    <t>Segs IX</t>
  </si>
  <si>
    <t>Bellingham&amp;Sayreville</t>
  </si>
  <si>
    <t>Close</t>
  </si>
  <si>
    <t>Check</t>
  </si>
  <si>
    <t>Pre-Tax Cash Flow</t>
  </si>
  <si>
    <t>After-Tax Cash Flow</t>
  </si>
  <si>
    <t>IRR Calculation</t>
  </si>
  <si>
    <t>Equity's Contribution</t>
  </si>
  <si>
    <t>Equity's After-Tax Cashflow</t>
  </si>
  <si>
    <t>Salvage Value</t>
  </si>
  <si>
    <t>Equity's Net Cashflow</t>
  </si>
  <si>
    <t xml:space="preserve">   IRR</t>
  </si>
  <si>
    <t>Total State Taxes Utilizing NOLs</t>
  </si>
  <si>
    <t>Federal Taxable Income</t>
  </si>
  <si>
    <t>Federal Tax Expense/ (Benefit)</t>
  </si>
  <si>
    <t>NOL Carryforward</t>
  </si>
  <si>
    <t>NOL Utilization</t>
  </si>
  <si>
    <t>Total Federal Cash Taxes Payable/(Benefit)</t>
  </si>
  <si>
    <t>Capital Expenditure</t>
  </si>
  <si>
    <t>$/KW</t>
  </si>
  <si>
    <t>GenCo's State Tax Benefit/(Expense)</t>
  </si>
  <si>
    <t>GenCo's Federal Tax Benefit/(Expense)</t>
  </si>
  <si>
    <t>Corporate Interest Expense</t>
  </si>
  <si>
    <t>Implied State Tax Rate</t>
  </si>
  <si>
    <t>Project Debt Service</t>
  </si>
  <si>
    <t>Corporate Debt Service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</si>
  <si>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</si>
  <si>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</si>
  <si>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</si>
  <si>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</si>
  <si>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</si>
  <si>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</si>
  <si>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</si>
  <si>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</si>
  <si>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</si>
  <si>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</si>
  <si>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</si>
  <si>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</si>
  <si>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</si>
  <si>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</si>
  <si>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</si>
  <si>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</si>
  <si>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</si>
  <si>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</si>
  <si>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</si>
  <si>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</si>
  <si>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Sum</t>
  </si>
  <si>
    <t>Project Taxable Income</t>
  </si>
  <si>
    <t>Corporate Interest Payment</t>
  </si>
  <si>
    <t>Beginning NOL's</t>
  </si>
  <si>
    <t>New NOL's</t>
  </si>
  <si>
    <t>Expired NOL's</t>
  </si>
  <si>
    <t>Ending NOL's</t>
  </si>
  <si>
    <t>Current State Income Tax Expense (Benefit)</t>
  </si>
  <si>
    <t>(goes to FPLE Debt)</t>
  </si>
  <si>
    <t>Revenue to FPLE (Fees &amp; Interests)</t>
  </si>
  <si>
    <t>EBITDA from Projects</t>
  </si>
  <si>
    <t>Allocation</t>
  </si>
  <si>
    <t>%</t>
  </si>
  <si>
    <t>Tax Shield</t>
  </si>
  <si>
    <t xml:space="preserve">Debt </t>
  </si>
  <si>
    <t>Levered</t>
  </si>
  <si>
    <t>Plant Value</t>
  </si>
  <si>
    <t>Total PV of Tax Shield</t>
  </si>
  <si>
    <t>INCOME STATEMENT - SEGS VIII</t>
  </si>
  <si>
    <t>INCOME STATEMENT - SEGS IX</t>
  </si>
  <si>
    <t>FPLE Wind Valuation Summary</t>
  </si>
  <si>
    <t>FPLE Wind Financial Summary</t>
  </si>
  <si>
    <t>000 $</t>
  </si>
  <si>
    <t>Levered IRR</t>
  </si>
  <si>
    <t>Valuation is run</t>
  </si>
  <si>
    <t>Book Depreciation &amp; Amortization</t>
  </si>
  <si>
    <t xml:space="preserve">Tax Depreciation </t>
  </si>
  <si>
    <t>State Tax</t>
  </si>
  <si>
    <t>Weighted Average State Tax Rate</t>
  </si>
  <si>
    <t>Net Total</t>
  </si>
  <si>
    <t>FPLE DCF Analysis</t>
  </si>
  <si>
    <t>Unhide Sub Debt, 1999 Columns</t>
  </si>
  <si>
    <t>NewCo SUMMARY OUTPUT</t>
  </si>
  <si>
    <t>Target</t>
  </si>
  <si>
    <t>PV of Interest</t>
  </si>
  <si>
    <t>ENA GenCo</t>
  </si>
  <si>
    <t>Equity Ownership</t>
  </si>
  <si>
    <t>Unlevered IRR</t>
  </si>
  <si>
    <t>Bond Proceeds</t>
  </si>
  <si>
    <t>FPLE GenCo</t>
  </si>
  <si>
    <t>NewCo</t>
  </si>
  <si>
    <t>Debt FINANCING ASSUMPTIONS:</t>
  </si>
  <si>
    <t>Tranche 1</t>
  </si>
  <si>
    <t>Tranche 2</t>
  </si>
  <si>
    <t>Tranche 3</t>
  </si>
  <si>
    <t>Merchant</t>
  </si>
  <si>
    <t>Contract</t>
  </si>
  <si>
    <t>Total Debt</t>
  </si>
  <si>
    <t>Debt Closing Date</t>
  </si>
  <si>
    <t>Amount ('000 $)</t>
  </si>
  <si>
    <t>Term (yrs)</t>
  </si>
  <si>
    <t>Final Maturity</t>
  </si>
  <si>
    <t xml:space="preserve">Treasury Rate (%) </t>
  </si>
  <si>
    <t>All-in Coupon Rate (%)</t>
  </si>
  <si>
    <t>SUMMARY OUTPUT:</t>
  </si>
  <si>
    <t>ENA: DSCR</t>
  </si>
  <si>
    <t>Min</t>
  </si>
  <si>
    <t>Avg.</t>
  </si>
  <si>
    <t>FPLE: DSCR</t>
  </si>
  <si>
    <t>Fixed Price Period</t>
  </si>
  <si>
    <t>Merchant Projects</t>
  </si>
  <si>
    <t>Merchant Price Period</t>
  </si>
  <si>
    <t>Contracted Projects</t>
  </si>
  <si>
    <t>ENA: Salvage Value (2 x EBITDA) at the end of 20 years ($/kW)</t>
  </si>
  <si>
    <t>ENA: GenCo EBITDA (000 $)</t>
  </si>
  <si>
    <t>ENA: GenCo Net Income (000 $)</t>
  </si>
  <si>
    <t>ENA: GenCo Pre-Tax Cashflow (000 $)</t>
  </si>
  <si>
    <t>ENA: GenCo After-Tax Cashflow (000 $)</t>
  </si>
  <si>
    <t>FPLE: GenCo EBITDA (000 $)</t>
  </si>
  <si>
    <t>FPLE: GenCo Net Income (000 $)</t>
  </si>
  <si>
    <t>FPLE: GenCo Pre-Tax Cashflow (000 $)</t>
  </si>
  <si>
    <t>FPLE: GenCo After-Tax Cashflow (000 $)</t>
  </si>
  <si>
    <t>NewCo: Net Income (000 $)</t>
  </si>
  <si>
    <t>NewCo: Pre-Tax Cashflow (000 $)</t>
  </si>
  <si>
    <t>NewCo: After-Tax Cashflow (000 $)</t>
  </si>
  <si>
    <t>NewCo INCOME STATEMENT</t>
  </si>
  <si>
    <t>ENA</t>
  </si>
  <si>
    <t xml:space="preserve">FPLE </t>
  </si>
  <si>
    <t>NewCo ANNUAL CASH FLOW AND IRR</t>
  </si>
  <si>
    <t>GENCO CASH FLOW</t>
  </si>
  <si>
    <t>ENA (EBITDA less Power Contract Amortization)</t>
  </si>
  <si>
    <t>EBITDA from Plants</t>
  </si>
  <si>
    <t>FPLE: Less Debt Service</t>
  </si>
  <si>
    <t>FPLE: Less Capital Expenditure</t>
  </si>
  <si>
    <t>ENA: Plus Property Tax Liability</t>
  </si>
  <si>
    <t>ENA: Less Property Tax Expense</t>
  </si>
  <si>
    <t>ENA: Less Principal Payments</t>
  </si>
  <si>
    <t>ENA: Less Interest Payments</t>
  </si>
  <si>
    <t>NewCo FEDERAL TAXES</t>
  </si>
  <si>
    <t>STATE TAXES</t>
  </si>
  <si>
    <t>FEDERAL TAXES</t>
  </si>
  <si>
    <t>FPLE</t>
  </si>
  <si>
    <t>ENA: Interest Expense</t>
  </si>
  <si>
    <t>FPLE: Interest Expense</t>
  </si>
  <si>
    <t>Less Interest Expense</t>
  </si>
  <si>
    <t>ENA: Less Tax Depreciation</t>
  </si>
  <si>
    <t>FPLE: Less Tax Depreciation</t>
  </si>
  <si>
    <t>Less Tax Depreciation</t>
  </si>
  <si>
    <t>Less State Taxes</t>
  </si>
  <si>
    <t>Federal Tax Rate</t>
  </si>
  <si>
    <t>NewCo's State Tax Benefit/(Expense)</t>
  </si>
  <si>
    <t>NewCo's Federal Tax Benefit/(Expense)</t>
  </si>
  <si>
    <t>FPLE: Salvage Value (2.5~5 x EBITDA) at the end of 13~20 years ($/kW)</t>
  </si>
  <si>
    <t>Less:  After-tax Corporate Interest Expense</t>
  </si>
  <si>
    <t>Time Factor</t>
  </si>
  <si>
    <t>Average Life</t>
  </si>
  <si>
    <t>Merchant Assets</t>
  </si>
  <si>
    <t>Contract Assets</t>
  </si>
  <si>
    <t>FPLE GenCo INCOME STATEMENT</t>
  </si>
  <si>
    <t>FPLE GenCo ANNUAL CASH FLOW AND IRR</t>
  </si>
  <si>
    <t>Net Income to FPLE</t>
  </si>
  <si>
    <t>Distributable Cash to FPLE</t>
  </si>
  <si>
    <t>SOURCES &amp; USES:</t>
  </si>
  <si>
    <t>Sources of Funds</t>
  </si>
  <si>
    <t>Uses of Funds</t>
  </si>
  <si>
    <t xml:space="preserve">Total Equity </t>
  </si>
  <si>
    <t>1999 Plants</t>
  </si>
  <si>
    <t>2000 Plants</t>
  </si>
  <si>
    <t>Sub Total</t>
  </si>
  <si>
    <t>Power Contract Liability</t>
  </si>
  <si>
    <t>Total Sources</t>
  </si>
  <si>
    <t>Total Uses</t>
  </si>
  <si>
    <t>FINANCING ASSUMPTIONS:</t>
  </si>
  <si>
    <t>Debt Financing Summary:</t>
  </si>
  <si>
    <t>Average Life (yrs)</t>
  </si>
  <si>
    <t>Interest Income Rate</t>
  </si>
  <si>
    <t>Equity Financing Summary:</t>
  </si>
  <si>
    <t>Equity Closing Date</t>
  </si>
  <si>
    <t>Required After-Tax Rate of Return (%)</t>
  </si>
  <si>
    <t>DEPRECIATION ASSUMPTIONS:</t>
  </si>
  <si>
    <t>Initial Basis (000 $)</t>
  </si>
  <si>
    <t>Year</t>
  </si>
  <si>
    <t>Method</t>
  </si>
  <si>
    <t>Residual (%)</t>
  </si>
  <si>
    <t>Federal &amp; State Tax Depreciation</t>
  </si>
  <si>
    <t>Total Project Cost less Power Contract Liability</t>
  </si>
  <si>
    <t>MACRS</t>
  </si>
  <si>
    <t>Book Depreciation</t>
  </si>
  <si>
    <t>Total Project Cost</t>
  </si>
  <si>
    <t>DSCR</t>
  </si>
  <si>
    <t>1999 Projects</t>
  </si>
  <si>
    <t>2000 Projects</t>
  </si>
  <si>
    <t>1999 &amp; 2000 Projects</t>
  </si>
  <si>
    <t>Weighted Average Heat Rate (Btu/kWh)</t>
  </si>
  <si>
    <t>Summer Capacity (MW)</t>
  </si>
  <si>
    <t>Salvage Value (2 x EBITDA) at the end of 20 years ($/kW)</t>
  </si>
  <si>
    <t>Equity's After-Tax Returns with Salvage Value (20 yrs)</t>
  </si>
  <si>
    <t>GenCo EBITDA (000 $)</t>
  </si>
  <si>
    <t>GenCo Net Income (000 $)</t>
  </si>
  <si>
    <t>GenCo Pre-Tax Cashflow (000 $)</t>
  </si>
  <si>
    <t>GenCo After-Tax Cashflow (000 $)</t>
  </si>
  <si>
    <t>TECHNICAL ASSUMPTIONS:</t>
  </si>
  <si>
    <t>1999 PROJECTS</t>
  </si>
  <si>
    <t>2000 PROJECTS</t>
  </si>
  <si>
    <t>Brownsville</t>
  </si>
  <si>
    <t>Caledonia</t>
  </si>
  <si>
    <t>New Albany</t>
  </si>
  <si>
    <t>Gleason</t>
  </si>
  <si>
    <t>Wheatland</t>
  </si>
  <si>
    <t>Wilton</t>
  </si>
  <si>
    <t>Number of Turbines</t>
  </si>
  <si>
    <t>Summer Heat Rate (HHV, Btu/kWh)</t>
  </si>
  <si>
    <t>Numbers of Starts</t>
  </si>
  <si>
    <t>PRICING ASSUMPTIONS:</t>
  </si>
  <si>
    <t>Fixed Price Demand Charge ($/kW-month)</t>
  </si>
  <si>
    <t>Energy Charge ($/MWh)</t>
  </si>
  <si>
    <t>Start Charge ($/Start/Turbine)</t>
  </si>
  <si>
    <t>Annual Generation (MWh)</t>
  </si>
  <si>
    <t>OPERATING COSTS ASSUMPTIONS:</t>
  </si>
  <si>
    <t>Variable O&amp;M ($/MWh)</t>
  </si>
  <si>
    <t>Major Maintenance ($/Start/Turbine)</t>
  </si>
  <si>
    <t>Annual Escalator</t>
  </si>
  <si>
    <t>Annual Cost (000$ in Year 2000)</t>
  </si>
  <si>
    <t>Variable O&amp;M</t>
  </si>
  <si>
    <t>Major Maintenance Per Plant</t>
  </si>
  <si>
    <t>Owner's Expense</t>
  </si>
  <si>
    <t>Property Tax Liability</t>
  </si>
  <si>
    <t>TAX ASSUMPTIONS:</t>
  </si>
  <si>
    <t>Federal Income Tax Rate</t>
  </si>
  <si>
    <t>State Income Tax Rate</t>
  </si>
  <si>
    <t>Adjusted Gross Income Tax</t>
  </si>
  <si>
    <t>N/A</t>
  </si>
  <si>
    <t>Gross Receipts Tax Rate</t>
  </si>
  <si>
    <t>Franchise Tax Rate (Year 1)</t>
  </si>
  <si>
    <t>Franchise Tax Rate (Year 2-20)</t>
  </si>
  <si>
    <t>(1) Includes additional capacity of 20 MW at Caledonia and 15 MW at New Albany, with installation of evaporative coolers by June 2000.</t>
  </si>
  <si>
    <t>FIXED PRICE PERIOD</t>
  </si>
  <si>
    <t>MERCHANT PRICE PERIOD</t>
  </si>
  <si>
    <t>ICF Capacity Price Escalator</t>
  </si>
  <si>
    <t>TVA Capacity Curves:</t>
  </si>
  <si>
    <t>(for Brownsville, Caledonia, New Albany and Gleason)</t>
  </si>
  <si>
    <t>1998 $</t>
  </si>
  <si>
    <t>ICF Base ($/kW-year)</t>
  </si>
  <si>
    <t>Nominal $</t>
  </si>
  <si>
    <t>ICF Base ($/kW-year )</t>
  </si>
  <si>
    <t>ICF Base ($/kW-month)</t>
  </si>
  <si>
    <t>TVA Plants' Capacity Price Curve</t>
  </si>
  <si>
    <t>Southern ECAR Capacity Curves:</t>
  </si>
  <si>
    <t>(for Wheatland)</t>
  </si>
  <si>
    <t>Wheatland Capacity Price Curve</t>
  </si>
  <si>
    <t>Com Ed Capacity Curves:</t>
  </si>
  <si>
    <t>(for Wilton Center)</t>
  </si>
  <si>
    <t>Wilton Capacity Price Curve</t>
  </si>
  <si>
    <t>Start Charge</t>
  </si>
  <si>
    <t>Amortization of Power Contract</t>
  </si>
  <si>
    <t>Merchant Period:</t>
  </si>
  <si>
    <t>Major Maintenance</t>
  </si>
  <si>
    <t>Property Taxes</t>
  </si>
  <si>
    <t xml:space="preserve">Franchise Tax </t>
  </si>
  <si>
    <t>EBITDA less Contract Amortization</t>
  </si>
  <si>
    <t>Principal</t>
  </si>
  <si>
    <t xml:space="preserve">Interest Payment </t>
  </si>
  <si>
    <t>Amortization %</t>
  </si>
  <si>
    <t xml:space="preserve">Principal Payment </t>
  </si>
  <si>
    <t>Principal Payments</t>
  </si>
  <si>
    <t>Net Debt Service</t>
  </si>
  <si>
    <t>ACTUAL DSCR</t>
  </si>
  <si>
    <t>Fixed Price Period:</t>
  </si>
  <si>
    <t>Merchant Price Period:</t>
  </si>
  <si>
    <t>Minimum</t>
  </si>
  <si>
    <t>Average</t>
  </si>
  <si>
    <t>Accrued Interest</t>
  </si>
  <si>
    <t>Term (years)</t>
  </si>
  <si>
    <t>Average Life (years)</t>
  </si>
  <si>
    <t>Total amount ($ '000)</t>
  </si>
  <si>
    <t>EBITDA less Power Contract Amortization</t>
  </si>
  <si>
    <t>Plus Property Tax Liability</t>
  </si>
  <si>
    <t>Less Property Tax Expense</t>
  </si>
  <si>
    <t>Less Principal Payments</t>
  </si>
  <si>
    <t>Less Interest Payments</t>
  </si>
  <si>
    <t xml:space="preserve">  GenCo's State Tax Benefit/(Expense)</t>
  </si>
  <si>
    <t xml:space="preserve">  GenCo's Federal Tax Benefit/(Expense)</t>
  </si>
  <si>
    <t>Initial Book Value</t>
  </si>
  <si>
    <t>No. of Months in Operation</t>
  </si>
  <si>
    <t>% Depreciated</t>
  </si>
  <si>
    <t>Beginning Book Value</t>
  </si>
  <si>
    <t>Depreciation</t>
  </si>
  <si>
    <t>Ending Book Value</t>
  </si>
  <si>
    <t>15 Year MACRS Table</t>
  </si>
  <si>
    <t>GenCo</t>
  </si>
  <si>
    <t>Project Cost</t>
  </si>
  <si>
    <t>Beginning Value</t>
  </si>
  <si>
    <t>Ending Value</t>
  </si>
  <si>
    <t>Tax Depreciation From Above</t>
  </si>
  <si>
    <t>Tax Depreciation From 6 Plants</t>
  </si>
  <si>
    <t>Difference</t>
  </si>
  <si>
    <t>Pretax Book Income less Contract Amortization</t>
  </si>
  <si>
    <t>Plus Book Depreciation &amp; Amortization</t>
  </si>
  <si>
    <t>Less: Tax Depreciation</t>
  </si>
  <si>
    <t>Less: State Taxes</t>
  </si>
  <si>
    <t>INCOME STATEMENT - BROWNSVILLE</t>
  </si>
  <si>
    <t>Property Taxes Liability</t>
  </si>
  <si>
    <t>Franchise Tax</t>
  </si>
  <si>
    <t>After Tax Book Income</t>
  </si>
  <si>
    <t>CASH FLOW - BROWNSVILLE</t>
  </si>
  <si>
    <t>EBITDA less Amortization of Power Contract</t>
  </si>
  <si>
    <t xml:space="preserve"> State Cash Taxes Benefit (Expense)</t>
  </si>
  <si>
    <t xml:space="preserve"> Federal Cash Taxes Benefit (Expense)</t>
  </si>
  <si>
    <t>STATE TAX &amp; FRANCHISE TAX - BROWNSVILLE</t>
  </si>
  <si>
    <t>FRANCHISE TAX</t>
  </si>
  <si>
    <t>Book Value of Assets</t>
  </si>
  <si>
    <t>Paid-In-Capital</t>
  </si>
  <si>
    <t>Retained Earnings (less Amortization of Power Contract)</t>
  </si>
  <si>
    <t>Outstanding Debt</t>
  </si>
  <si>
    <t>Total Capitalization</t>
  </si>
  <si>
    <t>Greater of Book Value or Capitalization</t>
  </si>
  <si>
    <t>State Franchise Tax Rate</t>
  </si>
  <si>
    <t>State Franchise Tax Liability</t>
  </si>
  <si>
    <t>Pretax Book Income less Amortization of Power Contract</t>
  </si>
  <si>
    <t>State Taxable Income</t>
  </si>
  <si>
    <t>INCOME STATEMENT - CALEDONIA</t>
  </si>
  <si>
    <t>CASH FLOW - CALEDONIA</t>
  </si>
  <si>
    <t>STATE TAX &amp; FRANCHISE TAX - CALEDONIA</t>
  </si>
  <si>
    <t>Shareholders Equity &amp; Long Term Debt</t>
  </si>
  <si>
    <t>INCOME STATEMENT - NEW ALBANY</t>
  </si>
  <si>
    <t xml:space="preserve">Property Taxes Liability </t>
  </si>
  <si>
    <t>CASH FLOW - NEW ALBANY</t>
  </si>
  <si>
    <t>STATE TAX &amp; FRANCHISE TAX - NEW ALBANY</t>
  </si>
  <si>
    <t>INCOME STATEMENT - GLEASON</t>
  </si>
  <si>
    <t>CASH FLOW - GLEASON</t>
  </si>
  <si>
    <t>STATE TAX &amp; FRANCHISE TAX - GLEASON</t>
  </si>
  <si>
    <t>Greater of Book Value and Capitalization</t>
  </si>
  <si>
    <t>INCOME STATEMENT - WHEATLAND</t>
  </si>
  <si>
    <t>CASH FLOW - WHEATLAND</t>
  </si>
  <si>
    <t>STATE TAX &amp; SUPPLEMENTAL TAX - WHEATLAND</t>
  </si>
  <si>
    <t>SUPPLEMENTAL TAXES</t>
  </si>
  <si>
    <t>Adjusted Gross Income Rate</t>
  </si>
  <si>
    <t>State Adjusted Gross Income Tax</t>
  </si>
  <si>
    <t>State Gross Receipts Taxes</t>
  </si>
  <si>
    <t>Gross Receipts less Amortization of Power Contract</t>
  </si>
  <si>
    <t>Gross Receipts Tax Liability</t>
  </si>
  <si>
    <t>Greater of Adjusted or Gross Receipts</t>
  </si>
  <si>
    <t>Total State &amp; Misc. Taxes</t>
  </si>
  <si>
    <t>INCOME STATEMENT - WILTON</t>
  </si>
  <si>
    <t>CASH FLOW - WILTON</t>
  </si>
  <si>
    <t>STATE TAX &amp; FRANCHISE TAX - WILTON</t>
  </si>
  <si>
    <t>AMORTIZATION OF POWER CONTRACT</t>
  </si>
  <si>
    <t>Difference Between ICF Capacity Price and Fixed Capacity Price</t>
  </si>
  <si>
    <t>Summer MW</t>
  </si>
  <si>
    <t>Difference in Revenue</t>
  </si>
  <si>
    <t xml:space="preserve">NPV </t>
  </si>
  <si>
    <t>1999 Peakers</t>
  </si>
  <si>
    <t>2000 Peakers</t>
  </si>
  <si>
    <t>ALLOCATION</t>
  </si>
  <si>
    <t>Project</t>
  </si>
  <si>
    <t>By Project Cost</t>
  </si>
  <si>
    <t>By Cashflow</t>
  </si>
  <si>
    <t xml:space="preserve">   Sub Total</t>
  </si>
  <si>
    <r>
      <t>Summer Capacity (MW)</t>
    </r>
    <r>
      <rPr>
        <vertAlign val="superscript"/>
        <sz val="9"/>
        <rFont val="Times New Roman"/>
        <family val="1"/>
      </rPr>
      <t>(1)</t>
    </r>
  </si>
  <si>
    <t>NOL Carryforward with PTC</t>
  </si>
  <si>
    <t>Wind Portfolio PTC</t>
  </si>
  <si>
    <t>EBITDA from plants</t>
  </si>
  <si>
    <t>Less: Existing Debt Service</t>
  </si>
  <si>
    <t>Base for DSCR</t>
  </si>
  <si>
    <t>by Cash Flow</t>
  </si>
  <si>
    <t>Interest</t>
  </si>
  <si>
    <t>Additional Depreciation @ FPLE</t>
  </si>
  <si>
    <t>Less Additional Tax Depreciation @FPLE</t>
  </si>
  <si>
    <t>Corporate G&amp;A</t>
  </si>
  <si>
    <t xml:space="preserve">EBITDA </t>
  </si>
  <si>
    <t>NewCo Development - Financial Summary</t>
  </si>
  <si>
    <t>New Capacity - FPLE</t>
  </si>
  <si>
    <t>New Wind Capacity - FPLE</t>
  </si>
  <si>
    <t>New Capacity - Enron</t>
  </si>
  <si>
    <t>PP&amp;E</t>
  </si>
  <si>
    <t>Cumulative</t>
  </si>
  <si>
    <t xml:space="preserve">  FPLE Gas</t>
  </si>
  <si>
    <t xml:space="preserve">  FPLE Wind</t>
  </si>
  <si>
    <t xml:space="preserve">  ENA</t>
  </si>
  <si>
    <t>Total PP&amp;E</t>
  </si>
  <si>
    <t>Moore</t>
  </si>
  <si>
    <t>LV Cogen</t>
  </si>
  <si>
    <t>Pastoria</t>
  </si>
  <si>
    <t>ENA Sub Total</t>
  </si>
  <si>
    <t>2001 Projects</t>
  </si>
  <si>
    <t>2002 Projects</t>
  </si>
  <si>
    <t>2003 Projects</t>
  </si>
  <si>
    <t>2004 Projects</t>
  </si>
  <si>
    <t>2005 Projects</t>
  </si>
  <si>
    <t>FPLE Gas Total</t>
  </si>
  <si>
    <t>FPLE Wind</t>
  </si>
  <si>
    <t xml:space="preserve">   Total</t>
  </si>
  <si>
    <t>Aftertax Cash</t>
  </si>
  <si>
    <t>FPLE  Gas Total</t>
  </si>
  <si>
    <t>Gas Projects</t>
  </si>
  <si>
    <t>First year is half year.</t>
  </si>
  <si>
    <t>Construction loan is done off-balance sheet; convert to term at COD.</t>
  </si>
  <si>
    <t>Includes Rhode Island Project (2002 in-service); utilizes Reliant's CTs.</t>
  </si>
  <si>
    <t>Includes all advanced stage development projects.</t>
  </si>
  <si>
    <t>Utilizes generic combined cycle financial information - 2 x 1 configuration (500 MW), $550/kW capital cost, 20 yr 14% aftertax equity return, 60/40 debt to equity capital structure.</t>
  </si>
  <si>
    <t>Wind Projects</t>
  </si>
  <si>
    <t>Assume Year 1 is full year.  Majority of wind assets will become operational in the second half of 2001 due to expiration of PTCs at year end.</t>
  </si>
  <si>
    <t>PTCs assume a 43% capacity factor.</t>
  </si>
  <si>
    <t>Generic FPLE Project</t>
  </si>
  <si>
    <t>Capacity</t>
  </si>
  <si>
    <t>MW</t>
  </si>
  <si>
    <t>Capital Cost</t>
  </si>
  <si>
    <t>$/kW</t>
  </si>
  <si>
    <t>Total Capital Cost</t>
  </si>
  <si>
    <t>Equity Percentage</t>
  </si>
  <si>
    <t>Interest Rate</t>
  </si>
  <si>
    <t>FPLE Wind Project</t>
  </si>
  <si>
    <t>Default Plant</t>
  </si>
  <si>
    <t>LV Cogen II</t>
  </si>
  <si>
    <t>Assumes IDC is included in the capital cost.</t>
  </si>
  <si>
    <t>Assumes no escalation on capital cost.</t>
  </si>
  <si>
    <t>Assume Year 1 is half-year for Gas project.</t>
  </si>
  <si>
    <t>500 MW Combined Cycle Facility - Generic</t>
  </si>
  <si>
    <t>Add: Net Income</t>
  </si>
  <si>
    <t>Less:  AT Cash Flow</t>
  </si>
  <si>
    <t>Less:  Principal</t>
  </si>
  <si>
    <t>Net Income - ROE %</t>
  </si>
  <si>
    <t>Cash Flow %</t>
  </si>
  <si>
    <t>Debt Amort %</t>
  </si>
  <si>
    <t>Return Summary</t>
  </si>
  <si>
    <t>NPV @ 14%</t>
  </si>
  <si>
    <t>IRR</t>
  </si>
  <si>
    <t>75 MW Wind Facility - Generic</t>
  </si>
  <si>
    <t>Less Corporate G&amp;A</t>
  </si>
  <si>
    <t>NewCo: Total ISO MW</t>
  </si>
  <si>
    <t>ISO Capacity</t>
  </si>
  <si>
    <t>Total MW</t>
  </si>
  <si>
    <t>Cumulative MW</t>
  </si>
  <si>
    <t>NewCo Development - FINANCIAL PROFILE</t>
  </si>
  <si>
    <t>FPLE GenCo State and FEDERAL TAXES</t>
  </si>
  <si>
    <t>NewCo: EBITDA (000 $)</t>
  </si>
  <si>
    <t>State Tax after Allocation of Corporate G&amp;A</t>
  </si>
  <si>
    <t>Book State Tax after Allocation of Corporate G&amp;A</t>
  </si>
  <si>
    <t>EBT before Corporate G&amp;A</t>
  </si>
  <si>
    <t>Taxable Income before Corporate G&amp;A</t>
  </si>
  <si>
    <t>State Taxable Income before Corporate G&amp;A</t>
  </si>
  <si>
    <t>Cost Category</t>
  </si>
  <si>
    <t>Notes</t>
  </si>
  <si>
    <t>Development</t>
  </si>
  <si>
    <t>Expensed portion.</t>
  </si>
  <si>
    <t>HR &amp; Legal</t>
  </si>
  <si>
    <t>Asset Management</t>
  </si>
  <si>
    <t>Finance, Accounting, Tax</t>
  </si>
  <si>
    <t>MIS</t>
  </si>
  <si>
    <t>Executive</t>
  </si>
  <si>
    <t>Corporate / Admin</t>
  </si>
  <si>
    <t>Rent, incentive compensation, depreciation, taxes/fees, phone, supplies, etc.</t>
  </si>
  <si>
    <t xml:space="preserve">  Total G&amp;A</t>
  </si>
  <si>
    <t>After-tax</t>
  </si>
  <si>
    <t>Excludes trading and marketing.</t>
  </si>
  <si>
    <t>Excludes cost of shared services; parts pooling and fleet team support.  Costs are included in the project models.</t>
  </si>
  <si>
    <t>Operations and construction management are allocated to the projects.</t>
  </si>
  <si>
    <t>* ENA GenCo and FPLE GenCo valuations do not include the allocation of corporate G&amp;A.</t>
  </si>
  <si>
    <t>Total Equity and Debt</t>
  </si>
  <si>
    <t>Assets:</t>
  </si>
  <si>
    <t>Cash and cash equivalents</t>
  </si>
  <si>
    <t>Accounts Receivable</t>
  </si>
  <si>
    <t>Property, plant and equipment</t>
  </si>
  <si>
    <t>Cost</t>
  </si>
  <si>
    <t>Accumulated depreciation</t>
  </si>
  <si>
    <t>Property, plant, and equipment, net</t>
  </si>
  <si>
    <t>Total Assets</t>
  </si>
  <si>
    <t>Liabilities:</t>
  </si>
  <si>
    <t>Accounts Payable</t>
  </si>
  <si>
    <t>Interest Payable</t>
  </si>
  <si>
    <t>Deferred Tax Liability</t>
  </si>
  <si>
    <t>Long-term debt</t>
  </si>
  <si>
    <t>Other liabilities</t>
  </si>
  <si>
    <t>Total liabilities</t>
  </si>
  <si>
    <t>Stockholders' equity:</t>
  </si>
  <si>
    <t>Capital Stock</t>
  </si>
  <si>
    <t>Retained earnings</t>
  </si>
  <si>
    <t>Total stockholders' equity</t>
  </si>
  <si>
    <t>Total liabilities and stockholders' equity</t>
  </si>
  <si>
    <t>Balance Check:</t>
  </si>
  <si>
    <r>
      <t xml:space="preserve">NewCo: Net Income </t>
    </r>
    <r>
      <rPr>
        <sz val="11"/>
        <rFont val="Times New Roman"/>
        <family val="1"/>
      </rPr>
      <t>(CAGR)</t>
    </r>
  </si>
  <si>
    <t>* 170 MW of Doswell CT is not included here.</t>
  </si>
  <si>
    <t>ENA GenCo SUMMARY OUTPUT</t>
  </si>
  <si>
    <t>ENA GenCo ASSUMPTIONS</t>
  </si>
  <si>
    <t>ENA GenCo POWER PRICE ASSUMPTION</t>
  </si>
  <si>
    <t>ENA GenCo INCOME STATEMENT</t>
  </si>
  <si>
    <t>ENA GenCo ANNUAL CASH FLOW AND IRR</t>
  </si>
  <si>
    <t>ENA GenCo FEDERAL TAXES</t>
  </si>
  <si>
    <t>ENA GenCo DEBT ISSUANCE</t>
  </si>
  <si>
    <t>ENA GenCo DEPRECIATION</t>
  </si>
  <si>
    <t>TABLE OF CONTENTS</t>
  </si>
  <si>
    <t>Table of Contents</t>
  </si>
  <si>
    <t>Page</t>
  </si>
  <si>
    <t>Project E2/Endeavor</t>
  </si>
  <si>
    <t>Maine Hydro</t>
  </si>
  <si>
    <t>SEGS VIII</t>
  </si>
  <si>
    <t>SEGS IX</t>
  </si>
  <si>
    <t>NELP Bellingham &amp; Sayreville</t>
  </si>
  <si>
    <t>BROWNSVILLE</t>
  </si>
  <si>
    <t>CALEDONIA</t>
  </si>
  <si>
    <t>NEW ALBANY</t>
  </si>
  <si>
    <t>GLEASON</t>
  </si>
  <si>
    <t>WHEATLAND</t>
  </si>
  <si>
    <t>WILTON</t>
  </si>
  <si>
    <t>FPLE Debt Issuance - Merchant</t>
  </si>
  <si>
    <t>FPLE Debt Issuance - Contract</t>
  </si>
  <si>
    <t>FPLE Debt Issuance</t>
  </si>
  <si>
    <t>TAB</t>
  </si>
  <si>
    <t>Inventories</t>
  </si>
  <si>
    <t>Other Current Assets</t>
  </si>
  <si>
    <t>Total Deferred Taxes</t>
  </si>
  <si>
    <t>Cummulative Deferred Taxes</t>
  </si>
  <si>
    <t>Deferred Tax Asset</t>
  </si>
  <si>
    <t>Other Payables</t>
  </si>
  <si>
    <t>DEFERRED INCOME TAXES - Development Projects</t>
  </si>
  <si>
    <t>Total Cash Taxes Paid</t>
  </si>
  <si>
    <t xml:space="preserve">Total Book Taxes </t>
  </si>
  <si>
    <t>Deferred Tax Assets</t>
  </si>
  <si>
    <t>Power Contract</t>
  </si>
  <si>
    <t>Liability</t>
  </si>
  <si>
    <t>ENA GenCo BALANCE SHEET</t>
  </si>
  <si>
    <t>Debt Balance - Development Projects</t>
  </si>
  <si>
    <t>DEFERRED INCOME TAXES w/o Development Projects</t>
  </si>
  <si>
    <t>8.5% ~ 11.0%</t>
  </si>
  <si>
    <t>VALUATION SUMMARY</t>
  </si>
  <si>
    <t>NewCo Development - Project Schedule</t>
  </si>
  <si>
    <t>Turbine Delivered</t>
  </si>
  <si>
    <t>Turbine Used</t>
  </si>
  <si>
    <t>Turbine Que</t>
  </si>
  <si>
    <t>Turbine used</t>
  </si>
  <si>
    <t>Marcus Hook</t>
  </si>
  <si>
    <t>Pecan</t>
  </si>
  <si>
    <t>IDC</t>
  </si>
  <si>
    <t>Phili</t>
  </si>
  <si>
    <t>Everett</t>
  </si>
  <si>
    <t>Hope</t>
  </si>
  <si>
    <t>Development Schedule</t>
  </si>
  <si>
    <t>IPO Proceeds</t>
  </si>
  <si>
    <t>NOL Carryforward - Yes</t>
  </si>
  <si>
    <t>NOL Carryforward - No</t>
  </si>
  <si>
    <t>Projects</t>
  </si>
  <si>
    <t>Turbine</t>
  </si>
  <si>
    <t>Total MW by 2005</t>
  </si>
  <si>
    <t xml:space="preserve">ENA </t>
  </si>
  <si>
    <t>Enterprise Value</t>
  </si>
  <si>
    <t>FPLE: Plus Revenue to FPLE (Fees &amp; Interests)</t>
  </si>
  <si>
    <t>Plus Revenue to FPLE (Fees &amp; Interests)</t>
  </si>
  <si>
    <t>(25% of EBITDA)</t>
  </si>
  <si>
    <t>(50% of EBITDA)</t>
  </si>
  <si>
    <t>Debt Proceeds</t>
  </si>
  <si>
    <t>Net Capital Sources/(Uses)</t>
  </si>
  <si>
    <t>Cumulative Capital</t>
  </si>
  <si>
    <t xml:space="preserve">Principal paid to FPLE </t>
  </si>
  <si>
    <t xml:space="preserve">FPLE: Principal paid to FPLE </t>
  </si>
  <si>
    <t>Principal Paid to FPLE from Partner Loan</t>
  </si>
  <si>
    <t>Notes Receivable</t>
  </si>
  <si>
    <t>Plus: Revenue to FPLE (Fees &amp; Interests)</t>
  </si>
  <si>
    <t xml:space="preserve">Plus: Principal paid to FPLE </t>
  </si>
  <si>
    <t>Corporate Cash Flow with Development Pipeline</t>
  </si>
  <si>
    <t xml:space="preserve">Weighted Average </t>
  </si>
  <si>
    <t>Cost of Debt</t>
  </si>
  <si>
    <t>Corporate Debt</t>
  </si>
  <si>
    <t>Project Debt</t>
  </si>
  <si>
    <t>Contstruction Loan</t>
  </si>
  <si>
    <t>Add:  Taxes</t>
  </si>
  <si>
    <t>Add: Interest Expense</t>
  </si>
  <si>
    <t>Add:  Bk Depreciation</t>
  </si>
  <si>
    <t>Implied EBITDA</t>
  </si>
  <si>
    <t>EBITDA with Development Projects</t>
  </si>
  <si>
    <t>after-tax interest expense of Construction Loan in 2003, 2004)</t>
  </si>
  <si>
    <t xml:space="preserve">(Innclude after-tax interest income in 2001, 2002 and </t>
  </si>
  <si>
    <t>NewCo BALANCE SHEET (with Development Pipeline)</t>
  </si>
  <si>
    <t>NewCo: Existing Assets</t>
  </si>
  <si>
    <t>NewCo with Development Pipeline</t>
  </si>
  <si>
    <t>Net Income with Development Pipeline</t>
  </si>
  <si>
    <t>After-Tax Cash Flow with Development Pipeline</t>
  </si>
  <si>
    <t>After-tax Interest Income with Development Pipeline</t>
  </si>
  <si>
    <t>After-tax Interest Income with existing assets</t>
  </si>
  <si>
    <t>Cash Flow from Operations</t>
  </si>
  <si>
    <t>Cash Balance with existing assets</t>
  </si>
  <si>
    <t>State Taxes (allocated to Projects)</t>
  </si>
  <si>
    <t>Plus Interest Income</t>
  </si>
  <si>
    <t>Book State Tax after Allocation of Corporate G&amp;A and Interest Income</t>
  </si>
  <si>
    <t>Corporate G&amp;A Allocation</t>
  </si>
  <si>
    <t>NOL Carryforward: Yes</t>
  </si>
  <si>
    <t>NOL Carryforward: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</si>
</sst>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79" formatCode="0.00\x_);\(0.00\x\)"/>
    <numFmt numFmtId="180" formatCode="_(* #,##0.0_);_(* \(#,##0.0\);_(* &quot;-&quot;?_);_(@_)"/>
    <numFmt numFmtId="187" formatCode="0.0"/>
    <numFmt numFmtId="189" formatCode="0.0000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2" formatCode="0.00\x"/>
    <numFmt numFmtId="214" formatCode="0_);\(0\)"/>
    <numFmt numFmtId="221" formatCode="#,##0.0"/>
    <numFmt numFmtId="222" formatCode="#,##0.000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55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7"/>
      <name val="times new roman"/>
      <family val="1"/>
    </font>
    <font>
      <sz val="9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b/>
      <sz val="10"/>
      <color indexed="12"/>
      <name val="Times New Roman"/>
      <family val="1"/>
    </font>
    <font>
      <sz val="10"/>
      <name val="Arial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sz val="9"/>
      <name val="Arial"/>
      <family val="2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color indexed="20"/>
      <name val="Times New Roman"/>
      <family val="1"/>
    </font>
    <font>
      <u/>
      <sz val="10"/>
      <color indexed="20"/>
      <name val="Times New Roman"/>
      <family val="1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i/>
      <u/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u/>
      <sz val="10"/>
      <color indexed="18"/>
      <name val="Times New Roman"/>
      <family val="1"/>
    </font>
    <font>
      <b/>
      <u/>
      <sz val="10"/>
      <color indexed="18"/>
      <name val="Times New Roman"/>
      <family val="1"/>
    </font>
    <font>
      <sz val="10"/>
      <color indexed="18"/>
      <name val="Arial"/>
    </font>
    <font>
      <b/>
      <i/>
      <sz val="10"/>
      <color indexed="18"/>
      <name val="Times New Roman"/>
      <family val="1"/>
    </font>
    <font>
      <b/>
      <sz val="11"/>
      <name val="Times New Roman"/>
      <family val="1"/>
    </font>
    <font>
      <b/>
      <u/>
      <sz val="10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u/>
      <sz val="11"/>
      <name val="Times New Roman"/>
      <family val="1"/>
    </font>
    <font>
      <b/>
      <sz val="8"/>
      <name val="Times New Roman"/>
      <family val="1"/>
    </font>
    <font>
      <u val="singleAccounting"/>
      <sz val="8"/>
      <name val="Times New Roman"/>
      <family val="1"/>
    </font>
    <font>
      <b/>
      <i/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sz val="18"/>
      <name val="Times New Roman"/>
      <family val="1"/>
    </font>
    <font>
      <b/>
      <sz val="20"/>
      <name val="Times New Roman"/>
      <family val="1"/>
    </font>
    <font>
      <b/>
      <u/>
      <sz val="12"/>
      <name val="Times New Roman"/>
      <family val="1"/>
    </font>
    <font>
      <u/>
      <sz val="12"/>
      <name val="Times New Roman"/>
      <family val="1"/>
    </font>
    <font>
      <b/>
      <i/>
      <sz val="12"/>
      <name val="Times New Roman"/>
      <family val="1"/>
    </font>
    <font>
      <vertAlign val="superscript"/>
      <sz val="9"/>
      <name val="Times New Roman"/>
      <family val="1"/>
    </font>
    <font>
      <i/>
      <u/>
      <sz val="12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0"/>
      <color indexed="9"/>
      <name val="Times New Roman"/>
      <family val="1"/>
    </font>
    <font>
      <b/>
      <i/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b/>
      <u/>
      <sz val="10"/>
      <color indexed="10"/>
      <name val="Times New Roman"/>
      <family val="1"/>
    </font>
    <font>
      <b/>
      <sz val="7"/>
      <name val="Times New Roman"/>
      <family val="1"/>
    </font>
    <font>
      <b/>
      <u/>
      <sz val="8"/>
      <name val="Times New Roman"/>
      <family val="1"/>
    </font>
    <font>
      <i/>
      <u/>
      <sz val="8"/>
      <name val="Times New Roman"/>
      <family val="1"/>
    </font>
    <font>
      <u/>
      <sz val="10"/>
      <color indexed="10"/>
      <name val="Times New Roman"/>
      <family val="1"/>
    </font>
    <font>
      <i/>
      <u/>
      <sz val="10"/>
      <color indexed="12"/>
      <name val="Times New Roman"/>
      <family val="1"/>
    </font>
    <font>
      <sz val="10"/>
      <color indexed="44"/>
      <name val="Times New Roman"/>
      <family val="1"/>
    </font>
    <font>
      <sz val="10"/>
      <color indexed="14"/>
      <name val="Times New Roman"/>
      <family val="1"/>
    </font>
    <font>
      <sz val="11"/>
      <color indexed="9"/>
      <name val="Times New Roman"/>
      <family val="1"/>
    </font>
    <font>
      <b/>
      <sz val="15"/>
      <name val="Times New Roman"/>
      <family val="1"/>
    </font>
    <font>
      <b/>
      <i/>
      <u/>
      <sz val="10"/>
      <name val="Times New Roman"/>
      <family val="1"/>
    </font>
    <font>
      <b/>
      <sz val="11"/>
      <color indexed="10"/>
      <name val="Times New Roman"/>
      <family val="1"/>
    </font>
    <font>
      <sz val="10"/>
      <color indexed="2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</fills>
  <borders count="3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46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9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30" fillId="4" borderId="0" applyNumberFormat="0" applyBorder="0" applyAlignment="0" applyProtection="0"/>
    <xf numFmtId="0" fontId="56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9" fillId="0" borderId="2" applyNumberFormat="0" applyFill="0" applyAlignment="0" applyProtection="0"/>
    <xf numFmtId="10" fontId="30" fillId="5" borderId="3" applyNumberFormat="0" applyBorder="0" applyAlignment="0" applyProtection="0"/>
    <xf numFmtId="37" fontId="58" fillId="0" borderId="0"/>
    <xf numFmtId="170" fontId="59" fillId="0" borderId="0"/>
    <xf numFmtId="0" fontId="1" fillId="0" borderId="0"/>
    <xf numFmtId="37" fontId="7" fillId="0" borderId="0" applyBorder="0" applyAlignment="0" applyProtection="0">
      <alignment horizontal="center"/>
    </xf>
    <xf numFmtId="0" fontId="1" fillId="0" borderId="0"/>
    <xf numFmtId="0" fontId="23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30" fillId="8" borderId="0" applyNumberFormat="0" applyBorder="0" applyAlignment="0" applyProtection="0"/>
    <xf numFmtId="37" fontId="30" fillId="8" borderId="0" applyNumberFormat="0" applyBorder="0" applyAlignment="0" applyProtection="0"/>
    <xf numFmtId="37" fontId="7" fillId="0" borderId="0"/>
    <xf numFmtId="37" fontId="7" fillId="4" borderId="0" applyNumberFormat="0" applyBorder="0" applyAlignment="0" applyProtection="0"/>
    <xf numFmtId="3" fontId="96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1370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9" fillId="0" borderId="0" xfId="0" applyFont="1" applyFill="1"/>
    <xf numFmtId="0" fontId="8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6" fillId="0" borderId="0" xfId="0" applyFont="1" applyFill="1" applyBorder="1"/>
    <xf numFmtId="166" fontId="16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20" fillId="0" borderId="0" xfId="0" applyFont="1" applyFill="1" applyBorder="1" applyAlignment="1">
      <alignment horizontal="center"/>
    </xf>
    <xf numFmtId="0" fontId="27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20" fillId="0" borderId="0" xfId="0" applyNumberFormat="1" applyFont="1" applyFill="1" applyBorder="1"/>
    <xf numFmtId="43" fontId="28" fillId="0" borderId="0" xfId="3" applyFont="1" applyFill="1" applyBorder="1"/>
    <xf numFmtId="9" fontId="28" fillId="0" borderId="0" xfId="22" applyFont="1" applyFill="1" applyBorder="1"/>
    <xf numFmtId="0" fontId="23" fillId="0" borderId="0" xfId="0" applyFont="1" applyFill="1" applyBorder="1"/>
    <xf numFmtId="37" fontId="23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6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2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2" applyFont="1" applyFill="1" applyBorder="1"/>
    <xf numFmtId="9" fontId="2" fillId="0" borderId="0" xfId="0" applyNumberFormat="1" applyFont="1" applyFill="1" applyBorder="1"/>
    <xf numFmtId="0" fontId="15" fillId="0" borderId="0" xfId="21" applyFont="1" applyFill="1" applyBorder="1" applyAlignment="1" applyProtection="1">
      <alignment horizontal="left"/>
    </xf>
    <xf numFmtId="0" fontId="15" fillId="0" borderId="0" xfId="21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12" fillId="0" borderId="0" xfId="0" applyNumberFormat="1" applyFont="1" applyFill="1" applyBorder="1"/>
    <xf numFmtId="0" fontId="16" fillId="0" borderId="0" xfId="21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6" fillId="0" borderId="0" xfId="0" applyNumberFormat="1" applyFont="1" applyFill="1" applyBorder="1" applyProtection="1"/>
    <xf numFmtId="166" fontId="12" fillId="0" borderId="0" xfId="3" applyNumberFormat="1" applyFont="1" applyFill="1" applyBorder="1"/>
    <xf numFmtId="166" fontId="3" fillId="0" borderId="0" xfId="0" applyNumberFormat="1" applyFont="1" applyFill="1" applyBorder="1"/>
    <xf numFmtId="41" fontId="12" fillId="0" borderId="0" xfId="0" applyNumberFormat="1" applyFont="1" applyFill="1" applyBorder="1"/>
    <xf numFmtId="41" fontId="2" fillId="0" borderId="0" xfId="0" applyNumberFormat="1" applyFont="1" applyFill="1" applyBorder="1"/>
    <xf numFmtId="41" fontId="16" fillId="0" borderId="0" xfId="0" applyNumberFormat="1" applyFont="1" applyFill="1" applyBorder="1"/>
    <xf numFmtId="0" fontId="12" fillId="0" borderId="0" xfId="0" applyFont="1" applyFill="1" applyBorder="1"/>
    <xf numFmtId="37" fontId="12" fillId="0" borderId="0" xfId="0" applyNumberFormat="1" applyFont="1" applyFill="1" applyBorder="1"/>
    <xf numFmtId="10" fontId="12" fillId="0" borderId="0" xfId="0" applyNumberFormat="1" applyFont="1" applyFill="1" applyBorder="1"/>
    <xf numFmtId="0" fontId="2" fillId="0" borderId="0" xfId="19" applyFont="1" applyFill="1" applyBorder="1"/>
    <xf numFmtId="0" fontId="3" fillId="0" borderId="0" xfId="19" applyFont="1" applyFill="1" applyBorder="1"/>
    <xf numFmtId="0" fontId="2" fillId="0" borderId="0" xfId="19" applyFont="1" applyFill="1" applyBorder="1" applyAlignment="1">
      <alignment horizontal="center"/>
    </xf>
    <xf numFmtId="0" fontId="2" fillId="0" borderId="0" xfId="20" applyFont="1" applyFill="1" applyBorder="1"/>
    <xf numFmtId="0" fontId="3" fillId="0" borderId="0" xfId="20" applyFont="1" applyFill="1" applyBorder="1"/>
    <xf numFmtId="164" fontId="2" fillId="0" borderId="0" xfId="22" applyNumberFormat="1" applyFont="1" applyFill="1" applyBorder="1"/>
    <xf numFmtId="0" fontId="2" fillId="0" borderId="0" xfId="19" applyFont="1" applyFill="1" applyBorder="1" applyAlignment="1">
      <alignment horizontal="left"/>
    </xf>
    <xf numFmtId="41" fontId="3" fillId="0" borderId="0" xfId="19" applyNumberFormat="1" applyFont="1" applyFill="1" applyBorder="1"/>
    <xf numFmtId="0" fontId="3" fillId="0" borderId="0" xfId="19" applyFont="1" applyFill="1" applyBorder="1" applyAlignment="1">
      <alignment horizontal="left"/>
    </xf>
    <xf numFmtId="166" fontId="26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9" applyNumberFormat="1" applyFont="1" applyFill="1" applyBorder="1" applyProtection="1"/>
    <xf numFmtId="37" fontId="26" fillId="0" borderId="0" xfId="19" applyNumberFormat="1" applyFont="1" applyFill="1" applyBorder="1" applyProtection="1"/>
    <xf numFmtId="10" fontId="3" fillId="0" borderId="0" xfId="22" applyNumberFormat="1" applyFont="1" applyFill="1" applyBorder="1"/>
    <xf numFmtId="9" fontId="3" fillId="0" borderId="0" xfId="19" applyNumberFormat="1" applyFont="1" applyFill="1" applyBorder="1"/>
    <xf numFmtId="0" fontId="16" fillId="0" borderId="0" xfId="19" applyFont="1" applyFill="1" applyBorder="1" applyAlignment="1">
      <alignment horizontal="left"/>
    </xf>
    <xf numFmtId="10" fontId="3" fillId="0" borderId="0" xfId="19" applyNumberFormat="1" applyFont="1" applyFill="1" applyBorder="1"/>
    <xf numFmtId="0" fontId="2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left"/>
    </xf>
    <xf numFmtId="38" fontId="13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38" fontId="0" fillId="0" borderId="0" xfId="0" applyNumberFormat="1" applyFill="1"/>
    <xf numFmtId="0" fontId="0" fillId="0" borderId="0" xfId="0" applyFill="1" applyBorder="1"/>
    <xf numFmtId="0" fontId="2" fillId="0" borderId="6" xfId="0" applyNumberFormat="1" applyFont="1" applyFill="1" applyBorder="1" applyAlignment="1">
      <alignment horizontal="left"/>
    </xf>
    <xf numFmtId="38" fontId="10" fillId="0" borderId="0" xfId="3" applyNumberFormat="1" applyFont="1" applyFill="1"/>
    <xf numFmtId="0" fontId="13" fillId="0" borderId="0" xfId="0" applyFont="1" applyFill="1"/>
    <xf numFmtId="37" fontId="0" fillId="0" borderId="0" xfId="0" applyNumberFormat="1" applyFill="1"/>
    <xf numFmtId="10" fontId="11" fillId="0" borderId="0" xfId="22" applyNumberFormat="1" applyFont="1" applyFill="1" applyAlignment="1">
      <alignment horizontal="center"/>
    </xf>
    <xf numFmtId="38" fontId="16" fillId="0" borderId="0" xfId="0" applyNumberFormat="1" applyFont="1" applyFill="1"/>
    <xf numFmtId="0" fontId="32" fillId="0" borderId="0" xfId="0" applyFont="1" applyFill="1"/>
    <xf numFmtId="0" fontId="19" fillId="0" borderId="0" xfId="0" applyFont="1" applyFill="1" applyBorder="1" applyAlignment="1">
      <alignment horizontal="center"/>
    </xf>
    <xf numFmtId="38" fontId="16" fillId="0" borderId="4" xfId="0" applyNumberFormat="1" applyFont="1" applyFill="1" applyBorder="1"/>
    <xf numFmtId="0" fontId="25" fillId="0" borderId="0" xfId="0" applyFont="1" applyFill="1"/>
    <xf numFmtId="0" fontId="6" fillId="0" borderId="6" xfId="0" applyFont="1" applyFill="1" applyBorder="1"/>
    <xf numFmtId="166" fontId="17" fillId="0" borderId="0" xfId="0" applyNumberFormat="1" applyFont="1" applyFill="1"/>
    <xf numFmtId="166" fontId="33" fillId="0" borderId="0" xfId="0" applyNumberFormat="1" applyFont="1" applyFill="1"/>
    <xf numFmtId="0" fontId="25" fillId="0" borderId="7" xfId="0" applyFont="1" applyFill="1" applyBorder="1"/>
    <xf numFmtId="0" fontId="0" fillId="0" borderId="8" xfId="0" applyFill="1" applyBorder="1"/>
    <xf numFmtId="0" fontId="0" fillId="0" borderId="9" xfId="0" applyFill="1" applyBorder="1"/>
    <xf numFmtId="165" fontId="0" fillId="0" borderId="0" xfId="0" applyNumberFormat="1" applyFill="1"/>
    <xf numFmtId="0" fontId="0" fillId="0" borderId="10" xfId="0" quotePrefix="1" applyFill="1" applyBorder="1"/>
    <xf numFmtId="165" fontId="0" fillId="0" borderId="11" xfId="4" applyNumberFormat="1" applyFont="1" applyFill="1" applyBorder="1"/>
    <xf numFmtId="0" fontId="0" fillId="0" borderId="10" xfId="0" applyFill="1" applyBorder="1"/>
    <xf numFmtId="166" fontId="0" fillId="0" borderId="11" xfId="3" applyNumberFormat="1" applyFont="1" applyFill="1" applyBorder="1"/>
    <xf numFmtId="0" fontId="0" fillId="0" borderId="12" xfId="0" applyFill="1" applyBorder="1"/>
    <xf numFmtId="0" fontId="0" fillId="0" borderId="6" xfId="0" applyFill="1" applyBorder="1"/>
    <xf numFmtId="165" fontId="0" fillId="0" borderId="13" xfId="4" applyNumberFormat="1" applyFont="1" applyFill="1" applyBorder="1"/>
    <xf numFmtId="165" fontId="0" fillId="0" borderId="0" xfId="4" applyNumberFormat="1" applyFont="1" applyFill="1"/>
    <xf numFmtId="0" fontId="6" fillId="0" borderId="0" xfId="0" applyFont="1" applyFill="1"/>
    <xf numFmtId="166" fontId="0" fillId="0" borderId="0" xfId="3" applyNumberFormat="1" applyFont="1" applyFill="1"/>
    <xf numFmtId="0" fontId="17" fillId="0" borderId="0" xfId="0" applyFont="1" applyFill="1"/>
    <xf numFmtId="43" fontId="0" fillId="0" borderId="0" xfId="0" applyNumberFormat="1" applyFill="1"/>
    <xf numFmtId="166" fontId="0" fillId="0" borderId="4" xfId="3" applyNumberFormat="1" applyFont="1" applyFill="1" applyBorder="1"/>
    <xf numFmtId="10" fontId="0" fillId="0" borderId="0" xfId="0" applyNumberFormat="1" applyFill="1"/>
    <xf numFmtId="38" fontId="0" fillId="0" borderId="4" xfId="0" applyNumberFormat="1" applyFill="1" applyBorder="1"/>
    <xf numFmtId="0" fontId="21" fillId="0" borderId="0" xfId="0" applyFont="1" applyFill="1"/>
    <xf numFmtId="0" fontId="6" fillId="0" borderId="8" xfId="0" applyFont="1" applyFill="1" applyBorder="1"/>
    <xf numFmtId="0" fontId="6" fillId="0" borderId="9" xfId="0" applyFont="1" applyFill="1" applyBorder="1"/>
    <xf numFmtId="0" fontId="17" fillId="0" borderId="10" xfId="0" applyFont="1" applyFill="1" applyBorder="1"/>
    <xf numFmtId="0" fontId="17" fillId="0" borderId="0" xfId="0" applyFont="1" applyFill="1" applyBorder="1"/>
    <xf numFmtId="165" fontId="17" fillId="0" borderId="11" xfId="4" applyNumberFormat="1" applyFont="1" applyFill="1" applyBorder="1"/>
    <xf numFmtId="166" fontId="17" fillId="0" borderId="11" xfId="3" applyNumberFormat="1" applyFont="1" applyFill="1" applyBorder="1"/>
    <xf numFmtId="166" fontId="0" fillId="0" borderId="0" xfId="0" applyNumberFormat="1" applyFill="1"/>
    <xf numFmtId="166" fontId="17" fillId="0" borderId="14" xfId="0" applyNumberFormat="1" applyFont="1" applyFill="1" applyBorder="1"/>
    <xf numFmtId="0" fontId="6" fillId="0" borderId="12" xfId="0" applyFont="1" applyFill="1" applyBorder="1"/>
    <xf numFmtId="38" fontId="12" fillId="0" borderId="0" xfId="0" applyNumberFormat="1" applyFont="1" applyFill="1"/>
    <xf numFmtId="38" fontId="12" fillId="0" borderId="4" xfId="0" applyNumberFormat="1" applyFont="1" applyFill="1" applyBorder="1"/>
    <xf numFmtId="10" fontId="12" fillId="0" borderId="0" xfId="22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16" fillId="0" borderId="0" xfId="0" applyNumberFormat="1" applyFont="1" applyFill="1" applyAlignment="1">
      <alignment horizontal="center"/>
    </xf>
    <xf numFmtId="9" fontId="34" fillId="0" borderId="15" xfId="22" applyFont="1" applyFill="1" applyBorder="1"/>
    <xf numFmtId="9" fontId="29" fillId="0" borderId="0" xfId="22" applyFont="1" applyFill="1"/>
    <xf numFmtId="166" fontId="29" fillId="0" borderId="0" xfId="3" applyNumberFormat="1" applyFont="1" applyFill="1"/>
    <xf numFmtId="9" fontId="29" fillId="0" borderId="14" xfId="22" applyFont="1" applyFill="1" applyBorder="1"/>
    <xf numFmtId="166" fontId="29" fillId="0" borderId="14" xfId="3" applyNumberFormat="1" applyFont="1" applyFill="1" applyBorder="1"/>
    <xf numFmtId="165" fontId="29" fillId="0" borderId="0" xfId="4" applyNumberFormat="1" applyFont="1" applyFill="1"/>
    <xf numFmtId="0" fontId="29" fillId="0" borderId="0" xfId="0" applyFont="1" applyFill="1"/>
    <xf numFmtId="10" fontId="29" fillId="0" borderId="0" xfId="22" applyNumberFormat="1" applyFont="1" applyFill="1"/>
    <xf numFmtId="166" fontId="29" fillId="0" borderId="11" xfId="3" applyNumberFormat="1" applyFont="1" applyFill="1" applyBorder="1"/>
    <xf numFmtId="164" fontId="29" fillId="0" borderId="0" xfId="22" applyNumberFormat="1" applyFont="1" applyFill="1"/>
    <xf numFmtId="164" fontId="0" fillId="0" borderId="0" xfId="22" applyNumberFormat="1" applyFont="1" applyFill="1"/>
    <xf numFmtId="164" fontId="0" fillId="0" borderId="0" xfId="0" applyNumberFormat="1" applyFill="1"/>
    <xf numFmtId="166" fontId="6" fillId="0" borderId="13" xfId="3" applyNumberFormat="1" applyFont="1" applyFill="1" applyBorder="1"/>
    <xf numFmtId="166" fontId="12" fillId="0" borderId="0" xfId="3" applyNumberFormat="1" applyFont="1" applyFill="1"/>
    <xf numFmtId="38" fontId="35" fillId="0" borderId="0" xfId="3" applyNumberFormat="1" applyFont="1" applyFill="1"/>
    <xf numFmtId="38" fontId="12" fillId="0" borderId="4" xfId="3" applyNumberFormat="1" applyFont="1" applyFill="1" applyBorder="1"/>
    <xf numFmtId="10" fontId="36" fillId="0" borderId="0" xfId="22" applyNumberFormat="1" applyFont="1" applyFill="1" applyAlignment="1">
      <alignment horizontal="center"/>
    </xf>
    <xf numFmtId="9" fontId="36" fillId="0" borderId="0" xfId="0" applyNumberFormat="1" applyFont="1" applyFill="1" applyAlignment="1">
      <alignment horizontal="center"/>
    </xf>
    <xf numFmtId="10" fontId="29" fillId="0" borderId="0" xfId="22" applyNumberFormat="1" applyFont="1" applyProtection="1"/>
    <xf numFmtId="38" fontId="32" fillId="0" borderId="0" xfId="0" applyNumberFormat="1" applyFont="1" applyFill="1"/>
    <xf numFmtId="0" fontId="37" fillId="0" borderId="0" xfId="0" applyFont="1" applyFill="1"/>
    <xf numFmtId="0" fontId="32" fillId="0" borderId="8" xfId="0" applyFont="1" applyFill="1" applyBorder="1"/>
    <xf numFmtId="0" fontId="32" fillId="0" borderId="9" xfId="0" applyFont="1" applyFill="1" applyBorder="1"/>
    <xf numFmtId="166" fontId="32" fillId="0" borderId="0" xfId="3" applyNumberFormat="1" applyFont="1" applyFill="1"/>
    <xf numFmtId="165" fontId="32" fillId="0" borderId="0" xfId="0" applyNumberFormat="1" applyFont="1" applyFill="1"/>
    <xf numFmtId="0" fontId="32" fillId="0" borderId="10" xfId="0" quotePrefix="1" applyFont="1" applyFill="1" applyBorder="1"/>
    <xf numFmtId="0" fontId="32" fillId="0" borderId="0" xfId="0" applyFont="1" applyFill="1" applyBorder="1"/>
    <xf numFmtId="165" fontId="32" fillId="0" borderId="11" xfId="4" applyNumberFormat="1" applyFont="1" applyFill="1" applyBorder="1"/>
    <xf numFmtId="38" fontId="37" fillId="0" borderId="0" xfId="0" applyNumberFormat="1" applyFont="1" applyFill="1"/>
    <xf numFmtId="0" fontId="37" fillId="0" borderId="10" xfId="0" applyFont="1" applyFill="1" applyBorder="1"/>
    <xf numFmtId="0" fontId="37" fillId="0" borderId="0" xfId="0" applyFont="1" applyFill="1" applyBorder="1"/>
    <xf numFmtId="0" fontId="32" fillId="0" borderId="10" xfId="0" applyFont="1" applyFill="1" applyBorder="1"/>
    <xf numFmtId="166" fontId="32" fillId="0" borderId="11" xfId="3" applyNumberFormat="1" applyFont="1" applyFill="1" applyBorder="1"/>
    <xf numFmtId="0" fontId="32" fillId="0" borderId="12" xfId="0" applyFont="1" applyFill="1" applyBorder="1"/>
    <xf numFmtId="0" fontId="32" fillId="0" borderId="6" xfId="0" applyFont="1" applyFill="1" applyBorder="1"/>
    <xf numFmtId="165" fontId="32" fillId="0" borderId="13" xfId="4" applyNumberFormat="1" applyFont="1" applyFill="1" applyBorder="1"/>
    <xf numFmtId="165" fontId="37" fillId="0" borderId="0" xfId="4" applyNumberFormat="1" applyFont="1" applyFill="1"/>
    <xf numFmtId="165" fontId="32" fillId="0" borderId="0" xfId="4" applyNumberFormat="1" applyFont="1" applyFill="1"/>
    <xf numFmtId="37" fontId="32" fillId="0" borderId="0" xfId="0" applyNumberFormat="1" applyFont="1" applyFill="1"/>
    <xf numFmtId="164" fontId="32" fillId="0" borderId="0" xfId="0" applyNumberFormat="1" applyFont="1" applyFill="1"/>
    <xf numFmtId="10" fontId="32" fillId="0" borderId="0" xfId="22" applyNumberFormat="1" applyFont="1" applyProtection="1"/>
    <xf numFmtId="43" fontId="32" fillId="0" borderId="0" xfId="0" applyNumberFormat="1" applyFont="1" applyFill="1"/>
    <xf numFmtId="166" fontId="32" fillId="0" borderId="4" xfId="3" applyNumberFormat="1" applyFont="1" applyFill="1" applyBorder="1"/>
    <xf numFmtId="10" fontId="32" fillId="0" borderId="0" xfId="0" applyNumberFormat="1" applyFont="1" applyFill="1"/>
    <xf numFmtId="38" fontId="32" fillId="0" borderId="4" xfId="0" applyNumberFormat="1" applyFont="1" applyFill="1" applyBorder="1"/>
    <xf numFmtId="166" fontId="32" fillId="0" borderId="0" xfId="0" applyNumberFormat="1" applyFont="1" applyFill="1"/>
    <xf numFmtId="164" fontId="32" fillId="0" borderId="0" xfId="22" applyNumberFormat="1" applyFont="1" applyFill="1"/>
    <xf numFmtId="38" fontId="38" fillId="0" borderId="0" xfId="0" applyNumberFormat="1" applyFont="1" applyFill="1"/>
    <xf numFmtId="0" fontId="39" fillId="0" borderId="0" xfId="0" applyFont="1" applyFill="1" applyBorder="1" applyAlignment="1">
      <alignment horizontal="centerContinuous"/>
    </xf>
    <xf numFmtId="38" fontId="38" fillId="0" borderId="4" xfId="3" applyNumberFormat="1" applyFont="1" applyFill="1" applyBorder="1"/>
    <xf numFmtId="166" fontId="16" fillId="0" borderId="0" xfId="3" applyNumberFormat="1" applyFont="1" applyFill="1"/>
    <xf numFmtId="9" fontId="3" fillId="0" borderId="0" xfId="22" applyFont="1" applyFill="1"/>
    <xf numFmtId="166" fontId="17" fillId="0" borderId="13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2" xfId="0" applyFont="1" applyFill="1" applyBorder="1"/>
    <xf numFmtId="0" fontId="1" fillId="0" borderId="6" xfId="0" applyFont="1" applyFill="1" applyBorder="1"/>
    <xf numFmtId="165" fontId="1" fillId="0" borderId="13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2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41" fillId="0" borderId="0" xfId="3" applyNumberFormat="1" applyFont="1" applyFill="1"/>
    <xf numFmtId="38" fontId="14" fillId="0" borderId="0" xfId="3" applyNumberFormat="1" applyFont="1" applyFill="1" applyBorder="1"/>
    <xf numFmtId="166" fontId="30" fillId="0" borderId="0" xfId="3" applyNumberFormat="1" applyFont="1" applyFill="1"/>
    <xf numFmtId="166" fontId="30" fillId="0" borderId="0" xfId="4" applyNumberFormat="1" applyFont="1" applyFill="1"/>
    <xf numFmtId="166" fontId="30" fillId="0" borderId="13" xfId="3" applyNumberFormat="1" applyFont="1" applyFill="1" applyBorder="1"/>
    <xf numFmtId="166" fontId="33" fillId="0" borderId="0" xfId="3" applyNumberFormat="1" applyFont="1" applyFill="1"/>
    <xf numFmtId="38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36" fillId="0" borderId="0" xfId="0" applyFont="1" applyFill="1" applyBorder="1" applyAlignment="1">
      <alignment horizontal="centerContinuous"/>
    </xf>
    <xf numFmtId="0" fontId="12" fillId="0" borderId="0" xfId="0" applyFont="1" applyFill="1"/>
    <xf numFmtId="10" fontId="34" fillId="0" borderId="15" xfId="22" applyNumberFormat="1" applyFont="1" applyFill="1" applyBorder="1"/>
    <xf numFmtId="9" fontId="1" fillId="0" borderId="0" xfId="22" applyFont="1" applyFill="1"/>
    <xf numFmtId="38" fontId="4" fillId="0" borderId="0" xfId="0" applyNumberFormat="1" applyFont="1" applyFill="1"/>
    <xf numFmtId="38" fontId="4" fillId="0" borderId="0" xfId="3" applyNumberFormat="1" applyFont="1" applyFill="1"/>
    <xf numFmtId="38" fontId="4" fillId="0" borderId="0" xfId="3" applyNumberFormat="1" applyFont="1" applyFill="1" applyBorder="1"/>
    <xf numFmtId="0" fontId="4" fillId="0" borderId="0" xfId="0" applyFont="1" applyFill="1" applyBorder="1"/>
    <xf numFmtId="166" fontId="4" fillId="0" borderId="0" xfId="0" applyNumberFormat="1" applyFont="1" applyFill="1"/>
    <xf numFmtId="38" fontId="9" fillId="0" borderId="0" xfId="0" applyNumberFormat="1" applyFont="1" applyFill="1"/>
    <xf numFmtId="0" fontId="9" fillId="0" borderId="0" xfId="0" applyFont="1" applyFill="1" applyBorder="1"/>
    <xf numFmtId="166" fontId="4" fillId="0" borderId="0" xfId="3" applyNumberFormat="1" applyFont="1" applyFill="1"/>
    <xf numFmtId="166" fontId="4" fillId="0" borderId="0" xfId="3" applyNumberFormat="1" applyFont="1" applyFill="1" applyBorder="1"/>
    <xf numFmtId="9" fontId="11" fillId="0" borderId="0" xfId="0" applyNumberFormat="1" applyFont="1" applyFill="1" applyAlignment="1">
      <alignment horizontal="center"/>
    </xf>
    <xf numFmtId="43" fontId="3" fillId="0" borderId="0" xfId="3" applyFont="1" applyFill="1"/>
    <xf numFmtId="43" fontId="9" fillId="0" borderId="0" xfId="3" applyFont="1" applyFill="1"/>
    <xf numFmtId="38" fontId="9" fillId="0" borderId="0" xfId="3" applyNumberFormat="1" applyFont="1" applyFill="1"/>
    <xf numFmtId="43" fontId="5" fillId="0" borderId="0" xfId="3" applyFont="1" applyFill="1" applyAlignment="1">
      <alignment horizontal="left"/>
    </xf>
    <xf numFmtId="9" fontId="6" fillId="0" borderId="15" xfId="22" applyFont="1" applyFill="1" applyBorder="1"/>
    <xf numFmtId="9" fontId="0" fillId="0" borderId="14" xfId="22" applyFont="1" applyFill="1" applyBorder="1"/>
    <xf numFmtId="166" fontId="0" fillId="0" borderId="14" xfId="3" applyNumberFormat="1" applyFont="1" applyFill="1" applyBorder="1"/>
    <xf numFmtId="10" fontId="0" fillId="0" borderId="0" xfId="22" applyNumberFormat="1" applyFont="1" applyFill="1"/>
    <xf numFmtId="0" fontId="16" fillId="0" borderId="0" xfId="0" applyFont="1" applyFill="1"/>
    <xf numFmtId="38" fontId="16" fillId="0" borderId="4" xfId="3" applyNumberFormat="1" applyFont="1" applyFill="1" applyBorder="1"/>
    <xf numFmtId="9" fontId="15" fillId="0" borderId="0" xfId="0" applyNumberFormat="1" applyFont="1" applyFill="1" applyAlignment="1">
      <alignment horizontal="center"/>
    </xf>
    <xf numFmtId="166" fontId="1" fillId="0" borderId="0" xfId="3" applyNumberFormat="1" applyFont="1" applyFill="1" applyBorder="1"/>
    <xf numFmtId="166" fontId="1" fillId="0" borderId="0" xfId="0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40" fillId="0" borderId="0" xfId="3" applyNumberFormat="1" applyFont="1" applyFill="1"/>
    <xf numFmtId="43" fontId="32" fillId="0" borderId="0" xfId="0" quotePrefix="1" applyNumberFormat="1" applyFont="1" applyFill="1"/>
    <xf numFmtId="38" fontId="32" fillId="0" borderId="16" xfId="0" applyNumberFormat="1" applyFont="1" applyFill="1" applyBorder="1"/>
    <xf numFmtId="38" fontId="0" fillId="0" borderId="16" xfId="0" applyNumberFormat="1" applyFill="1" applyBorder="1"/>
    <xf numFmtId="173" fontId="37" fillId="0" borderId="0" xfId="0" applyNumberFormat="1" applyFont="1" applyFill="1"/>
    <xf numFmtId="165" fontId="43" fillId="0" borderId="13" xfId="4" applyNumberFormat="1" applyFont="1" applyFill="1" applyBorder="1"/>
    <xf numFmtId="165" fontId="17" fillId="0" borderId="13" xfId="4" applyNumberFormat="1" applyFont="1" applyFill="1" applyBorder="1"/>
    <xf numFmtId="166" fontId="0" fillId="0" borderId="0" xfId="0" applyNumberFormat="1"/>
    <xf numFmtId="37" fontId="3" fillId="0" borderId="16" xfId="0" applyNumberFormat="1" applyFont="1" applyFill="1" applyBorder="1"/>
    <xf numFmtId="39" fontId="3" fillId="0" borderId="0" xfId="0" applyNumberFormat="1" applyFont="1" applyFill="1" applyBorder="1"/>
    <xf numFmtId="38" fontId="12" fillId="0" borderId="0" xfId="3" applyNumberFormat="1" applyFont="1" applyFill="1"/>
    <xf numFmtId="164" fontId="34" fillId="0" borderId="15" xfId="22" applyNumberFormat="1" applyFont="1" applyFill="1" applyBorder="1"/>
    <xf numFmtId="0" fontId="8" fillId="4" borderId="0" xfId="0" applyFont="1" applyFill="1"/>
    <xf numFmtId="0" fontId="3" fillId="0" borderId="0" xfId="0" applyFont="1"/>
    <xf numFmtId="166" fontId="2" fillId="0" borderId="0" xfId="0" applyNumberFormat="1" applyFont="1" applyFill="1"/>
    <xf numFmtId="166" fontId="2" fillId="0" borderId="0" xfId="3" applyNumberFormat="1" applyFont="1" applyFill="1"/>
    <xf numFmtId="38" fontId="12" fillId="0" borderId="0" xfId="0" applyNumberFormat="1" applyFont="1"/>
    <xf numFmtId="0" fontId="11" fillId="0" borderId="0" xfId="0" applyFont="1"/>
    <xf numFmtId="38" fontId="2" fillId="0" borderId="0" xfId="0" applyNumberFormat="1" applyFont="1"/>
    <xf numFmtId="0" fontId="3" fillId="0" borderId="0" xfId="0" applyFont="1" applyFill="1" applyAlignment="1">
      <alignment horizontal="left" indent="1"/>
    </xf>
    <xf numFmtId="38" fontId="3" fillId="0" borderId="0" xfId="0" applyNumberFormat="1" applyFont="1" applyAlignment="1">
      <alignment horizontal="right"/>
    </xf>
    <xf numFmtId="0" fontId="3" fillId="0" borderId="0" xfId="0" applyFont="1" applyFill="1" applyBorder="1" applyAlignment="1">
      <alignment horizontal="left" indent="1"/>
    </xf>
    <xf numFmtId="38" fontId="14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8" fontId="97" fillId="0" borderId="0" xfId="0" applyNumberFormat="1" applyFont="1"/>
    <xf numFmtId="38" fontId="3" fillId="0" borderId="0" xfId="0" applyNumberFormat="1" applyFont="1"/>
    <xf numFmtId="38" fontId="14" fillId="0" borderId="0" xfId="0" applyNumberFormat="1" applyFont="1"/>
    <xf numFmtId="0" fontId="2" fillId="0" borderId="3" xfId="0" applyFont="1" applyFill="1" applyBorder="1" applyAlignment="1">
      <alignment horizontal="left"/>
    </xf>
    <xf numFmtId="9" fontId="3" fillId="0" borderId="0" xfId="0" applyNumberFormat="1" applyFont="1" applyFill="1" applyAlignment="1">
      <alignment horizontal="center"/>
    </xf>
    <xf numFmtId="0" fontId="26" fillId="0" borderId="0" xfId="0" applyFont="1" applyFill="1" applyAlignment="1">
      <alignment horizontal="center"/>
    </xf>
    <xf numFmtId="0" fontId="8" fillId="0" borderId="0" xfId="0" applyFont="1"/>
    <xf numFmtId="14" fontId="20" fillId="0" borderId="0" xfId="0" applyNumberFormat="1" applyFont="1" applyFill="1" applyBorder="1" applyAlignment="1">
      <alignment horizontal="center"/>
    </xf>
    <xf numFmtId="0" fontId="2" fillId="0" borderId="6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6" fontId="3" fillId="0" borderId="0" xfId="3" applyNumberFormat="1" applyFont="1"/>
    <xf numFmtId="166" fontId="3" fillId="0" borderId="0" xfId="3" applyNumberFormat="1" applyFont="1" applyBorder="1"/>
    <xf numFmtId="166" fontId="3" fillId="0" borderId="4" xfId="3" applyNumberFormat="1" applyFont="1" applyBorder="1"/>
    <xf numFmtId="166" fontId="13" fillId="0" borderId="0" xfId="3" applyNumberFormat="1" applyFont="1"/>
    <xf numFmtId="0" fontId="2" fillId="0" borderId="0" xfId="0" applyFont="1"/>
    <xf numFmtId="166" fontId="13" fillId="0" borderId="0" xfId="3" applyNumberFormat="1" applyFont="1" applyFill="1" applyBorder="1"/>
    <xf numFmtId="166" fontId="98" fillId="0" borderId="0" xfId="3" applyNumberFormat="1" applyFont="1"/>
    <xf numFmtId="166" fontId="3" fillId="0" borderId="0" xfId="0" applyNumberFormat="1" applyFont="1"/>
    <xf numFmtId="0" fontId="99" fillId="4" borderId="0" xfId="17" applyFont="1" applyFill="1" applyBorder="1"/>
    <xf numFmtId="0" fontId="94" fillId="0" borderId="0" xfId="0" applyFont="1"/>
    <xf numFmtId="0" fontId="94" fillId="0" borderId="0" xfId="0" applyFont="1" applyFill="1"/>
    <xf numFmtId="37" fontId="94" fillId="0" borderId="0" xfId="18" applyFont="1" applyAlignment="1"/>
    <xf numFmtId="37" fontId="94" fillId="0" borderId="0" xfId="18" applyFont="1" applyAlignment="1">
      <alignment horizontal="right"/>
    </xf>
    <xf numFmtId="37" fontId="94" fillId="0" borderId="0" xfId="18" applyFont="1" applyFill="1" applyAlignment="1"/>
    <xf numFmtId="37" fontId="26" fillId="0" borderId="0" xfId="18" applyFont="1" applyBorder="1" applyAlignment="1"/>
    <xf numFmtId="37" fontId="26" fillId="0" borderId="0" xfId="18" applyFont="1" applyBorder="1" applyAlignment="1">
      <alignment horizontal="right"/>
    </xf>
    <xf numFmtId="37" fontId="94" fillId="0" borderId="0" xfId="18" applyFont="1" applyFill="1" applyAlignment="1">
      <alignment horizontal="right"/>
    </xf>
    <xf numFmtId="0" fontId="16" fillId="0" borderId="0" xfId="0" applyFont="1" applyBorder="1"/>
    <xf numFmtId="0" fontId="3" fillId="0" borderId="0" xfId="0" applyFont="1" applyBorder="1"/>
    <xf numFmtId="0" fontId="2" fillId="0" borderId="0" xfId="0" applyFont="1" applyBorder="1"/>
    <xf numFmtId="166" fontId="2" fillId="0" borderId="0" xfId="3" applyNumberFormat="1" applyFont="1" applyBorder="1"/>
    <xf numFmtId="166" fontId="3" fillId="0" borderId="0" xfId="3" applyNumberFormat="1" applyFont="1" applyBorder="1" applyProtection="1"/>
    <xf numFmtId="166" fontId="94" fillId="0" borderId="0" xfId="3" applyNumberFormat="1" applyFont="1" applyFill="1" applyBorder="1"/>
    <xf numFmtId="0" fontId="2" fillId="0" borderId="0" xfId="0" applyFont="1" applyBorder="1" applyAlignment="1" applyProtection="1">
      <alignment horizontal="left"/>
    </xf>
    <xf numFmtId="166" fontId="3" fillId="0" borderId="0" xfId="3" applyNumberFormat="1" applyFont="1" applyFill="1" applyBorder="1" applyProtection="1"/>
    <xf numFmtId="0" fontId="3" fillId="0" borderId="6" xfId="0" applyFont="1" applyBorder="1"/>
    <xf numFmtId="166" fontId="13" fillId="0" borderId="0" xfId="3" applyNumberFormat="1" applyFont="1" applyBorder="1"/>
    <xf numFmtId="38" fontId="3" fillId="0" borderId="0" xfId="0" applyNumberFormat="1" applyFont="1" applyBorder="1"/>
    <xf numFmtId="166" fontId="9" fillId="0" borderId="0" xfId="3" applyNumberFormat="1" applyFont="1" applyBorder="1"/>
    <xf numFmtId="0" fontId="3" fillId="0" borderId="0" xfId="0" applyFont="1" applyBorder="1" applyAlignment="1" applyProtection="1">
      <alignment horizontal="left" indent="1"/>
    </xf>
    <xf numFmtId="0" fontId="9" fillId="0" borderId="0" xfId="0" applyFont="1" applyBorder="1"/>
    <xf numFmtId="38" fontId="9" fillId="0" borderId="5" xfId="0" applyNumberFormat="1" applyFont="1" applyBorder="1"/>
    <xf numFmtId="166" fontId="9" fillId="0" borderId="5" xfId="3" applyNumberFormat="1" applyFont="1" applyBorder="1"/>
    <xf numFmtId="0" fontId="3" fillId="0" borderId="0" xfId="0" applyFont="1" applyBorder="1" applyAlignment="1">
      <alignment horizontal="left" indent="1"/>
    </xf>
    <xf numFmtId="166" fontId="12" fillId="0" borderId="0" xfId="3" applyNumberFormat="1" applyFont="1" applyBorder="1" applyProtection="1"/>
    <xf numFmtId="166" fontId="13" fillId="0" borderId="0" xfId="3" applyNumberFormat="1" applyFont="1" applyBorder="1" applyProtection="1"/>
    <xf numFmtId="0" fontId="3" fillId="0" borderId="0" xfId="0" applyFont="1" applyFill="1" applyAlignment="1">
      <alignment horizontal="left" indent="2"/>
    </xf>
    <xf numFmtId="164" fontId="2" fillId="0" borderId="0" xfId="22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37" fontId="3" fillId="0" borderId="0" xfId="0" applyNumberFormat="1" applyFont="1"/>
    <xf numFmtId="37" fontId="3" fillId="0" borderId="0" xfId="0" applyNumberFormat="1" applyFont="1" applyAlignment="1">
      <alignment horizontal="right"/>
    </xf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2" applyNumberFormat="1" applyFont="1" applyFill="1" applyAlignment="1">
      <alignment horizontal="center"/>
    </xf>
    <xf numFmtId="10" fontId="3" fillId="0" borderId="0" xfId="22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10" fillId="8" borderId="0" xfId="3" applyNumberFormat="1" applyFont="1" applyFill="1"/>
    <xf numFmtId="37" fontId="3" fillId="0" borderId="0" xfId="0" applyNumberFormat="1" applyFont="1" applyFill="1"/>
    <xf numFmtId="166" fontId="6" fillId="0" borderId="3" xfId="3" applyNumberFormat="1" applyFont="1" applyFill="1" applyBorder="1"/>
    <xf numFmtId="166" fontId="1" fillId="0" borderId="3" xfId="3" applyNumberFormat="1" applyFont="1" applyFill="1" applyBorder="1"/>
    <xf numFmtId="9" fontId="17" fillId="0" borderId="14" xfId="22" applyFont="1" applyFill="1" applyBorder="1"/>
    <xf numFmtId="166" fontId="17" fillId="0" borderId="14" xfId="3" applyNumberFormat="1" applyFont="1" applyFill="1" applyBorder="1"/>
    <xf numFmtId="165" fontId="17" fillId="0" borderId="0" xfId="4" applyNumberFormat="1" applyFont="1" applyFill="1"/>
    <xf numFmtId="9" fontId="17" fillId="0" borderId="0" xfId="22" applyFont="1" applyFill="1"/>
    <xf numFmtId="0" fontId="17" fillId="8" borderId="0" xfId="0" applyFont="1" applyFill="1"/>
    <xf numFmtId="164" fontId="17" fillId="8" borderId="0" xfId="22" applyNumberFormat="1" applyFont="1" applyFill="1"/>
    <xf numFmtId="166" fontId="17" fillId="0" borderId="0" xfId="3" applyNumberFormat="1" applyFont="1" applyFill="1"/>
    <xf numFmtId="166" fontId="17" fillId="8" borderId="4" xfId="3" applyNumberFormat="1" applyFont="1" applyFill="1" applyBorder="1"/>
    <xf numFmtId="166" fontId="17" fillId="8" borderId="11" xfId="3" applyNumberFormat="1" applyFont="1" applyFill="1" applyBorder="1"/>
    <xf numFmtId="43" fontId="100" fillId="0" borderId="0" xfId="3" applyFont="1" applyFill="1" applyBorder="1"/>
    <xf numFmtId="9" fontId="100" fillId="0" borderId="0" xfId="22" applyFont="1" applyFill="1" applyBorder="1"/>
    <xf numFmtId="0" fontId="2" fillId="0" borderId="0" xfId="21" applyFont="1" applyFill="1" applyBorder="1" applyAlignment="1" applyProtection="1">
      <alignment horizontal="left"/>
    </xf>
    <xf numFmtId="0" fontId="2" fillId="0" borderId="0" xfId="21" applyFont="1" applyFill="1" applyBorder="1" applyAlignment="1">
      <alignment horizontal="center"/>
    </xf>
    <xf numFmtId="0" fontId="3" fillId="0" borderId="0" xfId="21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10" fillId="8" borderId="0" xfId="3" applyNumberFormat="1" applyFont="1" applyFill="1"/>
    <xf numFmtId="164" fontId="17" fillId="0" borderId="0" xfId="22" applyNumberFormat="1" applyFont="1" applyFill="1"/>
    <xf numFmtId="166" fontId="17" fillId="0" borderId="4" xfId="3" applyNumberFormat="1" applyFont="1" applyFill="1" applyBorder="1"/>
    <xf numFmtId="0" fontId="101" fillId="0" borderId="0" xfId="0" applyFont="1" applyFill="1"/>
    <xf numFmtId="0" fontId="16" fillId="0" borderId="0" xfId="0" applyFont="1" applyFill="1" applyBorder="1"/>
    <xf numFmtId="0" fontId="15" fillId="0" borderId="0" xfId="0" applyFont="1" applyFill="1"/>
    <xf numFmtId="0" fontId="15" fillId="0" borderId="6" xfId="0" applyNumberFormat="1" applyFont="1" applyFill="1" applyBorder="1" applyAlignment="1">
      <alignment horizontal="left"/>
    </xf>
    <xf numFmtId="0" fontId="15" fillId="0" borderId="6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02" fillId="0" borderId="0" xfId="0" applyFont="1" applyFill="1"/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Continuous"/>
    </xf>
    <xf numFmtId="0" fontId="16" fillId="0" borderId="0" xfId="0" applyFont="1" applyFill="1" applyBorder="1" applyAlignment="1">
      <alignment horizontal="centerContinuous"/>
    </xf>
    <xf numFmtId="0" fontId="103" fillId="0" borderId="0" xfId="0" applyFont="1" applyFill="1"/>
    <xf numFmtId="0" fontId="16" fillId="0" borderId="0" xfId="0" applyFont="1" applyFill="1" applyAlignment="1">
      <alignment horizontal="left"/>
    </xf>
    <xf numFmtId="38" fontId="16" fillId="8" borderId="0" xfId="0" applyNumberFormat="1" applyFont="1" applyFill="1"/>
    <xf numFmtId="0" fontId="16" fillId="8" borderId="0" xfId="0" applyFont="1" applyFill="1"/>
    <xf numFmtId="0" fontId="15" fillId="8" borderId="0" xfId="0" applyFont="1" applyFill="1" applyBorder="1" applyAlignment="1">
      <alignment horizontal="centerContinuous"/>
    </xf>
    <xf numFmtId="38" fontId="16" fillId="8" borderId="4" xfId="3" applyNumberFormat="1" applyFont="1" applyFill="1" applyBorder="1"/>
    <xf numFmtId="38" fontId="16" fillId="0" borderId="0" xfId="3" applyNumberFormat="1" applyFont="1" applyFill="1"/>
    <xf numFmtId="166" fontId="16" fillId="0" borderId="0" xfId="0" applyNumberFormat="1" applyFont="1" applyFill="1"/>
    <xf numFmtId="38" fontId="15" fillId="0" borderId="0" xfId="0" applyNumberFormat="1" applyFont="1" applyFill="1"/>
    <xf numFmtId="0" fontId="15" fillId="0" borderId="0" xfId="0" applyFont="1" applyFill="1" applyBorder="1"/>
    <xf numFmtId="38" fontId="15" fillId="0" borderId="0" xfId="0" applyNumberFormat="1" applyFont="1" applyFill="1" applyBorder="1"/>
    <xf numFmtId="38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/>
    </xf>
    <xf numFmtId="38" fontId="16" fillId="0" borderId="0" xfId="3" applyNumberFormat="1" applyFont="1" applyFill="1" applyBorder="1"/>
    <xf numFmtId="10" fontId="16" fillId="8" borderId="0" xfId="22" applyNumberFormat="1" applyFont="1" applyFill="1" applyAlignment="1">
      <alignment horizontal="center"/>
    </xf>
    <xf numFmtId="10" fontId="16" fillId="0" borderId="0" xfId="22" applyNumberFormat="1" applyFont="1" applyFill="1" applyAlignment="1">
      <alignment horizontal="center"/>
    </xf>
    <xf numFmtId="38" fontId="103" fillId="0" borderId="0" xfId="0" applyNumberFormat="1" applyFont="1" applyFill="1"/>
    <xf numFmtId="166" fontId="16" fillId="8" borderId="0" xfId="3" applyNumberFormat="1" applyFont="1" applyFill="1"/>
    <xf numFmtId="43" fontId="16" fillId="0" borderId="0" xfId="3" applyFont="1" applyFill="1" applyAlignment="1">
      <alignment horizontal="left"/>
    </xf>
    <xf numFmtId="9" fontId="16" fillId="0" borderId="0" xfId="0" applyNumberFormat="1" applyFont="1" applyFill="1"/>
    <xf numFmtId="9" fontId="16" fillId="8" borderId="0" xfId="0" applyNumberFormat="1" applyFont="1" applyFill="1" applyAlignment="1">
      <alignment horizontal="center"/>
    </xf>
    <xf numFmtId="0" fontId="15" fillId="0" borderId="6" xfId="0" applyFont="1" applyFill="1" applyBorder="1" applyAlignment="1">
      <alignment horizontal="left"/>
    </xf>
    <xf numFmtId="43" fontId="15" fillId="0" borderId="0" xfId="3" applyFont="1" applyFill="1" applyAlignment="1">
      <alignment horizontal="left"/>
    </xf>
    <xf numFmtId="166" fontId="41" fillId="8" borderId="0" xfId="3" applyNumberFormat="1" applyFont="1" applyFill="1"/>
    <xf numFmtId="37" fontId="16" fillId="0" borderId="0" xfId="0" applyNumberFormat="1" applyFont="1" applyFill="1"/>
    <xf numFmtId="38" fontId="15" fillId="0" borderId="0" xfId="3" applyNumberFormat="1" applyFont="1" applyFill="1" applyBorder="1"/>
    <xf numFmtId="43" fontId="15" fillId="0" borderId="0" xfId="3" applyFont="1" applyFill="1"/>
    <xf numFmtId="38" fontId="15" fillId="0" borderId="0" xfId="3" applyNumberFormat="1" applyFont="1" applyFill="1"/>
    <xf numFmtId="168" fontId="16" fillId="0" borderId="0" xfId="3" applyNumberFormat="1" applyFont="1" applyFill="1"/>
    <xf numFmtId="43" fontId="16" fillId="0" borderId="0" xfId="3" applyFont="1" applyFill="1" applyBorder="1"/>
    <xf numFmtId="0" fontId="104" fillId="0" borderId="0" xfId="0" applyFont="1" applyFill="1" applyBorder="1" applyAlignment="1">
      <alignment horizontal="center"/>
    </xf>
    <xf numFmtId="0" fontId="105" fillId="0" borderId="0" xfId="0" applyFont="1" applyFill="1" applyBorder="1"/>
    <xf numFmtId="17" fontId="15" fillId="0" borderId="0" xfId="0" applyNumberFormat="1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/>
    </xf>
    <xf numFmtId="37" fontId="16" fillId="0" borderId="0" xfId="0" applyNumberFormat="1" applyFont="1" applyFill="1" applyBorder="1"/>
    <xf numFmtId="0" fontId="107" fillId="0" borderId="0" xfId="0" applyFont="1" applyFill="1"/>
    <xf numFmtId="0" fontId="44" fillId="0" borderId="6" xfId="0" applyFont="1" applyFill="1" applyBorder="1"/>
    <xf numFmtId="38" fontId="102" fillId="0" borderId="0" xfId="0" applyNumberFormat="1" applyFont="1" applyFill="1"/>
    <xf numFmtId="166" fontId="40" fillId="0" borderId="0" xfId="0" applyNumberFormat="1" applyFont="1" applyFill="1"/>
    <xf numFmtId="166" fontId="108" fillId="0" borderId="0" xfId="0" applyNumberFormat="1" applyFont="1" applyFill="1"/>
    <xf numFmtId="166" fontId="44" fillId="0" borderId="3" xfId="3" applyNumberFormat="1" applyFont="1" applyFill="1" applyBorder="1"/>
    <xf numFmtId="166" fontId="102" fillId="0" borderId="0" xfId="3" applyNumberFormat="1" applyFont="1" applyFill="1"/>
    <xf numFmtId="0" fontId="107" fillId="0" borderId="7" xfId="0" applyFont="1" applyFill="1" applyBorder="1"/>
    <xf numFmtId="0" fontId="102" fillId="0" borderId="8" xfId="0" applyFont="1" applyFill="1" applyBorder="1"/>
    <xf numFmtId="0" fontId="102" fillId="0" borderId="9" xfId="0" applyFont="1" applyFill="1" applyBorder="1"/>
    <xf numFmtId="166" fontId="102" fillId="0" borderId="3" xfId="3" applyNumberFormat="1" applyFont="1" applyFill="1" applyBorder="1"/>
    <xf numFmtId="165" fontId="102" fillId="0" borderId="0" xfId="0" applyNumberFormat="1" applyFont="1" applyFill="1"/>
    <xf numFmtId="0" fontId="102" fillId="0" borderId="10" xfId="0" quotePrefix="1" applyFont="1" applyFill="1" applyBorder="1"/>
    <xf numFmtId="0" fontId="102" fillId="0" borderId="0" xfId="0" applyFont="1" applyFill="1" applyBorder="1"/>
    <xf numFmtId="165" fontId="102" fillId="0" borderId="11" xfId="4" applyNumberFormat="1" applyFont="1" applyFill="1" applyBorder="1"/>
    <xf numFmtId="9" fontId="44" fillId="0" borderId="15" xfId="22" applyFont="1" applyFill="1" applyBorder="1"/>
    <xf numFmtId="0" fontId="102" fillId="0" borderId="10" xfId="0" applyFont="1" applyFill="1" applyBorder="1"/>
    <xf numFmtId="9" fontId="40" fillId="0" borderId="14" xfId="22" applyFont="1" applyFill="1" applyBorder="1"/>
    <xf numFmtId="166" fontId="102" fillId="0" borderId="11" xfId="3" applyNumberFormat="1" applyFont="1" applyFill="1" applyBorder="1"/>
    <xf numFmtId="166" fontId="40" fillId="0" borderId="14" xfId="3" applyNumberFormat="1" applyFont="1" applyFill="1" applyBorder="1"/>
    <xf numFmtId="0" fontId="102" fillId="0" borderId="12" xfId="0" applyFont="1" applyFill="1" applyBorder="1"/>
    <xf numFmtId="0" fontId="102" fillId="0" borderId="6" xfId="0" applyFont="1" applyFill="1" applyBorder="1"/>
    <xf numFmtId="165" fontId="102" fillId="0" borderId="13" xfId="4" applyNumberFormat="1" applyFont="1" applyFill="1" applyBorder="1"/>
    <xf numFmtId="165" fontId="40" fillId="0" borderId="0" xfId="4" applyNumberFormat="1" applyFont="1" applyFill="1"/>
    <xf numFmtId="165" fontId="102" fillId="0" borderId="0" xfId="4" applyNumberFormat="1" applyFont="1" applyFill="1"/>
    <xf numFmtId="9" fontId="40" fillId="0" borderId="0" xfId="22" applyFont="1" applyFill="1"/>
    <xf numFmtId="0" fontId="44" fillId="0" borderId="0" xfId="0" applyFont="1" applyFill="1"/>
    <xf numFmtId="0" fontId="40" fillId="8" borderId="0" xfId="0" applyFont="1" applyFill="1"/>
    <xf numFmtId="37" fontId="102" fillId="0" borderId="0" xfId="0" applyNumberFormat="1" applyFont="1" applyFill="1"/>
    <xf numFmtId="0" fontId="40" fillId="0" borderId="0" xfId="0" applyFont="1" applyFill="1"/>
    <xf numFmtId="164" fontId="102" fillId="0" borderId="0" xfId="0" applyNumberFormat="1" applyFont="1" applyFill="1"/>
    <xf numFmtId="164" fontId="40" fillId="8" borderId="0" xfId="22" applyNumberFormat="1" applyFont="1" applyFill="1"/>
    <xf numFmtId="164" fontId="102" fillId="0" borderId="0" xfId="22" applyNumberFormat="1" applyFont="1" applyFill="1"/>
    <xf numFmtId="43" fontId="102" fillId="0" borderId="0" xfId="0" applyNumberFormat="1" applyFont="1" applyFill="1"/>
    <xf numFmtId="166" fontId="102" fillId="0" borderId="4" xfId="3" applyNumberFormat="1" applyFont="1" applyFill="1" applyBorder="1"/>
    <xf numFmtId="10" fontId="102" fillId="0" borderId="0" xfId="0" applyNumberFormat="1" applyFont="1" applyFill="1"/>
    <xf numFmtId="38" fontId="102" fillId="0" borderId="4" xfId="0" applyNumberFormat="1" applyFont="1" applyFill="1" applyBorder="1"/>
    <xf numFmtId="0" fontId="109" fillId="0" borderId="0" xfId="0" applyFont="1" applyFill="1"/>
    <xf numFmtId="166" fontId="40" fillId="8" borderId="4" xfId="3" applyNumberFormat="1" applyFont="1" applyFill="1" applyBorder="1"/>
    <xf numFmtId="0" fontId="44" fillId="0" borderId="8" xfId="0" applyFont="1" applyFill="1" applyBorder="1"/>
    <xf numFmtId="0" fontId="44" fillId="0" borderId="9" xfId="0" applyFont="1" applyFill="1" applyBorder="1"/>
    <xf numFmtId="0" fontId="40" fillId="0" borderId="10" xfId="0" applyFont="1" applyFill="1" applyBorder="1"/>
    <xf numFmtId="0" fontId="40" fillId="0" borderId="0" xfId="0" applyFont="1" applyFill="1" applyBorder="1"/>
    <xf numFmtId="165" fontId="40" fillId="0" borderId="11" xfId="4" applyNumberFormat="1" applyFont="1" applyFill="1" applyBorder="1"/>
    <xf numFmtId="166" fontId="40" fillId="8" borderId="11" xfId="3" applyNumberFormat="1" applyFont="1" applyFill="1" applyBorder="1"/>
    <xf numFmtId="166" fontId="102" fillId="0" borderId="0" xfId="0" applyNumberFormat="1" applyFont="1" applyFill="1"/>
    <xf numFmtId="166" fontId="40" fillId="0" borderId="14" xfId="0" applyNumberFormat="1" applyFont="1" applyFill="1" applyBorder="1"/>
    <xf numFmtId="0" fontId="44" fillId="0" borderId="12" xfId="0" applyFont="1" applyFill="1" applyBorder="1"/>
    <xf numFmtId="166" fontId="40" fillId="0" borderId="13" xfId="3" applyNumberFormat="1" applyFont="1" applyFill="1" applyBorder="1"/>
    <xf numFmtId="37" fontId="15" fillId="0" borderId="0" xfId="0" applyNumberFormat="1" applyFont="1" applyFill="1" applyBorder="1"/>
    <xf numFmtId="37" fontId="104" fillId="0" borderId="0" xfId="0" applyNumberFormat="1" applyFont="1" applyFill="1" applyBorder="1"/>
    <xf numFmtId="43" fontId="110" fillId="0" borderId="0" xfId="3" applyFont="1" applyFill="1" applyBorder="1"/>
    <xf numFmtId="9" fontId="110" fillId="0" borderId="0" xfId="22" applyFont="1" applyFill="1" applyBorder="1"/>
    <xf numFmtId="0" fontId="111" fillId="0" borderId="0" xfId="0" applyFont="1" applyFill="1" applyBorder="1"/>
    <xf numFmtId="37" fontId="111" fillId="0" borderId="0" xfId="0" applyNumberFormat="1" applyFont="1" applyFill="1" applyBorder="1"/>
    <xf numFmtId="43" fontId="15" fillId="0" borderId="0" xfId="3" applyFont="1" applyFill="1" applyBorder="1" applyAlignment="1">
      <alignment horizontal="left"/>
    </xf>
    <xf numFmtId="43" fontId="15" fillId="0" borderId="0" xfId="3" applyFont="1" applyFill="1" applyBorder="1"/>
    <xf numFmtId="168" fontId="16" fillId="0" borderId="0" xfId="3" applyNumberFormat="1" applyFont="1" applyFill="1" applyBorder="1"/>
    <xf numFmtId="9" fontId="15" fillId="0" borderId="0" xfId="22" applyFont="1" applyFill="1" applyBorder="1" applyAlignment="1">
      <alignment horizontal="right"/>
    </xf>
    <xf numFmtId="10" fontId="16" fillId="0" borderId="0" xfId="0" applyNumberFormat="1" applyFont="1" applyFill="1" applyBorder="1" applyAlignment="1">
      <alignment horizontal="right"/>
    </xf>
    <xf numFmtId="9" fontId="15" fillId="0" borderId="0" xfId="22" applyFont="1" applyFill="1" applyBorder="1"/>
    <xf numFmtId="9" fontId="15" fillId="0" borderId="0" xfId="0" applyNumberFormat="1" applyFont="1" applyFill="1" applyBorder="1"/>
    <xf numFmtId="9" fontId="16" fillId="0" borderId="0" xfId="0" applyNumberFormat="1" applyFont="1" applyFill="1" applyBorder="1"/>
    <xf numFmtId="40" fontId="16" fillId="0" borderId="0" xfId="0" applyNumberFormat="1" applyFont="1" applyFill="1" applyBorder="1"/>
    <xf numFmtId="190" fontId="16" fillId="0" borderId="0" xfId="0" applyNumberFormat="1" applyFont="1" applyFill="1" applyBorder="1"/>
    <xf numFmtId="10" fontId="16" fillId="0" borderId="0" xfId="0" applyNumberFormat="1" applyFont="1" applyFill="1" applyBorder="1"/>
    <xf numFmtId="166" fontId="16" fillId="0" borderId="0" xfId="0" applyNumberFormat="1" applyFont="1" applyFill="1" applyBorder="1"/>
    <xf numFmtId="41" fontId="15" fillId="0" borderId="0" xfId="0" applyNumberFormat="1" applyFont="1" applyFill="1" applyBorder="1"/>
    <xf numFmtId="0" fontId="15" fillId="0" borderId="0" xfId="19" applyFont="1" applyFill="1" applyBorder="1"/>
    <xf numFmtId="0" fontId="16" fillId="0" borderId="0" xfId="19" applyFont="1" applyFill="1" applyBorder="1"/>
    <xf numFmtId="0" fontId="15" fillId="0" borderId="0" xfId="19" applyFont="1" applyFill="1" applyBorder="1" applyAlignment="1">
      <alignment horizontal="center"/>
    </xf>
    <xf numFmtId="0" fontId="15" fillId="0" borderId="0" xfId="20" applyFont="1" applyFill="1" applyBorder="1"/>
    <xf numFmtId="0" fontId="16" fillId="0" borderId="0" xfId="20" applyFont="1" applyFill="1" applyBorder="1"/>
    <xf numFmtId="164" fontId="15" fillId="0" borderId="0" xfId="22" applyNumberFormat="1" applyFont="1" applyFill="1" applyBorder="1"/>
    <xf numFmtId="0" fontId="15" fillId="0" borderId="0" xfId="19" applyFont="1" applyFill="1" applyBorder="1" applyAlignment="1">
      <alignment horizontal="left"/>
    </xf>
    <xf numFmtId="41" fontId="16" fillId="0" borderId="0" xfId="19" applyNumberFormat="1" applyFont="1" applyFill="1" applyBorder="1"/>
    <xf numFmtId="166" fontId="16" fillId="0" borderId="0" xfId="3" applyNumberFormat="1" applyFont="1" applyFill="1" applyBorder="1" applyAlignment="1">
      <alignment horizontal="left"/>
    </xf>
    <xf numFmtId="168" fontId="16" fillId="0" borderId="0" xfId="3" applyNumberFormat="1" applyFont="1" applyFill="1" applyBorder="1" applyAlignment="1">
      <alignment horizontal="left"/>
    </xf>
    <xf numFmtId="37" fontId="16" fillId="0" borderId="0" xfId="19" applyNumberFormat="1" applyFont="1" applyFill="1" applyBorder="1" applyProtection="1"/>
    <xf numFmtId="10" fontId="16" fillId="0" borderId="0" xfId="22" applyNumberFormat="1" applyFont="1" applyFill="1" applyBorder="1"/>
    <xf numFmtId="9" fontId="16" fillId="0" borderId="0" xfId="19" applyNumberFormat="1" applyFont="1" applyFill="1" applyBorder="1"/>
    <xf numFmtId="10" fontId="16" fillId="0" borderId="0" xfId="19" applyNumberFormat="1" applyFont="1" applyFill="1" applyBorder="1"/>
    <xf numFmtId="0" fontId="15" fillId="0" borderId="0" xfId="0" applyFont="1" applyFill="1" applyBorder="1" applyAlignment="1">
      <alignment horizontal="right"/>
    </xf>
    <xf numFmtId="38" fontId="38" fillId="8" borderId="0" xfId="0" applyNumberFormat="1" applyFont="1" applyFill="1"/>
    <xf numFmtId="0" fontId="38" fillId="8" borderId="0" xfId="0" applyFont="1" applyFill="1"/>
    <xf numFmtId="0" fontId="39" fillId="8" borderId="0" xfId="0" applyFont="1" applyFill="1" applyBorder="1" applyAlignment="1">
      <alignment horizontal="centerContinuous"/>
    </xf>
    <xf numFmtId="38" fontId="38" fillId="8" borderId="4" xfId="3" applyNumberFormat="1" applyFont="1" applyFill="1" applyBorder="1"/>
    <xf numFmtId="38" fontId="12" fillId="8" borderId="0" xfId="0" applyNumberFormat="1" applyFont="1" applyFill="1"/>
    <xf numFmtId="10" fontId="12" fillId="8" borderId="0" xfId="22" applyNumberFormat="1" applyFont="1" applyFill="1" applyAlignment="1">
      <alignment horizontal="center"/>
    </xf>
    <xf numFmtId="9" fontId="12" fillId="8" borderId="0" xfId="0" applyNumberFormat="1" applyFont="1" applyFill="1" applyAlignment="1">
      <alignment horizontal="center"/>
    </xf>
    <xf numFmtId="166" fontId="35" fillId="8" borderId="0" xfId="3" applyNumberFormat="1" applyFont="1" applyFill="1"/>
    <xf numFmtId="166" fontId="34" fillId="0" borderId="3" xfId="3" applyNumberFormat="1" applyFont="1" applyFill="1" applyBorder="1"/>
    <xf numFmtId="0" fontId="29" fillId="8" borderId="0" xfId="0" applyFont="1" applyFill="1"/>
    <xf numFmtId="164" fontId="29" fillId="8" borderId="0" xfId="22" applyNumberFormat="1" applyFont="1" applyFill="1"/>
    <xf numFmtId="166" fontId="29" fillId="8" borderId="4" xfId="3" applyNumberFormat="1" applyFont="1" applyFill="1" applyBorder="1"/>
    <xf numFmtId="166" fontId="29" fillId="8" borderId="11" xfId="3" applyNumberFormat="1" applyFont="1" applyFill="1" applyBorder="1"/>
    <xf numFmtId="164" fontId="1" fillId="0" borderId="0" xfId="22" applyNumberFormat="1"/>
    <xf numFmtId="166" fontId="17" fillId="10" borderId="11" xfId="3" applyNumberFormat="1" applyFont="1" applyFill="1" applyBorder="1"/>
    <xf numFmtId="0" fontId="2" fillId="0" borderId="0" xfId="0" applyFont="1" applyFill="1" applyAlignment="1">
      <alignment horizontal="left"/>
    </xf>
    <xf numFmtId="38" fontId="2" fillId="0" borderId="0" xfId="0" applyNumberFormat="1" applyFont="1" applyAlignment="1">
      <alignment horizontal="right"/>
    </xf>
    <xf numFmtId="38" fontId="3" fillId="0" borderId="4" xfId="0" applyNumberFormat="1" applyFont="1" applyBorder="1" applyAlignment="1">
      <alignment horizontal="right"/>
    </xf>
    <xf numFmtId="0" fontId="68" fillId="0" borderId="0" xfId="0" applyFont="1"/>
    <xf numFmtId="166" fontId="3" fillId="0" borderId="0" xfId="3" applyNumberFormat="1" applyFont="1" applyBorder="1" applyAlignment="1">
      <alignment horizontal="center"/>
    </xf>
    <xf numFmtId="166" fontId="6" fillId="0" borderId="3" xfId="3" applyNumberFormat="1" applyFont="1" applyBorder="1"/>
    <xf numFmtId="37" fontId="3" fillId="0" borderId="4" xfId="0" applyNumberFormat="1" applyFont="1" applyBorder="1" applyAlignment="1">
      <alignment horizontal="right"/>
    </xf>
    <xf numFmtId="37" fontId="3" fillId="0" borderId="0" xfId="0" applyNumberFormat="1" applyFont="1" applyFill="1" applyBorder="1" applyAlignment="1">
      <alignment horizontal="right"/>
    </xf>
    <xf numFmtId="38" fontId="3" fillId="0" borderId="0" xfId="0" applyNumberFormat="1" applyFont="1" applyFill="1" applyBorder="1" applyAlignment="1">
      <alignment horizontal="right"/>
    </xf>
    <xf numFmtId="38" fontId="97" fillId="0" borderId="0" xfId="0" applyNumberFormat="1" applyFont="1" applyFill="1" applyBorder="1"/>
    <xf numFmtId="166" fontId="9" fillId="0" borderId="0" xfId="3" applyNumberFormat="1" applyFont="1" applyFill="1" applyBorder="1"/>
    <xf numFmtId="0" fontId="112" fillId="0" borderId="0" xfId="0" applyFont="1" applyFill="1" applyBorder="1"/>
    <xf numFmtId="0" fontId="112" fillId="0" borderId="0" xfId="0" applyFont="1"/>
    <xf numFmtId="0" fontId="112" fillId="0" borderId="0" xfId="0" applyFont="1" applyFill="1"/>
    <xf numFmtId="0" fontId="113" fillId="0" borderId="0" xfId="0" applyFont="1" applyFill="1" applyBorder="1" applyAlignment="1">
      <alignment horizontal="center"/>
    </xf>
    <xf numFmtId="166" fontId="114" fillId="0" borderId="0" xfId="0" applyNumberFormat="1" applyFont="1" applyFill="1"/>
    <xf numFmtId="38" fontId="114" fillId="0" borderId="0" xfId="0" applyNumberFormat="1" applyFont="1" applyFill="1" applyBorder="1"/>
    <xf numFmtId="0" fontId="114" fillId="0" borderId="0" xfId="0" applyFont="1"/>
    <xf numFmtId="38" fontId="114" fillId="0" borderId="0" xfId="0" applyNumberFormat="1" applyFont="1"/>
    <xf numFmtId="38" fontId="112" fillId="0" borderId="0" xfId="0" applyNumberFormat="1" applyFont="1" applyFill="1" applyBorder="1"/>
    <xf numFmtId="38" fontId="112" fillId="0" borderId="0" xfId="0" applyNumberFormat="1" applyFont="1"/>
    <xf numFmtId="38" fontId="112" fillId="0" borderId="0" xfId="0" applyNumberFormat="1" applyFont="1" applyFill="1" applyBorder="1" applyAlignment="1">
      <alignment horizontal="left" indent="1"/>
    </xf>
    <xf numFmtId="38" fontId="112" fillId="0" borderId="0" xfId="0" applyNumberFormat="1" applyFont="1" applyAlignment="1">
      <alignment horizontal="left" indent="1"/>
    </xf>
    <xf numFmtId="0" fontId="114" fillId="0" borderId="0" xfId="0" applyFont="1" applyFill="1" applyBorder="1" applyAlignment="1">
      <alignment horizontal="center"/>
    </xf>
    <xf numFmtId="0" fontId="114" fillId="0" borderId="0" xfId="0" applyFont="1" applyFill="1" applyBorder="1"/>
    <xf numFmtId="166" fontId="114" fillId="0" borderId="0" xfId="3" applyNumberFormat="1" applyFont="1" applyFill="1" applyBorder="1"/>
    <xf numFmtId="166" fontId="114" fillId="0" borderId="0" xfId="0" applyNumberFormat="1" applyFont="1" applyBorder="1"/>
    <xf numFmtId="0" fontId="114" fillId="0" borderId="0" xfId="0" applyFont="1" applyBorder="1"/>
    <xf numFmtId="166" fontId="115" fillId="0" borderId="0" xfId="3" applyNumberFormat="1" applyFont="1" applyFill="1" applyBorder="1"/>
    <xf numFmtId="166" fontId="116" fillId="0" borderId="0" xfId="3" applyNumberFormat="1" applyFont="1" applyFill="1" applyBorder="1"/>
    <xf numFmtId="0" fontId="112" fillId="0" borderId="0" xfId="0" applyFont="1" applyBorder="1"/>
    <xf numFmtId="166" fontId="115" fillId="0" borderId="0" xfId="3" applyNumberFormat="1" applyFont="1" applyFill="1"/>
    <xf numFmtId="0" fontId="117" fillId="0" borderId="0" xfId="0" applyFont="1" applyFill="1"/>
    <xf numFmtId="0" fontId="117" fillId="0" borderId="0" xfId="0" applyFont="1"/>
    <xf numFmtId="14" fontId="118" fillId="0" borderId="0" xfId="0" applyNumberFormat="1" applyFont="1" applyFill="1" applyBorder="1" applyAlignment="1">
      <alignment horizontal="center"/>
    </xf>
    <xf numFmtId="0" fontId="114" fillId="0" borderId="0" xfId="0" applyFont="1" applyFill="1" applyBorder="1" applyAlignment="1">
      <alignment horizontal="left" indent="1"/>
    </xf>
    <xf numFmtId="38" fontId="114" fillId="0" borderId="0" xfId="0" applyNumberFormat="1" applyFont="1" applyFill="1" applyBorder="1" applyAlignment="1">
      <alignment horizontal="left" indent="1"/>
    </xf>
    <xf numFmtId="38" fontId="114" fillId="0" borderId="0" xfId="0" applyNumberFormat="1" applyFont="1" applyAlignment="1">
      <alignment horizontal="left" indent="1"/>
    </xf>
    <xf numFmtId="0" fontId="119" fillId="0" borderId="0" xfId="0" applyFont="1"/>
    <xf numFmtId="0" fontId="114" fillId="0" borderId="0" xfId="0" applyFont="1" applyFill="1"/>
    <xf numFmtId="38" fontId="2" fillId="0" borderId="0" xfId="0" applyNumberFormat="1" applyFont="1" applyBorder="1" applyAlignment="1">
      <alignment horizontal="right"/>
    </xf>
    <xf numFmtId="37" fontId="18" fillId="0" borderId="0" xfId="0" applyNumberFormat="1" applyFont="1" applyAlignment="1">
      <alignment horizontal="left"/>
    </xf>
    <xf numFmtId="9" fontId="9" fillId="0" borderId="0" xfId="0" applyNumberFormat="1" applyFont="1" applyFill="1" applyAlignment="1">
      <alignment horizontal="center"/>
    </xf>
    <xf numFmtId="38" fontId="9" fillId="0" borderId="17" xfId="0" applyNumberFormat="1" applyFont="1" applyBorder="1" applyAlignment="1">
      <alignment horizontal="right"/>
    </xf>
    <xf numFmtId="166" fontId="2" fillId="0" borderId="17" xfId="3" applyNumberFormat="1" applyFont="1" applyBorder="1"/>
    <xf numFmtId="166" fontId="3" fillId="4" borderId="0" xfId="3" applyNumberFormat="1" applyFont="1" applyFill="1" applyBorder="1"/>
    <xf numFmtId="166" fontId="3" fillId="4" borderId="4" xfId="3" applyNumberFormat="1" applyFont="1" applyFill="1" applyBorder="1"/>
    <xf numFmtId="166" fontId="2" fillId="4" borderId="0" xfId="3" applyNumberFormat="1" applyFont="1" applyFill="1" applyBorder="1"/>
    <xf numFmtId="0" fontId="3" fillId="4" borderId="0" xfId="0" applyFont="1" applyFill="1"/>
    <xf numFmtId="164" fontId="3" fillId="0" borderId="0" xfId="22" applyNumberFormat="1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Fill="1" applyAlignment="1">
      <alignment horizontal="center"/>
    </xf>
    <xf numFmtId="0" fontId="2" fillId="4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164" fontId="2" fillId="0" borderId="0" xfId="22" applyNumberFormat="1" applyFont="1" applyAlignment="1">
      <alignment horizontal="center"/>
    </xf>
    <xf numFmtId="0" fontId="120" fillId="0" borderId="0" xfId="0" applyFont="1"/>
    <xf numFmtId="0" fontId="120" fillId="0" borderId="0" xfId="0" applyFont="1" applyAlignment="1">
      <alignment horizontal="center"/>
    </xf>
    <xf numFmtId="0" fontId="2" fillId="0" borderId="4" xfId="0" applyFont="1" applyBorder="1" applyAlignment="1">
      <alignment horizontal="centerContinuous"/>
    </xf>
    <xf numFmtId="0" fontId="120" fillId="4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164" fontId="120" fillId="0" borderId="0" xfId="22" applyNumberFormat="1" applyFont="1" applyAlignment="1">
      <alignment horizontal="center"/>
    </xf>
    <xf numFmtId="0" fontId="2" fillId="0" borderId="0" xfId="0" quotePrefix="1" applyFont="1"/>
    <xf numFmtId="214" fontId="16" fillId="0" borderId="0" xfId="0" applyNumberFormat="1" applyFont="1"/>
    <xf numFmtId="214" fontId="3" fillId="0" borderId="0" xfId="0" applyNumberFormat="1" applyFont="1"/>
    <xf numFmtId="214" fontId="3" fillId="4" borderId="0" xfId="0" applyNumberFormat="1" applyFont="1" applyFill="1"/>
    <xf numFmtId="214" fontId="3" fillId="0" borderId="0" xfId="0" applyNumberFormat="1" applyFont="1" applyFill="1"/>
    <xf numFmtId="214" fontId="3" fillId="0" borderId="0" xfId="22" applyNumberFormat="1" applyFont="1"/>
    <xf numFmtId="214" fontId="16" fillId="0" borderId="0" xfId="0" applyNumberFormat="1" applyFont="1" applyFill="1"/>
    <xf numFmtId="9" fontId="3" fillId="0" borderId="0" xfId="22" applyFont="1"/>
    <xf numFmtId="214" fontId="3" fillId="0" borderId="0" xfId="0" applyNumberFormat="1" applyFont="1" applyBorder="1"/>
    <xf numFmtId="9" fontId="3" fillId="0" borderId="4" xfId="22" applyFont="1" applyBorder="1"/>
    <xf numFmtId="164" fontId="3" fillId="0" borderId="0" xfId="22" applyNumberFormat="1" applyFont="1" applyAlignment="1">
      <alignment horizontal="center"/>
    </xf>
    <xf numFmtId="37" fontId="2" fillId="0" borderId="0" xfId="0" quotePrefix="1" applyNumberFormat="1" applyFont="1"/>
    <xf numFmtId="214" fontId="3" fillId="0" borderId="0" xfId="0" applyNumberFormat="1" applyFont="1" applyAlignment="1">
      <alignment horizontal="right"/>
    </xf>
    <xf numFmtId="37" fontId="2" fillId="0" borderId="0" xfId="0" applyNumberFormat="1" applyFont="1"/>
    <xf numFmtId="214" fontId="15" fillId="0" borderId="0" xfId="0" applyNumberFormat="1" applyFont="1" applyFill="1"/>
    <xf numFmtId="214" fontId="2" fillId="0" borderId="0" xfId="0" applyNumberFormat="1" applyFont="1"/>
    <xf numFmtId="214" fontId="2" fillId="0" borderId="0" xfId="0" applyNumberFormat="1" applyFont="1" applyAlignment="1">
      <alignment horizontal="right"/>
    </xf>
    <xf numFmtId="37" fontId="3" fillId="0" borderId="0" xfId="0" quotePrefix="1" applyNumberFormat="1" applyFont="1"/>
    <xf numFmtId="214" fontId="2" fillId="0" borderId="0" xfId="3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121" fillId="4" borderId="0" xfId="0" applyFont="1" applyFill="1"/>
    <xf numFmtId="38" fontId="3" fillId="4" borderId="0" xfId="0" applyNumberFormat="1" applyFont="1" applyFill="1"/>
    <xf numFmtId="38" fontId="121" fillId="4" borderId="0" xfId="0" applyNumberFormat="1" applyFont="1" applyFill="1"/>
    <xf numFmtId="0" fontId="0" fillId="0" borderId="0" xfId="0" applyBorder="1"/>
    <xf numFmtId="0" fontId="99" fillId="4" borderId="0" xfId="0" applyFont="1" applyFill="1"/>
    <xf numFmtId="37" fontId="17" fillId="0" borderId="0" xfId="0" applyNumberFormat="1" applyFont="1" applyAlignment="1">
      <alignment horizontal="left"/>
    </xf>
    <xf numFmtId="0" fontId="3" fillId="0" borderId="0" xfId="0" applyFont="1" applyBorder="1" applyAlignment="1" applyProtection="1">
      <alignment horizontal="left"/>
    </xf>
    <xf numFmtId="37" fontId="3" fillId="0" borderId="4" xfId="0" applyNumberFormat="1" applyFont="1" applyBorder="1"/>
    <xf numFmtId="38" fontId="3" fillId="0" borderId="4" xfId="0" applyNumberFormat="1" applyFont="1" applyBorder="1"/>
    <xf numFmtId="0" fontId="113" fillId="0" borderId="0" xfId="0" applyFont="1" applyFill="1" applyAlignment="1">
      <alignment horizontal="center"/>
    </xf>
    <xf numFmtId="164" fontId="2" fillId="0" borderId="0" xfId="22" applyNumberFormat="1" applyFont="1"/>
    <xf numFmtId="0" fontId="114" fillId="0" borderId="0" xfId="21" applyFont="1" applyFill="1" applyBorder="1" applyAlignment="1">
      <alignment horizontal="center"/>
    </xf>
    <xf numFmtId="41" fontId="112" fillId="0" borderId="0" xfId="0" applyNumberFormat="1" applyFont="1" applyFill="1" applyBorder="1"/>
    <xf numFmtId="0" fontId="112" fillId="0" borderId="0" xfId="19" applyFont="1" applyFill="1" applyBorder="1"/>
    <xf numFmtId="166" fontId="114" fillId="0" borderId="0" xfId="3" applyNumberFormat="1" applyFont="1" applyFill="1"/>
    <xf numFmtId="166" fontId="114" fillId="0" borderId="0" xfId="0" applyNumberFormat="1" applyFont="1" applyFill="1" applyBorder="1"/>
    <xf numFmtId="43" fontId="112" fillId="0" borderId="0" xfId="3" applyFont="1" applyFill="1" applyBorder="1"/>
    <xf numFmtId="38" fontId="114" fillId="0" borderId="0" xfId="0" applyNumberFormat="1" applyFont="1" applyAlignment="1">
      <alignment horizontal="center"/>
    </xf>
    <xf numFmtId="0" fontId="114" fillId="0" borderId="0" xfId="0" applyFont="1" applyAlignment="1">
      <alignment horizontal="center"/>
    </xf>
    <xf numFmtId="38" fontId="112" fillId="0" borderId="0" xfId="0" applyNumberFormat="1" applyFont="1" applyAlignment="1">
      <alignment horizontal="center"/>
    </xf>
    <xf numFmtId="37" fontId="114" fillId="0" borderId="0" xfId="0" applyNumberFormat="1" applyFont="1"/>
    <xf numFmtId="166" fontId="114" fillId="0" borderId="0" xfId="3" applyNumberFormat="1" applyFont="1" applyFill="1" applyBorder="1" applyAlignment="1">
      <alignment horizontal="right"/>
    </xf>
    <xf numFmtId="38" fontId="114" fillId="0" borderId="0" xfId="0" applyNumberFormat="1" applyFont="1" applyAlignment="1">
      <alignment horizontal="right"/>
    </xf>
    <xf numFmtId="164" fontId="2" fillId="11" borderId="3" xfId="22" applyNumberFormat="1" applyFont="1" applyFill="1" applyBorder="1" applyAlignment="1">
      <alignment horizontal="center"/>
    </xf>
    <xf numFmtId="0" fontId="114" fillId="0" borderId="0" xfId="0" applyFont="1" applyFill="1" applyAlignment="1">
      <alignment horizontal="center"/>
    </xf>
    <xf numFmtId="38" fontId="114" fillId="0" borderId="0" xfId="0" applyNumberFormat="1" applyFont="1" applyFill="1" applyBorder="1" applyAlignment="1">
      <alignment horizontal="center"/>
    </xf>
    <xf numFmtId="0" fontId="8" fillId="12" borderId="0" xfId="0" applyFont="1" applyFill="1"/>
    <xf numFmtId="0" fontId="3" fillId="12" borderId="0" xfId="0" applyFont="1" applyFill="1"/>
    <xf numFmtId="359" fontId="12" fillId="0" borderId="0" xfId="4" applyNumberFormat="1" applyFont="1" applyBorder="1" applyAlignment="1">
      <alignment horizontal="center"/>
    </xf>
    <xf numFmtId="359" fontId="12" fillId="0" borderId="4" xfId="4" applyNumberFormat="1" applyFont="1" applyBorder="1" applyAlignment="1">
      <alignment horizontal="center"/>
    </xf>
    <xf numFmtId="359" fontId="36" fillId="0" borderId="0" xfId="4" applyNumberFormat="1" applyFont="1" applyBorder="1" applyAlignment="1">
      <alignment horizontal="center"/>
    </xf>
    <xf numFmtId="0" fontId="9" fillId="0" borderId="0" xfId="0" applyFont="1" applyFill="1" applyBorder="1" applyAlignment="1" applyProtection="1">
      <alignment horizontal="left"/>
    </xf>
    <xf numFmtId="0" fontId="122" fillId="0" borderId="8" xfId="0" applyFont="1" applyBorder="1"/>
    <xf numFmtId="0" fontId="123" fillId="0" borderId="11" xfId="0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4" fontId="20" fillId="0" borderId="0" xfId="0" applyNumberFormat="1" applyFont="1" applyBorder="1" applyAlignment="1">
      <alignment horizontal="center"/>
    </xf>
    <xf numFmtId="166" fontId="2" fillId="0" borderId="0" xfId="3" applyNumberFormat="1" applyFont="1"/>
    <xf numFmtId="37" fontId="3" fillId="0" borderId="0" xfId="3" applyNumberFormat="1" applyFont="1" applyFill="1"/>
    <xf numFmtId="37" fontId="3" fillId="0" borderId="0" xfId="3" applyNumberFormat="1" applyFont="1" applyFill="1" applyBorder="1"/>
    <xf numFmtId="0" fontId="122" fillId="0" borderId="0" xfId="0" applyFont="1" applyFill="1"/>
    <xf numFmtId="166" fontId="3" fillId="0" borderId="4" xfId="3" applyNumberFormat="1" applyFont="1" applyFill="1" applyBorder="1"/>
    <xf numFmtId="0" fontId="120" fillId="0" borderId="0" xfId="0" applyFont="1" applyBorder="1" applyAlignment="1" applyProtection="1">
      <alignment horizontal="left"/>
    </xf>
    <xf numFmtId="0" fontId="94" fillId="0" borderId="0" xfId="0" applyFont="1" applyFill="1" applyBorder="1"/>
    <xf numFmtId="166" fontId="2" fillId="0" borderId="18" xfId="3" applyNumberFormat="1" applyFont="1" applyBorder="1"/>
    <xf numFmtId="166" fontId="124" fillId="0" borderId="0" xfId="3" applyNumberFormat="1" applyFont="1" applyFill="1" applyBorder="1"/>
    <xf numFmtId="166" fontId="94" fillId="0" borderId="0" xfId="3" applyNumberFormat="1" applyFont="1" applyFill="1" applyBorder="1" applyProtection="1"/>
    <xf numFmtId="166" fontId="3" fillId="0" borderId="4" xfId="3" applyNumberFormat="1" applyFont="1" applyBorder="1" applyProtection="1"/>
    <xf numFmtId="166" fontId="125" fillId="0" borderId="0" xfId="3" applyNumberFormat="1" applyFont="1" applyFill="1" applyBorder="1" applyProtection="1"/>
    <xf numFmtId="166" fontId="10" fillId="0" borderId="0" xfId="3" applyNumberFormat="1" applyFont="1" applyBorder="1" applyProtection="1"/>
    <xf numFmtId="166" fontId="2" fillId="0" borderId="0" xfId="3" applyNumberFormat="1" applyFont="1" applyBorder="1" applyProtection="1"/>
    <xf numFmtId="166" fontId="124" fillId="0" borderId="0" xfId="3" applyNumberFormat="1" applyFont="1" applyFill="1" applyBorder="1" applyProtection="1"/>
    <xf numFmtId="9" fontId="13" fillId="0" borderId="0" xfId="3" applyNumberFormat="1" applyFont="1" applyBorder="1"/>
    <xf numFmtId="9" fontId="94" fillId="0" borderId="0" xfId="3" applyNumberFormat="1" applyFont="1" applyFill="1" applyBorder="1"/>
    <xf numFmtId="38" fontId="3" fillId="0" borderId="0" xfId="4" applyNumberFormat="1" applyFont="1" applyFill="1" applyBorder="1" applyProtection="1"/>
    <xf numFmtId="166" fontId="2" fillId="0" borderId="5" xfId="3" quotePrefix="1" applyNumberFormat="1" applyFont="1" applyBorder="1" applyProtection="1"/>
    <xf numFmtId="166" fontId="124" fillId="0" borderId="0" xfId="3" quotePrefix="1" applyNumberFormat="1" applyFont="1" applyFill="1" applyBorder="1" applyProtection="1"/>
    <xf numFmtId="0" fontId="122" fillId="0" borderId="0" xfId="0" applyFont="1"/>
    <xf numFmtId="38" fontId="122" fillId="0" borderId="0" xfId="0" applyNumberFormat="1" applyFont="1"/>
    <xf numFmtId="0" fontId="122" fillId="0" borderId="0" xfId="0" applyFont="1" applyBorder="1"/>
    <xf numFmtId="0" fontId="128" fillId="0" borderId="10" xfId="0" applyFont="1" applyBorder="1" applyAlignment="1" applyProtection="1">
      <alignment horizontal="left"/>
    </xf>
    <xf numFmtId="0" fontId="122" fillId="0" borderId="10" xfId="0" applyFont="1" applyBorder="1"/>
    <xf numFmtId="9" fontId="122" fillId="0" borderId="0" xfId="0" applyNumberFormat="1" applyFont="1" applyFill="1" applyBorder="1" applyAlignment="1">
      <alignment horizontal="center"/>
    </xf>
    <xf numFmtId="38" fontId="122" fillId="0" borderId="0" xfId="3" applyNumberFormat="1" applyFont="1" applyBorder="1" applyAlignment="1">
      <alignment horizontal="center"/>
    </xf>
    <xf numFmtId="38" fontId="123" fillId="0" borderId="0" xfId="3" applyNumberFormat="1" applyFont="1" applyBorder="1" applyAlignment="1">
      <alignment horizontal="center"/>
    </xf>
    <xf numFmtId="0" fontId="122" fillId="0" borderId="11" xfId="0" applyFont="1" applyBorder="1"/>
    <xf numFmtId="0" fontId="119" fillId="0" borderId="10" xfId="0" applyFont="1" applyBorder="1" applyAlignment="1">
      <alignment horizontal="left"/>
    </xf>
    <xf numFmtId="9" fontId="127" fillId="0" borderId="0" xfId="0" applyNumberFormat="1" applyFont="1" applyBorder="1" applyAlignment="1">
      <alignment horizontal="center"/>
    </xf>
    <xf numFmtId="38" fontId="119" fillId="0" borderId="0" xfId="3" applyNumberFormat="1" applyFont="1" applyBorder="1" applyAlignment="1">
      <alignment horizontal="center"/>
    </xf>
    <xf numFmtId="9" fontId="127" fillId="0" borderId="0" xfId="0" applyNumberFormat="1" applyFont="1" applyBorder="1" applyAlignment="1" applyProtection="1">
      <alignment horizontal="center"/>
    </xf>
    <xf numFmtId="38" fontId="127" fillId="0" borderId="0" xfId="3" applyNumberFormat="1" applyFont="1" applyBorder="1" applyAlignment="1" applyProtection="1">
      <alignment horizontal="center"/>
    </xf>
    <xf numFmtId="0" fontId="122" fillId="0" borderId="6" xfId="0" applyFont="1" applyBorder="1"/>
    <xf numFmtId="0" fontId="122" fillId="0" borderId="13" xfId="0" applyFont="1" applyBorder="1"/>
    <xf numFmtId="0" fontId="119" fillId="0" borderId="0" xfId="0" applyFont="1" applyBorder="1" applyAlignment="1">
      <alignment horizontal="left"/>
    </xf>
    <xf numFmtId="0" fontId="127" fillId="0" borderId="0" xfId="0" applyFont="1" applyBorder="1"/>
    <xf numFmtId="0" fontId="127" fillId="0" borderId="0" xfId="0" applyFont="1" applyBorder="1" applyAlignment="1">
      <alignment horizontal="left"/>
    </xf>
    <xf numFmtId="38" fontId="127" fillId="0" borderId="0" xfId="3" applyNumberFormat="1" applyFont="1" applyBorder="1" applyAlignment="1">
      <alignment horizontal="center"/>
    </xf>
    <xf numFmtId="10" fontId="123" fillId="0" borderId="0" xfId="0" applyNumberFormat="1" applyFont="1" applyBorder="1" applyAlignment="1" applyProtection="1">
      <alignment horizontal="center"/>
    </xf>
    <xf numFmtId="164" fontId="122" fillId="0" borderId="0" xfId="22" applyNumberFormat="1" applyFont="1" applyBorder="1" applyAlignment="1">
      <alignment horizontal="center"/>
    </xf>
    <xf numFmtId="38" fontId="122" fillId="0" borderId="0" xfId="0" applyNumberFormat="1" applyFont="1" applyBorder="1" applyAlignment="1">
      <alignment horizontal="center"/>
    </xf>
    <xf numFmtId="0" fontId="128" fillId="0" borderId="7" xfId="0" applyFont="1" applyBorder="1" applyAlignment="1" applyProtection="1">
      <alignment horizontal="left"/>
    </xf>
    <xf numFmtId="0" fontId="119" fillId="0" borderId="8" xfId="0" applyFont="1" applyBorder="1"/>
    <xf numFmtId="0" fontId="122" fillId="0" borderId="9" xfId="0" applyFont="1" applyBorder="1"/>
    <xf numFmtId="0" fontId="126" fillId="4" borderId="0" xfId="0" applyFont="1" applyFill="1" applyBorder="1" applyAlignment="1">
      <alignment horizontal="center"/>
    </xf>
    <xf numFmtId="0" fontId="126" fillId="4" borderId="11" xfId="0" applyFont="1" applyFill="1" applyBorder="1" applyAlignment="1">
      <alignment horizontal="center"/>
    </xf>
    <xf numFmtId="0" fontId="119" fillId="0" borderId="0" xfId="0" applyFont="1" applyBorder="1"/>
    <xf numFmtId="0" fontId="127" fillId="0" borderId="10" xfId="0" applyFont="1" applyBorder="1"/>
    <xf numFmtId="0" fontId="122" fillId="0" borderId="10" xfId="0" applyFont="1" applyBorder="1" applyAlignment="1">
      <alignment horizontal="left"/>
    </xf>
    <xf numFmtId="15" fontId="122" fillId="8" borderId="0" xfId="0" applyNumberFormat="1" applyFont="1" applyFill="1" applyBorder="1" applyAlignment="1">
      <alignment horizontal="center"/>
    </xf>
    <xf numFmtId="37" fontId="119" fillId="0" borderId="11" xfId="0" applyNumberFormat="1" applyFont="1" applyFill="1" applyBorder="1" applyAlignment="1">
      <alignment horizontal="center"/>
    </xf>
    <xf numFmtId="40" fontId="122" fillId="0" borderId="0" xfId="0" applyNumberFormat="1" applyFont="1" applyBorder="1"/>
    <xf numFmtId="37" fontId="119" fillId="0" borderId="0" xfId="0" applyNumberFormat="1" applyFont="1" applyFill="1" applyBorder="1" applyAlignment="1">
      <alignment horizontal="center"/>
    </xf>
    <xf numFmtId="37" fontId="122" fillId="0" borderId="0" xfId="0" applyNumberFormat="1" applyFont="1" applyFill="1" applyBorder="1" applyAlignment="1">
      <alignment horizontal="center"/>
    </xf>
    <xf numFmtId="1" fontId="122" fillId="0" borderId="0" xfId="0" applyNumberFormat="1" applyFont="1" applyFill="1" applyBorder="1" applyAlignment="1">
      <alignment horizontal="center"/>
    </xf>
    <xf numFmtId="2" fontId="119" fillId="0" borderId="11" xfId="0" applyNumberFormat="1" applyFont="1" applyBorder="1" applyAlignment="1">
      <alignment horizontal="center"/>
    </xf>
    <xf numFmtId="1" fontId="122" fillId="8" borderId="0" xfId="0" applyNumberFormat="1" applyFont="1" applyFill="1" applyBorder="1" applyAlignment="1">
      <alignment horizontal="center"/>
    </xf>
    <xf numFmtId="2" fontId="119" fillId="0" borderId="0" xfId="0" applyNumberFormat="1" applyFont="1" applyBorder="1" applyAlignment="1">
      <alignment horizontal="center"/>
    </xf>
    <xf numFmtId="173" fontId="119" fillId="0" borderId="11" xfId="22" applyNumberFormat="1" applyFont="1" applyFill="1" applyBorder="1" applyAlignment="1">
      <alignment horizontal="center"/>
    </xf>
    <xf numFmtId="173" fontId="119" fillId="0" borderId="0" xfId="22" applyNumberFormat="1" applyFont="1" applyFill="1" applyBorder="1" applyAlignment="1">
      <alignment horizontal="center"/>
    </xf>
    <xf numFmtId="0" fontId="123" fillId="0" borderId="10" xfId="0" applyFont="1" applyBorder="1"/>
    <xf numFmtId="173" fontId="127" fillId="0" borderId="11" xfId="22" applyNumberFormat="1" applyFont="1" applyFill="1" applyBorder="1" applyAlignment="1">
      <alignment horizontal="center"/>
    </xf>
    <xf numFmtId="173" fontId="127" fillId="0" borderId="0" xfId="22" applyNumberFormat="1" applyFont="1" applyFill="1" applyBorder="1" applyAlignment="1">
      <alignment horizontal="center"/>
    </xf>
    <xf numFmtId="0" fontId="122" fillId="0" borderId="12" xfId="0" applyFont="1" applyBorder="1" applyAlignment="1">
      <alignment horizontal="left"/>
    </xf>
    <xf numFmtId="173" fontId="122" fillId="0" borderId="6" xfId="0" applyNumberFormat="1" applyFont="1" applyBorder="1" applyAlignment="1">
      <alignment horizontal="center"/>
    </xf>
    <xf numFmtId="173" fontId="119" fillId="0" borderId="13" xfId="22" applyNumberFormat="1" applyFont="1" applyFill="1" applyBorder="1" applyAlignment="1">
      <alignment horizontal="center"/>
    </xf>
    <xf numFmtId="173" fontId="119" fillId="0" borderId="6" xfId="22" applyNumberFormat="1" applyFont="1" applyFill="1" applyBorder="1" applyAlignment="1">
      <alignment horizontal="center"/>
    </xf>
    <xf numFmtId="173" fontId="122" fillId="0" borderId="0" xfId="0" applyNumberFormat="1" applyFont="1" applyBorder="1" applyAlignment="1">
      <alignment horizontal="center"/>
    </xf>
    <xf numFmtId="0" fontId="123" fillId="0" borderId="7" xfId="0" applyFont="1" applyBorder="1"/>
    <xf numFmtId="0" fontId="123" fillId="0" borderId="8" xfId="0" applyFont="1" applyBorder="1"/>
    <xf numFmtId="0" fontId="123" fillId="0" borderId="8" xfId="0" applyFont="1" applyBorder="1" applyAlignment="1">
      <alignment horizontal="center"/>
    </xf>
    <xf numFmtId="212" fontId="122" fillId="0" borderId="0" xfId="3" applyNumberFormat="1" applyFont="1" applyBorder="1" applyAlignment="1">
      <alignment horizontal="center"/>
    </xf>
    <xf numFmtId="359" fontId="122" fillId="0" borderId="0" xfId="4" applyNumberFormat="1" applyFont="1" applyBorder="1" applyAlignment="1">
      <alignment horizontal="center"/>
    </xf>
    <xf numFmtId="3" fontId="122" fillId="0" borderId="0" xfId="0" applyNumberFormat="1" applyFont="1"/>
    <xf numFmtId="3" fontId="122" fillId="0" borderId="0" xfId="0" applyNumberFormat="1" applyFont="1" applyBorder="1" applyAlignment="1">
      <alignment horizontal="center"/>
    </xf>
    <xf numFmtId="3" fontId="122" fillId="0" borderId="11" xfId="0" applyNumberFormat="1" applyFont="1" applyBorder="1" applyAlignment="1">
      <alignment horizontal="center"/>
    </xf>
    <xf numFmtId="3" fontId="122" fillId="0" borderId="0" xfId="0" applyNumberFormat="1" applyFont="1" applyAlignment="1">
      <alignment horizontal="center"/>
    </xf>
    <xf numFmtId="3" fontId="122" fillId="0" borderId="0" xfId="0" applyNumberFormat="1" applyFont="1" applyBorder="1"/>
    <xf numFmtId="3" fontId="122" fillId="0" borderId="11" xfId="0" applyNumberFormat="1" applyFont="1" applyBorder="1"/>
    <xf numFmtId="0" fontId="122" fillId="0" borderId="12" xfId="0" applyFont="1" applyBorder="1"/>
    <xf numFmtId="0" fontId="8" fillId="4" borderId="0" xfId="17" applyFont="1" applyFill="1" applyBorder="1"/>
    <xf numFmtId="173" fontId="122" fillId="0" borderId="0" xfId="0" applyNumberFormat="1" applyFont="1" applyFill="1" applyBorder="1" applyAlignment="1">
      <alignment horizontal="center"/>
    </xf>
    <xf numFmtId="173" fontId="123" fillId="0" borderId="0" xfId="0" applyNumberFormat="1" applyFont="1" applyFill="1" applyBorder="1" applyAlignment="1">
      <alignment horizontal="center"/>
    </xf>
    <xf numFmtId="15" fontId="122" fillId="0" borderId="0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37" fontId="113" fillId="0" borderId="0" xfId="0" applyNumberFormat="1" applyFont="1" applyFill="1" applyBorder="1" applyAlignment="1">
      <alignment horizontal="center"/>
    </xf>
    <xf numFmtId="37" fontId="114" fillId="0" borderId="0" xfId="0" applyNumberFormat="1" applyFont="1" applyFill="1" applyBorder="1"/>
    <xf numFmtId="37" fontId="112" fillId="0" borderId="0" xfId="0" applyNumberFormat="1" applyFont="1"/>
    <xf numFmtId="37" fontId="114" fillId="0" borderId="0" xfId="0" applyNumberFormat="1" applyFont="1" applyAlignment="1">
      <alignment horizontal="center"/>
    </xf>
    <xf numFmtId="37" fontId="112" fillId="0" borderId="0" xfId="0" applyNumberFormat="1" applyFont="1" applyFill="1" applyBorder="1"/>
    <xf numFmtId="37" fontId="112" fillId="0" borderId="0" xfId="0" applyNumberFormat="1" applyFont="1" applyAlignment="1">
      <alignment horizontal="center"/>
    </xf>
    <xf numFmtId="37" fontId="112" fillId="0" borderId="0" xfId="0" applyNumberFormat="1" applyFont="1" applyFill="1" applyBorder="1" applyAlignment="1">
      <alignment horizontal="left" indent="1"/>
    </xf>
    <xf numFmtId="37" fontId="112" fillId="0" borderId="0" xfId="0" applyNumberFormat="1" applyFont="1" applyAlignment="1">
      <alignment horizontal="left" indent="1"/>
    </xf>
    <xf numFmtId="37" fontId="3" fillId="0" borderId="0" xfId="0" applyNumberFormat="1" applyFont="1" applyBorder="1"/>
    <xf numFmtId="37" fontId="94" fillId="0" borderId="0" xfId="0" applyNumberFormat="1" applyFont="1" applyFill="1"/>
    <xf numFmtId="37" fontId="94" fillId="0" borderId="0" xfId="18" applyNumberFormat="1" applyFont="1" applyFill="1" applyAlignment="1"/>
    <xf numFmtId="166" fontId="9" fillId="0" borderId="18" xfId="3" applyNumberFormat="1" applyFont="1" applyBorder="1"/>
    <xf numFmtId="166" fontId="9" fillId="0" borderId="5" xfId="3" quotePrefix="1" applyNumberFormat="1" applyFont="1" applyBorder="1" applyProtection="1"/>
    <xf numFmtId="43" fontId="3" fillId="0" borderId="0" xfId="3" applyFont="1"/>
    <xf numFmtId="3" fontId="3" fillId="0" borderId="0" xfId="0" applyNumberFormat="1" applyFont="1"/>
    <xf numFmtId="0" fontId="2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43" fontId="3" fillId="0" borderId="22" xfId="3" applyNumberFormat="1" applyFont="1" applyBorder="1"/>
    <xf numFmtId="0" fontId="3" fillId="0" borderId="23" xfId="0" applyFont="1" applyBorder="1"/>
    <xf numFmtId="43" fontId="3" fillId="0" borderId="24" xfId="3" applyNumberFormat="1" applyFont="1" applyBorder="1"/>
    <xf numFmtId="39" fontId="122" fillId="0" borderId="0" xfId="0" applyNumberFormat="1" applyFont="1" applyFill="1" applyBorder="1" applyAlignment="1">
      <alignment horizontal="center"/>
    </xf>
    <xf numFmtId="0" fontId="9" fillId="12" borderId="0" xfId="0" applyFont="1" applyFill="1"/>
    <xf numFmtId="0" fontId="94" fillId="4" borderId="0" xfId="0" applyFont="1" applyFill="1"/>
    <xf numFmtId="166" fontId="1" fillId="13" borderId="0" xfId="3" applyNumberFormat="1" applyFont="1" applyFill="1"/>
    <xf numFmtId="166" fontId="32" fillId="13" borderId="0" xfId="3" applyNumberFormat="1" applyFont="1" applyFill="1"/>
    <xf numFmtId="166" fontId="102" fillId="13" borderId="0" xfId="3" applyNumberFormat="1" applyFont="1" applyFill="1"/>
    <xf numFmtId="0" fontId="122" fillId="0" borderId="0" xfId="0" applyFont="1" applyBorder="1" applyAlignment="1">
      <alignment horizontal="center"/>
    </xf>
    <xf numFmtId="0" fontId="128" fillId="0" borderId="0" xfId="0" applyFont="1" applyBorder="1" applyAlignment="1" applyProtection="1">
      <alignment horizontal="left"/>
    </xf>
    <xf numFmtId="0" fontId="129" fillId="0" borderId="11" xfId="0" applyFont="1" applyBorder="1" applyAlignment="1">
      <alignment horizontal="center"/>
    </xf>
    <xf numFmtId="37" fontId="122" fillId="0" borderId="11" xfId="0" applyNumberFormat="1" applyFont="1" applyFill="1" applyBorder="1" applyAlignment="1">
      <alignment horizontal="center"/>
    </xf>
    <xf numFmtId="164" fontId="129" fillId="0" borderId="0" xfId="0" applyNumberFormat="1" applyFont="1" applyFill="1" applyBorder="1" applyAlignment="1">
      <alignment horizontal="center"/>
    </xf>
    <xf numFmtId="0" fontId="122" fillId="0" borderId="7" xfId="0" applyFont="1" applyBorder="1"/>
    <xf numFmtId="37" fontId="122" fillId="0" borderId="0" xfId="0" applyNumberFormat="1" applyFont="1" applyBorder="1" applyAlignment="1">
      <alignment horizontal="center"/>
    </xf>
    <xf numFmtId="0" fontId="122" fillId="0" borderId="11" xfId="0" applyFont="1" applyBorder="1" applyAlignment="1">
      <alignment horizontal="center"/>
    </xf>
    <xf numFmtId="0" fontId="128" fillId="0" borderId="12" xfId="0" applyFont="1" applyBorder="1" applyAlignment="1" applyProtection="1">
      <alignment horizontal="left"/>
    </xf>
    <xf numFmtId="38" fontId="122" fillId="0" borderId="6" xfId="3" applyNumberFormat="1" applyFont="1" applyBorder="1" applyAlignment="1">
      <alignment horizontal="center"/>
    </xf>
    <xf numFmtId="164" fontId="129" fillId="0" borderId="6" xfId="0" applyNumberFormat="1" applyFont="1" applyFill="1" applyBorder="1" applyAlignment="1">
      <alignment horizontal="center"/>
    </xf>
    <xf numFmtId="9" fontId="119" fillId="0" borderId="0" xfId="0" applyNumberFormat="1" applyFont="1" applyFill="1" applyBorder="1" applyAlignment="1">
      <alignment horizontal="center"/>
    </xf>
    <xf numFmtId="164" fontId="122" fillId="0" borderId="0" xfId="0" applyNumberFormat="1" applyFont="1" applyFill="1" applyBorder="1" applyAlignment="1">
      <alignment horizontal="center"/>
    </xf>
    <xf numFmtId="0" fontId="122" fillId="0" borderId="10" xfId="0" applyFont="1" applyBorder="1" applyAlignment="1">
      <alignment horizontal="left" indent="1"/>
    </xf>
    <xf numFmtId="0" fontId="122" fillId="0" borderId="10" xfId="0" applyFont="1" applyBorder="1" applyAlignment="1" applyProtection="1">
      <alignment horizontal="left" indent="1"/>
    </xf>
    <xf numFmtId="164" fontId="3" fillId="0" borderId="0" xfId="22" applyNumberFormat="1" applyFont="1" applyFill="1"/>
    <xf numFmtId="0" fontId="130" fillId="0" borderId="0" xfId="0" applyFont="1"/>
    <xf numFmtId="0" fontId="131" fillId="0" borderId="0" xfId="0" applyFont="1"/>
    <xf numFmtId="0" fontId="132" fillId="0" borderId="7" xfId="0" applyFont="1" applyFill="1" applyBorder="1" applyAlignment="1" applyProtection="1">
      <alignment horizontal="left"/>
    </xf>
    <xf numFmtId="0" fontId="5" fillId="0" borderId="8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132" fillId="0" borderId="0" xfId="0" applyFont="1" applyBorder="1" applyAlignment="1">
      <alignment horizontal="centerContinuous"/>
    </xf>
    <xf numFmtId="0" fontId="133" fillId="0" borderId="10" xfId="0" applyFont="1" applyBorder="1" applyAlignment="1" applyProtection="1">
      <alignment horizontal="left"/>
    </xf>
    <xf numFmtId="0" fontId="133" fillId="0" borderId="0" xfId="0" applyFont="1" applyBorder="1" applyAlignment="1">
      <alignment horizontal="center"/>
    </xf>
    <xf numFmtId="6" fontId="133" fillId="0" borderId="0" xfId="0" quotePrefix="1" applyNumberFormat="1" applyFont="1" applyBorder="1" applyAlignment="1">
      <alignment horizontal="center"/>
    </xf>
    <xf numFmtId="0" fontId="68" fillId="0" borderId="0" xfId="0" applyFont="1" applyBorder="1"/>
    <xf numFmtId="0" fontId="133" fillId="0" borderId="0" xfId="0" applyFont="1" applyBorder="1" applyAlignment="1" applyProtection="1">
      <alignment horizontal="left"/>
    </xf>
    <xf numFmtId="0" fontId="133" fillId="0" borderId="11" xfId="0" quotePrefix="1" applyFont="1" applyBorder="1" applyAlignment="1">
      <alignment horizontal="center"/>
    </xf>
    <xf numFmtId="0" fontId="68" fillId="0" borderId="10" xfId="0" applyFont="1" applyBorder="1" applyAlignment="1" applyProtection="1">
      <alignment horizontal="left"/>
    </xf>
    <xf numFmtId="9" fontId="68" fillId="0" borderId="0" xfId="0" applyNumberFormat="1" applyFont="1" applyFill="1" applyBorder="1" applyAlignment="1">
      <alignment horizontal="center"/>
    </xf>
    <xf numFmtId="38" fontId="68" fillId="0" borderId="0" xfId="3" applyNumberFormat="1" applyFont="1" applyBorder="1" applyAlignment="1">
      <alignment horizontal="center"/>
    </xf>
    <xf numFmtId="10" fontId="68" fillId="0" borderId="0" xfId="0" applyNumberFormat="1" applyFont="1" applyBorder="1"/>
    <xf numFmtId="0" fontId="68" fillId="0" borderId="0" xfId="0" applyFont="1" applyBorder="1" applyAlignment="1" applyProtection="1">
      <alignment horizontal="left"/>
    </xf>
    <xf numFmtId="9" fontId="68" fillId="0" borderId="0" xfId="0" applyNumberFormat="1" applyFont="1" applyBorder="1" applyAlignment="1">
      <alignment horizontal="center"/>
    </xf>
    <xf numFmtId="38" fontId="68" fillId="0" borderId="11" xfId="3" applyNumberFormat="1" applyFont="1" applyBorder="1" applyAlignment="1">
      <alignment horizontal="center"/>
    </xf>
    <xf numFmtId="9" fontId="133" fillId="0" borderId="0" xfId="0" applyNumberFormat="1" applyFont="1" applyFill="1" applyBorder="1" applyAlignment="1">
      <alignment horizontal="center"/>
    </xf>
    <xf numFmtId="38" fontId="133" fillId="0" borderId="0" xfId="3" applyNumberFormat="1" applyFont="1" applyBorder="1" applyAlignment="1">
      <alignment horizontal="center"/>
    </xf>
    <xf numFmtId="38" fontId="133" fillId="0" borderId="0" xfId="0" applyNumberFormat="1" applyFont="1" applyBorder="1"/>
    <xf numFmtId="9" fontId="133" fillId="0" borderId="0" xfId="0" applyNumberFormat="1" applyFont="1" applyBorder="1" applyAlignment="1">
      <alignment horizontal="center"/>
    </xf>
    <xf numFmtId="38" fontId="133" fillId="0" borderId="11" xfId="3" applyNumberFormat="1" applyFont="1" applyBorder="1" applyAlignment="1">
      <alignment horizontal="center"/>
    </xf>
    <xf numFmtId="38" fontId="68" fillId="0" borderId="0" xfId="0" applyNumberFormat="1" applyFont="1"/>
    <xf numFmtId="0" fontId="3" fillId="0" borderId="10" xfId="0" applyFont="1" applyBorder="1"/>
    <xf numFmtId="0" fontId="3" fillId="0" borderId="11" xfId="0" applyFont="1" applyBorder="1"/>
    <xf numFmtId="0" fontId="68" fillId="0" borderId="10" xfId="0" applyFont="1" applyBorder="1"/>
    <xf numFmtId="1" fontId="3" fillId="0" borderId="0" xfId="0" applyNumberFormat="1" applyFont="1" applyFill="1"/>
    <xf numFmtId="0" fontId="132" fillId="0" borderId="12" xfId="0" applyFont="1" applyBorder="1" applyAlignment="1">
      <alignment horizontal="left"/>
    </xf>
    <xf numFmtId="9" fontId="132" fillId="0" borderId="6" xfId="0" applyNumberFormat="1" applyFont="1" applyBorder="1" applyAlignment="1" applyProtection="1">
      <alignment horizontal="center"/>
    </xf>
    <xf numFmtId="38" fontId="132" fillId="0" borderId="6" xfId="3" applyNumberFormat="1" applyFont="1" applyBorder="1" applyAlignment="1" applyProtection="1">
      <alignment horizontal="center"/>
    </xf>
    <xf numFmtId="0" fontId="68" fillId="0" borderId="6" xfId="0" applyFont="1" applyBorder="1"/>
    <xf numFmtId="0" fontId="132" fillId="0" borderId="6" xfId="0" applyFont="1" applyBorder="1"/>
    <xf numFmtId="9" fontId="132" fillId="0" borderId="6" xfId="0" applyNumberFormat="1" applyFont="1" applyBorder="1" applyAlignment="1">
      <alignment horizontal="center"/>
    </xf>
    <xf numFmtId="38" fontId="132" fillId="0" borderId="13" xfId="3" applyNumberFormat="1" applyFont="1" applyBorder="1" applyAlignment="1">
      <alignment horizontal="center"/>
    </xf>
    <xf numFmtId="10" fontId="133" fillId="0" borderId="0" xfId="0" applyNumberFormat="1" applyFont="1" applyBorder="1" applyAlignment="1">
      <alignment horizontal="left"/>
    </xf>
    <xf numFmtId="10" fontId="133" fillId="0" borderId="0" xfId="0" applyNumberFormat="1" applyFont="1" applyBorder="1" applyAlignment="1" applyProtection="1">
      <alignment horizontal="center"/>
    </xf>
    <xf numFmtId="164" fontId="68" fillId="0" borderId="0" xfId="22" applyNumberFormat="1" applyFont="1" applyBorder="1" applyAlignment="1">
      <alignment horizontal="center"/>
    </xf>
    <xf numFmtId="38" fontId="68" fillId="0" borderId="0" xfId="0" applyNumberFormat="1" applyFont="1" applyBorder="1" applyAlignment="1">
      <alignment horizontal="center"/>
    </xf>
    <xf numFmtId="0" fontId="2" fillId="0" borderId="8" xfId="0" applyFont="1" applyBorder="1"/>
    <xf numFmtId="0" fontId="134" fillId="4" borderId="0" xfId="0" applyFont="1" applyFill="1" applyBorder="1" applyAlignment="1">
      <alignment horizontal="center"/>
    </xf>
    <xf numFmtId="0" fontId="2" fillId="0" borderId="11" xfId="0" applyFont="1" applyBorder="1"/>
    <xf numFmtId="0" fontId="132" fillId="0" borderId="10" xfId="0" applyFont="1" applyBorder="1"/>
    <xf numFmtId="0" fontId="9" fillId="0" borderId="0" xfId="0" applyFont="1" applyBorder="1" applyAlignment="1">
      <alignment horizontal="left"/>
    </xf>
    <xf numFmtId="0" fontId="68" fillId="0" borderId="10" xfId="0" applyFont="1" applyBorder="1" applyAlignment="1">
      <alignment horizontal="left"/>
    </xf>
    <xf numFmtId="15" fontId="68" fillId="8" borderId="0" xfId="0" applyNumberFormat="1" applyFont="1" applyFill="1" applyBorder="1" applyAlignment="1">
      <alignment horizontal="center"/>
    </xf>
    <xf numFmtId="37" fontId="68" fillId="8" borderId="0" xfId="0" applyNumberFormat="1" applyFont="1" applyFill="1" applyBorder="1" applyAlignment="1">
      <alignment horizontal="center"/>
    </xf>
    <xf numFmtId="37" fontId="9" fillId="0" borderId="0" xfId="0" applyNumberFormat="1" applyFont="1" applyFill="1" applyBorder="1" applyAlignment="1">
      <alignment horizontal="center"/>
    </xf>
    <xf numFmtId="40" fontId="3" fillId="0" borderId="0" xfId="0" applyNumberFormat="1" applyFont="1" applyBorder="1"/>
    <xf numFmtId="40" fontId="3" fillId="0" borderId="11" xfId="0" applyNumberFormat="1" applyFont="1" applyBorder="1"/>
    <xf numFmtId="1" fontId="68" fillId="0" borderId="0" xfId="0" applyNumberFormat="1" applyFont="1" applyFill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4" fontId="68" fillId="0" borderId="0" xfId="0" applyNumberFormat="1" applyFont="1" applyFill="1" applyBorder="1" applyAlignment="1">
      <alignment horizontal="center"/>
    </xf>
    <xf numFmtId="39" fontId="9" fillId="0" borderId="0" xfId="0" applyNumberFormat="1" applyFont="1" applyFill="1" applyBorder="1" applyAlignment="1">
      <alignment horizontal="center"/>
    </xf>
    <xf numFmtId="173" fontId="68" fillId="8" borderId="0" xfId="0" applyNumberFormat="1" applyFont="1" applyFill="1" applyBorder="1" applyAlignment="1">
      <alignment horizontal="center"/>
    </xf>
    <xf numFmtId="173" fontId="9" fillId="0" borderId="0" xfId="22" applyNumberFormat="1" applyFont="1" applyFill="1" applyBorder="1" applyAlignment="1">
      <alignment horizontal="center"/>
    </xf>
    <xf numFmtId="0" fontId="133" fillId="0" borderId="10" xfId="0" applyFont="1" applyBorder="1"/>
    <xf numFmtId="173" fontId="133" fillId="8" borderId="0" xfId="0" applyNumberFormat="1" applyFont="1" applyFill="1" applyBorder="1" applyAlignment="1">
      <alignment horizontal="center"/>
    </xf>
    <xf numFmtId="173" fontId="132" fillId="0" borderId="0" xfId="22" applyNumberFormat="1" applyFont="1" applyFill="1" applyBorder="1" applyAlignment="1">
      <alignment horizontal="center"/>
    </xf>
    <xf numFmtId="173" fontId="68" fillId="0" borderId="0" xfId="0" applyNumberFormat="1" applyFont="1" applyBorder="1" applyAlignment="1">
      <alignment horizontal="center"/>
    </xf>
    <xf numFmtId="173" fontId="3" fillId="0" borderId="0" xfId="0" applyNumberFormat="1" applyFont="1" applyBorder="1" applyAlignment="1">
      <alignment horizontal="center"/>
    </xf>
    <xf numFmtId="10" fontId="68" fillId="8" borderId="0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9" fontId="3" fillId="0" borderId="0" xfId="0" applyNumberFormat="1" applyFont="1" applyBorder="1"/>
    <xf numFmtId="210" fontId="3" fillId="0" borderId="11" xfId="0" applyNumberFormat="1" applyFont="1" applyBorder="1"/>
    <xf numFmtId="10" fontId="3" fillId="0" borderId="0" xfId="0" applyNumberFormat="1" applyFont="1" applyBorder="1"/>
    <xf numFmtId="37" fontId="9" fillId="8" borderId="0" xfId="0" applyNumberFormat="1" applyFont="1" applyFill="1" applyBorder="1" applyAlignment="1">
      <alignment horizontal="center"/>
    </xf>
    <xf numFmtId="0" fontId="68" fillId="0" borderId="12" xfId="0" applyFont="1" applyBorder="1" applyAlignment="1">
      <alignment horizontal="left"/>
    </xf>
    <xf numFmtId="164" fontId="9" fillId="8" borderId="6" xfId="22" applyNumberFormat="1" applyFont="1" applyFill="1" applyBorder="1" applyAlignment="1">
      <alignment horizontal="center"/>
    </xf>
    <xf numFmtId="0" fontId="3" fillId="0" borderId="13" xfId="0" applyFont="1" applyBorder="1"/>
    <xf numFmtId="0" fontId="132" fillId="0" borderId="7" xfId="0" applyFont="1" applyFill="1" applyBorder="1"/>
    <xf numFmtId="0" fontId="68" fillId="0" borderId="8" xfId="0" applyFont="1" applyFill="1" applyBorder="1"/>
    <xf numFmtId="0" fontId="132" fillId="0" borderId="8" xfId="0" applyFont="1" applyFill="1" applyBorder="1" applyAlignment="1">
      <alignment horizontal="centerContinuous"/>
    </xf>
    <xf numFmtId="0" fontId="68" fillId="0" borderId="8" xfId="0" applyFont="1" applyBorder="1"/>
    <xf numFmtId="0" fontId="68" fillId="0" borderId="4" xfId="0" applyFont="1" applyFill="1" applyBorder="1" applyAlignment="1">
      <alignment horizontal="centerContinuous"/>
    </xf>
    <xf numFmtId="0" fontId="133" fillId="0" borderId="4" xfId="0" applyFont="1" applyFill="1" applyBorder="1" applyAlignment="1">
      <alignment horizontal="centerContinuous"/>
    </xf>
    <xf numFmtId="0" fontId="133" fillId="0" borderId="0" xfId="0" applyFont="1" applyFill="1" applyBorder="1" applyAlignment="1">
      <alignment horizontal="center"/>
    </xf>
    <xf numFmtId="0" fontId="133" fillId="0" borderId="10" xfId="0" applyFont="1" applyFill="1" applyBorder="1"/>
    <xf numFmtId="10" fontId="9" fillId="0" borderId="0" xfId="0" applyNumberFormat="1" applyFont="1" applyFill="1" applyBorder="1"/>
    <xf numFmtId="0" fontId="68" fillId="0" borderId="10" xfId="0" applyFont="1" applyFill="1" applyBorder="1"/>
    <xf numFmtId="38" fontId="68" fillId="0" borderId="0" xfId="0" applyNumberFormat="1" applyFont="1" applyFill="1" applyBorder="1" applyAlignment="1">
      <alignment horizontal="center"/>
    </xf>
    <xf numFmtId="43" fontId="68" fillId="0" borderId="0" xfId="3" applyFont="1" applyFill="1" applyBorder="1" applyAlignment="1">
      <alignment horizontal="center"/>
    </xf>
    <xf numFmtId="9" fontId="68" fillId="0" borderId="0" xfId="22" applyFont="1" applyFill="1" applyBorder="1" applyAlignment="1">
      <alignment horizontal="center"/>
    </xf>
    <xf numFmtId="10" fontId="68" fillId="0" borderId="0" xfId="22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8" fillId="0" borderId="12" xfId="0" applyFont="1" applyFill="1" applyBorder="1"/>
    <xf numFmtId="38" fontId="68" fillId="0" borderId="6" xfId="0" applyNumberFormat="1" applyFont="1" applyFill="1" applyBorder="1" applyAlignment="1">
      <alignment horizontal="center"/>
    </xf>
    <xf numFmtId="38" fontId="68" fillId="0" borderId="6" xfId="0" applyNumberFormat="1" applyFont="1" applyBorder="1" applyAlignment="1">
      <alignment horizontal="center"/>
    </xf>
    <xf numFmtId="43" fontId="68" fillId="0" borderId="6" xfId="3" applyFont="1" applyFill="1" applyBorder="1" applyAlignment="1">
      <alignment horizontal="center"/>
    </xf>
    <xf numFmtId="9" fontId="68" fillId="0" borderId="6" xfId="22" applyFont="1" applyFill="1" applyBorder="1" applyAlignment="1">
      <alignment horizontal="center"/>
    </xf>
    <xf numFmtId="0" fontId="68" fillId="0" borderId="9" xfId="0" applyFont="1" applyBorder="1"/>
    <xf numFmtId="0" fontId="68" fillId="0" borderId="11" xfId="0" applyFont="1" applyBorder="1"/>
    <xf numFmtId="0" fontId="133" fillId="0" borderId="0" xfId="0" applyFont="1" applyBorder="1"/>
    <xf numFmtId="212" fontId="68" fillId="0" borderId="0" xfId="3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38" fontId="68" fillId="0" borderId="0" xfId="0" applyNumberFormat="1" applyFont="1" applyBorder="1"/>
    <xf numFmtId="10" fontId="68" fillId="0" borderId="0" xfId="0" applyNumberFormat="1" applyFont="1" applyBorder="1" applyAlignment="1">
      <alignment horizontal="center"/>
    </xf>
    <xf numFmtId="3" fontId="68" fillId="0" borderId="0" xfId="0" applyNumberFormat="1" applyFont="1"/>
    <xf numFmtId="0" fontId="68" fillId="0" borderId="12" xfId="0" applyFont="1" applyBorder="1"/>
    <xf numFmtId="3" fontId="3" fillId="0" borderId="0" xfId="0" applyNumberFormat="1" applyFont="1" applyAlignment="1">
      <alignment horizontal="center"/>
    </xf>
    <xf numFmtId="0" fontId="132" fillId="0" borderId="9" xfId="0" applyFont="1" applyBorder="1" applyAlignment="1">
      <alignment horizontal="centerContinuous"/>
    </xf>
    <xf numFmtId="0" fontId="68" fillId="0" borderId="0" xfId="0" applyFont="1" applyFill="1" applyBorder="1"/>
    <xf numFmtId="0" fontId="134" fillId="0" borderId="0" xfId="0" applyFont="1" applyFill="1" applyBorder="1" applyAlignment="1">
      <alignment horizontal="center"/>
    </xf>
    <xf numFmtId="0" fontId="134" fillId="4" borderId="11" xfId="0" applyFont="1" applyFill="1" applyBorder="1" applyAlignment="1">
      <alignment horizontal="center"/>
    </xf>
    <xf numFmtId="38" fontId="68" fillId="8" borderId="0" xfId="0" applyNumberFormat="1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38" fontId="68" fillId="0" borderId="11" xfId="0" applyNumberFormat="1" applyFont="1" applyFill="1" applyBorder="1" applyAlignment="1">
      <alignment horizontal="center"/>
    </xf>
    <xf numFmtId="3" fontId="68" fillId="0" borderId="0" xfId="3" applyNumberFormat="1" applyFont="1" applyBorder="1" applyAlignment="1">
      <alignment horizontal="center"/>
    </xf>
    <xf numFmtId="0" fontId="68" fillId="0" borderId="0" xfId="0" applyFont="1" applyBorder="1" applyAlignment="1">
      <alignment horizontal="center"/>
    </xf>
    <xf numFmtId="0" fontId="0" fillId="0" borderId="6" xfId="0" applyBorder="1"/>
    <xf numFmtId="38" fontId="68" fillId="8" borderId="6" xfId="0" applyNumberFormat="1" applyFont="1" applyFill="1" applyBorder="1" applyAlignment="1">
      <alignment horizontal="center"/>
    </xf>
    <xf numFmtId="0" fontId="68" fillId="0" borderId="6" xfId="0" applyFont="1" applyBorder="1" applyAlignment="1">
      <alignment horizontal="center"/>
    </xf>
    <xf numFmtId="38" fontId="68" fillId="0" borderId="13" xfId="0" applyNumberFormat="1" applyFont="1" applyFill="1" applyBorder="1" applyAlignment="1">
      <alignment horizontal="center"/>
    </xf>
    <xf numFmtId="0" fontId="68" fillId="0" borderId="9" xfId="0" applyFont="1" applyFill="1" applyBorder="1"/>
    <xf numFmtId="0" fontId="3" fillId="0" borderId="11" xfId="0" applyFont="1" applyFill="1" applyBorder="1"/>
    <xf numFmtId="40" fontId="68" fillId="8" borderId="0" xfId="0" applyNumberFormat="1" applyFont="1" applyFill="1" applyBorder="1" applyAlignment="1">
      <alignment horizontal="center"/>
    </xf>
    <xf numFmtId="40" fontId="68" fillId="0" borderId="0" xfId="0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40" fontId="68" fillId="0" borderId="0" xfId="0" applyNumberFormat="1" applyFont="1" applyFill="1" applyBorder="1" applyAlignment="1">
      <alignment horizontal="center"/>
    </xf>
    <xf numFmtId="40" fontId="68" fillId="0" borderId="11" xfId="0" applyNumberFormat="1" applyFont="1" applyFill="1" applyBorder="1" applyAlignment="1">
      <alignment horizontal="center"/>
    </xf>
    <xf numFmtId="39" fontId="68" fillId="0" borderId="0" xfId="3" applyNumberFormat="1" applyFont="1" applyFill="1" applyBorder="1" applyAlignment="1">
      <alignment horizontal="center"/>
    </xf>
    <xf numFmtId="39" fontId="3" fillId="0" borderId="0" xfId="3" applyNumberFormat="1" applyFont="1" applyFill="1" applyBorder="1" applyAlignment="1">
      <alignment horizontal="center"/>
    </xf>
    <xf numFmtId="190" fontId="3" fillId="0" borderId="0" xfId="0" applyNumberFormat="1" applyFont="1" applyBorder="1"/>
    <xf numFmtId="0" fontId="132" fillId="0" borderId="0" xfId="0" applyFont="1" applyBorder="1"/>
    <xf numFmtId="3" fontId="68" fillId="8" borderId="6" xfId="0" applyNumberFormat="1" applyFont="1" applyFill="1" applyBorder="1" applyAlignment="1">
      <alignment horizontal="center"/>
    </xf>
    <xf numFmtId="3" fontId="68" fillId="0" borderId="6" xfId="0" applyNumberFormat="1" applyFont="1" applyBorder="1" applyAlignment="1">
      <alignment horizontal="center"/>
    </xf>
    <xf numFmtId="3" fontId="68" fillId="0" borderId="13" xfId="0" applyNumberFormat="1" applyFont="1" applyBorder="1" applyAlignment="1">
      <alignment horizontal="center"/>
    </xf>
    <xf numFmtId="0" fontId="68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33" fillId="0" borderId="8" xfId="0" applyFont="1" applyFill="1" applyBorder="1" applyAlignment="1">
      <alignment horizontal="center"/>
    </xf>
    <xf numFmtId="40" fontId="68" fillId="0" borderId="8" xfId="0" applyNumberFormat="1" applyFont="1" applyFill="1" applyBorder="1" applyAlignment="1">
      <alignment horizontal="center"/>
    </xf>
    <xf numFmtId="40" fontId="68" fillId="0" borderId="9" xfId="0" applyNumberFormat="1" applyFont="1" applyFill="1" applyBorder="1" applyAlignment="1">
      <alignment horizontal="center"/>
    </xf>
    <xf numFmtId="0" fontId="68" fillId="0" borderId="10" xfId="0" applyFont="1" applyFill="1" applyBorder="1" applyAlignment="1" applyProtection="1">
      <alignment horizontal="left"/>
    </xf>
    <xf numFmtId="39" fontId="68" fillId="8" borderId="0" xfId="3" applyNumberFormat="1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10" fontId="68" fillId="0" borderId="0" xfId="0" applyNumberFormat="1" applyFont="1" applyFill="1" applyBorder="1" applyAlignment="1">
      <alignment horizontal="center"/>
    </xf>
    <xf numFmtId="10" fontId="68" fillId="0" borderId="11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0" fontId="68" fillId="0" borderId="11" xfId="22" applyNumberFormat="1" applyFont="1" applyFill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3" fontId="3" fillId="0" borderId="11" xfId="0" applyNumberFormat="1" applyFont="1" applyBorder="1" applyAlignment="1">
      <alignment horizontal="center"/>
    </xf>
    <xf numFmtId="3" fontId="68" fillId="8" borderId="0" xfId="3" applyNumberFormat="1" applyFont="1" applyFill="1" applyBorder="1" applyAlignment="1">
      <alignment horizontal="center"/>
    </xf>
    <xf numFmtId="3" fontId="68" fillId="0" borderId="0" xfId="3" applyNumberFormat="1" applyFont="1" applyFill="1" applyBorder="1" applyAlignment="1">
      <alignment horizontal="center"/>
    </xf>
    <xf numFmtId="0" fontId="0" fillId="0" borderId="11" xfId="0" applyBorder="1"/>
    <xf numFmtId="3" fontId="68" fillId="0" borderId="6" xfId="3" applyNumberFormat="1" applyFont="1" applyFill="1" applyBorder="1" applyAlignment="1">
      <alignment horizontal="center"/>
    </xf>
    <xf numFmtId="0" fontId="133" fillId="0" borderId="9" xfId="0" applyFont="1" applyFill="1" applyBorder="1" applyAlignment="1">
      <alignment horizontal="center"/>
    </xf>
    <xf numFmtId="0" fontId="68" fillId="0" borderId="11" xfId="0" applyFont="1" applyFill="1" applyBorder="1" applyAlignment="1">
      <alignment horizontal="center"/>
    </xf>
    <xf numFmtId="10" fontId="68" fillId="8" borderId="0" xfId="22" applyNumberFormat="1" applyFont="1" applyFill="1" applyBorder="1" applyAlignment="1">
      <alignment horizontal="center"/>
    </xf>
    <xf numFmtId="10" fontId="68" fillId="8" borderId="6" xfId="22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221" fontId="68" fillId="0" borderId="0" xfId="3" applyNumberFormat="1" applyFont="1" applyBorder="1" applyAlignment="1">
      <alignment horizontal="center"/>
    </xf>
    <xf numFmtId="222" fontId="68" fillId="0" borderId="0" xfId="3" applyNumberFormat="1" applyFont="1" applyBorder="1" applyAlignment="1">
      <alignment horizontal="center"/>
    </xf>
    <xf numFmtId="0" fontId="68" fillId="0" borderId="4" xfId="0" applyFont="1" applyBorder="1"/>
    <xf numFmtId="0" fontId="3" fillId="0" borderId="4" xfId="0" applyFont="1" applyBorder="1"/>
    <xf numFmtId="3" fontId="68" fillId="0" borderId="4" xfId="3" applyNumberFormat="1" applyFont="1" applyBorder="1" applyAlignment="1">
      <alignment horizontal="center"/>
    </xf>
    <xf numFmtId="3" fontId="3" fillId="0" borderId="0" xfId="0" applyNumberFormat="1" applyFont="1" applyBorder="1"/>
    <xf numFmtId="0" fontId="9" fillId="0" borderId="0" xfId="0" applyFont="1"/>
    <xf numFmtId="44" fontId="68" fillId="0" borderId="0" xfId="4" applyFont="1" applyFill="1" applyBorder="1"/>
    <xf numFmtId="0" fontId="68" fillId="0" borderId="0" xfId="0" applyFont="1" applyFill="1"/>
    <xf numFmtId="7" fontId="68" fillId="0" borderId="0" xfId="3" applyNumberFormat="1" applyFont="1" applyBorder="1"/>
    <xf numFmtId="0" fontId="132" fillId="0" borderId="0" xfId="3" applyNumberFormat="1" applyFont="1" applyBorder="1" applyAlignment="1">
      <alignment horizontal="right"/>
    </xf>
    <xf numFmtId="40" fontId="68" fillId="0" borderId="0" xfId="3" applyNumberFormat="1" applyFont="1" applyBorder="1" applyAlignment="1">
      <alignment horizontal="right"/>
    </xf>
    <xf numFmtId="166" fontId="68" fillId="0" borderId="0" xfId="3" applyNumberFormat="1" applyFont="1" applyBorder="1" applyAlignment="1">
      <alignment horizontal="right"/>
    </xf>
    <xf numFmtId="10" fontId="101" fillId="0" borderId="3" xfId="22" applyNumberFormat="1" applyFont="1" applyFill="1" applyBorder="1" applyAlignment="1">
      <alignment horizontal="right"/>
    </xf>
    <xf numFmtId="43" fontId="68" fillId="0" borderId="0" xfId="0" applyNumberFormat="1" applyFont="1" applyBorder="1"/>
    <xf numFmtId="10" fontId="101" fillId="0" borderId="0" xfId="22" applyNumberFormat="1" applyFont="1" applyFill="1" applyBorder="1" applyAlignment="1">
      <alignment horizontal="right"/>
    </xf>
    <xf numFmtId="2" fontId="68" fillId="0" borderId="0" xfId="0" applyNumberFormat="1" applyFont="1" applyBorder="1"/>
    <xf numFmtId="0" fontId="68" fillId="0" borderId="0" xfId="0" applyFont="1" applyBorder="1" applyAlignment="1">
      <alignment horizontal="right"/>
    </xf>
    <xf numFmtId="0" fontId="136" fillId="0" borderId="0" xfId="0" applyFont="1" applyBorder="1"/>
    <xf numFmtId="2" fontId="137" fillId="0" borderId="0" xfId="3" applyNumberFormat="1" applyFont="1" applyFill="1" applyBorder="1" applyAlignment="1">
      <alignment horizontal="right"/>
    </xf>
    <xf numFmtId="43" fontId="68" fillId="0" borderId="0" xfId="3" applyNumberFormat="1" applyFont="1" applyBorder="1" applyAlignment="1">
      <alignment horizontal="right"/>
    </xf>
    <xf numFmtId="44" fontId="68" fillId="0" borderId="0" xfId="4" applyFont="1" applyBorder="1" applyAlignment="1">
      <alignment horizontal="right"/>
    </xf>
    <xf numFmtId="44" fontId="68" fillId="0" borderId="0" xfId="4" applyFont="1" applyAlignment="1">
      <alignment horizontal="right"/>
    </xf>
    <xf numFmtId="9" fontId="137" fillId="0" borderId="0" xfId="0" applyNumberFormat="1" applyFont="1" applyBorder="1"/>
    <xf numFmtId="40" fontId="68" fillId="0" borderId="0" xfId="3" applyNumberFormat="1" applyFont="1" applyFill="1" applyBorder="1" applyAlignment="1">
      <alignment horizontal="right"/>
    </xf>
    <xf numFmtId="43" fontId="68" fillId="0" borderId="0" xfId="3" applyFont="1" applyFill="1" applyBorder="1" applyAlignment="1">
      <alignment horizontal="right"/>
    </xf>
    <xf numFmtId="44" fontId="68" fillId="0" borderId="0" xfId="4" applyFont="1" applyFill="1" applyAlignment="1">
      <alignment horizontal="right"/>
    </xf>
    <xf numFmtId="0" fontId="9" fillId="0" borderId="25" xfId="0" applyFont="1" applyBorder="1"/>
    <xf numFmtId="0" fontId="0" fillId="0" borderId="26" xfId="0" applyBorder="1"/>
    <xf numFmtId="40" fontId="68" fillId="12" borderId="26" xfId="3" applyNumberFormat="1" applyFont="1" applyFill="1" applyBorder="1" applyAlignment="1">
      <alignment horizontal="right"/>
    </xf>
    <xf numFmtId="40" fontId="68" fillId="12" borderId="27" xfId="3" applyNumberFormat="1" applyFont="1" applyFill="1" applyBorder="1" applyAlignment="1">
      <alignment horizontal="right"/>
    </xf>
    <xf numFmtId="1" fontId="137" fillId="0" borderId="0" xfId="3" applyNumberFormat="1" applyFont="1" applyFill="1" applyBorder="1" applyAlignment="1">
      <alignment horizontal="right"/>
    </xf>
    <xf numFmtId="43" fontId="133" fillId="0" borderId="0" xfId="3" applyNumberFormat="1" applyFont="1" applyBorder="1" applyAlignment="1">
      <alignment horizontal="right"/>
    </xf>
    <xf numFmtId="7" fontId="68" fillId="0" borderId="0" xfId="3" applyNumberFormat="1" applyFont="1" applyBorder="1" applyAlignment="1">
      <alignment horizontal="right"/>
    </xf>
    <xf numFmtId="43" fontId="68" fillId="0" borderId="0" xfId="3" applyFont="1" applyBorder="1" applyAlignment="1">
      <alignment horizontal="right"/>
    </xf>
    <xf numFmtId="40" fontId="133" fillId="0" borderId="0" xfId="3" applyNumberFormat="1" applyFont="1" applyBorder="1" applyAlignment="1">
      <alignment horizontal="right"/>
    </xf>
    <xf numFmtId="43" fontId="133" fillId="0" borderId="0" xfId="3" applyFont="1" applyBorder="1" applyAlignment="1">
      <alignment horizontal="right"/>
    </xf>
    <xf numFmtId="7" fontId="133" fillId="0" borderId="0" xfId="4" applyNumberFormat="1" applyFont="1" applyBorder="1"/>
    <xf numFmtId="166" fontId="2" fillId="14" borderId="0" xfId="0" applyNumberFormat="1" applyFont="1" applyFill="1"/>
    <xf numFmtId="166" fontId="3" fillId="14" borderId="0" xfId="0" applyNumberFormat="1" applyFont="1" applyFill="1"/>
    <xf numFmtId="38" fontId="3" fillId="14" borderId="0" xfId="0" applyNumberFormat="1" applyFont="1" applyFill="1"/>
    <xf numFmtId="166" fontId="2" fillId="0" borderId="0" xfId="3" applyNumberFormat="1" applyFont="1" applyFill="1" applyBorder="1" applyAlignment="1">
      <alignment horizontal="centerContinuous"/>
    </xf>
    <xf numFmtId="38" fontId="11" fillId="0" borderId="0" xfId="0" applyNumberFormat="1" applyFont="1" applyFill="1" applyBorder="1"/>
    <xf numFmtId="38" fontId="11" fillId="0" borderId="0" xfId="0" applyNumberFormat="1" applyFont="1"/>
    <xf numFmtId="38" fontId="4" fillId="0" borderId="0" xfId="0" applyNumberFormat="1" applyFont="1" applyFill="1" applyAlignment="1">
      <alignment horizontal="left"/>
    </xf>
    <xf numFmtId="38" fontId="9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37" fontId="2" fillId="0" borderId="0" xfId="0" applyNumberFormat="1" applyFont="1" applyFill="1" applyBorder="1" applyAlignment="1">
      <alignment horizontal="center"/>
    </xf>
    <xf numFmtId="166" fontId="138" fillId="0" borderId="0" xfId="0" applyNumberFormat="1" applyFont="1" applyFill="1" applyBorder="1" applyAlignment="1">
      <alignment horizontal="left"/>
    </xf>
    <xf numFmtId="0" fontId="11" fillId="0" borderId="0" xfId="0" applyFont="1" applyBorder="1"/>
    <xf numFmtId="0" fontId="19" fillId="0" borderId="0" xfId="0" applyFont="1" applyBorder="1"/>
    <xf numFmtId="187" fontId="20" fillId="0" borderId="0" xfId="0" applyNumberFormat="1" applyFont="1" applyBorder="1" applyAlignment="1">
      <alignment horizontal="center"/>
    </xf>
    <xf numFmtId="0" fontId="20" fillId="0" borderId="0" xfId="0" applyFont="1" applyBorder="1"/>
    <xf numFmtId="14" fontId="139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15" fillId="0" borderId="0" xfId="0" applyFont="1"/>
    <xf numFmtId="0" fontId="11" fillId="0" borderId="0" xfId="0" applyFont="1" applyFill="1"/>
    <xf numFmtId="14" fontId="13" fillId="0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/>
    </xf>
    <xf numFmtId="0" fontId="141" fillId="0" borderId="0" xfId="0" applyFont="1"/>
    <xf numFmtId="166" fontId="13" fillId="0" borderId="0" xfId="3" applyNumberFormat="1" applyFont="1" applyFill="1"/>
    <xf numFmtId="166" fontId="140" fillId="0" borderId="0" xfId="0" applyNumberFormat="1" applyFont="1"/>
    <xf numFmtId="166" fontId="141" fillId="0" borderId="0" xfId="0" applyNumberFormat="1" applyFont="1"/>
    <xf numFmtId="3" fontId="2" fillId="0" borderId="0" xfId="0" applyNumberFormat="1" applyFont="1" applyFill="1" applyBorder="1"/>
    <xf numFmtId="0" fontId="141" fillId="0" borderId="0" xfId="0" applyFont="1" applyFill="1"/>
    <xf numFmtId="3" fontId="3" fillId="0" borderId="0" xfId="0" applyNumberFormat="1" applyFont="1" applyFill="1" applyBorder="1"/>
    <xf numFmtId="3" fontId="3" fillId="0" borderId="0" xfId="0" applyNumberFormat="1" applyFont="1" applyFill="1"/>
    <xf numFmtId="0" fontId="20" fillId="0" borderId="0" xfId="0" applyFont="1"/>
    <xf numFmtId="3" fontId="120" fillId="0" borderId="0" xfId="0" applyNumberFormat="1" applyFont="1"/>
    <xf numFmtId="3" fontId="2" fillId="0" borderId="0" xfId="0" applyNumberFormat="1" applyFont="1"/>
    <xf numFmtId="3" fontId="13" fillId="0" borderId="0" xfId="0" applyNumberFormat="1" applyFont="1"/>
    <xf numFmtId="3" fontId="13" fillId="0" borderId="0" xfId="0" applyNumberFormat="1" applyFont="1" applyFill="1" applyBorder="1"/>
    <xf numFmtId="0" fontId="15" fillId="0" borderId="25" xfId="0" applyFont="1" applyBorder="1"/>
    <xf numFmtId="179" fontId="15" fillId="14" borderId="26" xfId="0" applyNumberFormat="1" applyFont="1" applyFill="1" applyBorder="1" applyAlignment="1">
      <alignment horizontal="right"/>
    </xf>
    <xf numFmtId="179" fontId="15" fillId="2" borderId="26" xfId="0" applyNumberFormat="1" applyFont="1" applyFill="1" applyBorder="1" applyAlignment="1">
      <alignment horizontal="right"/>
    </xf>
    <xf numFmtId="179" fontId="15" fillId="2" borderId="27" xfId="0" applyNumberFormat="1" applyFont="1" applyFill="1" applyBorder="1" applyAlignment="1">
      <alignment horizontal="right"/>
    </xf>
    <xf numFmtId="0" fontId="15" fillId="0" borderId="0" xfId="0" applyFont="1" applyBorder="1"/>
    <xf numFmtId="179" fontId="15" fillId="0" borderId="0" xfId="0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center"/>
    </xf>
    <xf numFmtId="0" fontId="2" fillId="0" borderId="16" xfId="0" applyFont="1" applyBorder="1"/>
    <xf numFmtId="0" fontId="2" fillId="0" borderId="20" xfId="0" applyFont="1" applyBorder="1"/>
    <xf numFmtId="0" fontId="2" fillId="0" borderId="21" xfId="0" applyFont="1" applyBorder="1" applyAlignment="1">
      <alignment horizontal="left"/>
    </xf>
    <xf numFmtId="179" fontId="2" fillId="0" borderId="22" xfId="0" applyNumberFormat="1" applyFont="1" applyBorder="1"/>
    <xf numFmtId="0" fontId="2" fillId="0" borderId="23" xfId="0" applyFont="1" applyBorder="1" applyAlignment="1">
      <alignment horizontal="left"/>
    </xf>
    <xf numFmtId="0" fontId="2" fillId="0" borderId="4" xfId="0" applyFont="1" applyBorder="1"/>
    <xf numFmtId="179" fontId="2" fillId="0" borderId="24" xfId="0" applyNumberFormat="1" applyFont="1" applyBorder="1"/>
    <xf numFmtId="166" fontId="3" fillId="0" borderId="0" xfId="0" applyNumberFormat="1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6" xfId="0" applyFont="1" applyBorder="1"/>
    <xf numFmtId="173" fontId="3" fillId="0" borderId="20" xfId="0" applyNumberFormat="1" applyFont="1" applyFill="1" applyBorder="1" applyAlignment="1">
      <alignment horizontal="center"/>
    </xf>
    <xf numFmtId="0" fontId="3" fillId="0" borderId="21" xfId="0" applyFont="1" applyBorder="1" applyAlignment="1">
      <alignment horizontal="left"/>
    </xf>
    <xf numFmtId="173" fontId="13" fillId="0" borderId="22" xfId="0" applyNumberFormat="1" applyFont="1" applyFill="1" applyBorder="1" applyAlignment="1">
      <alignment horizontal="center"/>
    </xf>
    <xf numFmtId="0" fontId="3" fillId="0" borderId="23" xfId="0" applyFont="1" applyBorder="1" applyAlignment="1">
      <alignment horizontal="left"/>
    </xf>
    <xf numFmtId="173" fontId="3" fillId="0" borderId="24" xfId="0" applyNumberFormat="1" applyFont="1" applyBorder="1" applyAlignment="1">
      <alignment horizontal="center"/>
    </xf>
    <xf numFmtId="0" fontId="16" fillId="0" borderId="19" xfId="0" applyFont="1" applyBorder="1"/>
    <xf numFmtId="2" fontId="16" fillId="0" borderId="20" xfId="0" applyNumberFormat="1" applyFont="1" applyBorder="1" applyAlignment="1">
      <alignment horizontal="center"/>
    </xf>
    <xf numFmtId="0" fontId="16" fillId="0" borderId="21" xfId="0" applyFont="1" applyBorder="1"/>
    <xf numFmtId="4" fontId="3" fillId="0" borderId="22" xfId="0" applyNumberFormat="1" applyFont="1" applyBorder="1" applyAlignment="1">
      <alignment horizontal="center"/>
    </xf>
    <xf numFmtId="37" fontId="3" fillId="0" borderId="24" xfId="0" applyNumberFormat="1" applyFont="1" applyFill="1" applyBorder="1" applyAlignment="1">
      <alignment horizontal="center"/>
    </xf>
    <xf numFmtId="168" fontId="13" fillId="0" borderId="0" xfId="3" applyNumberFormat="1" applyFont="1"/>
    <xf numFmtId="43" fontId="3" fillId="0" borderId="0" xfId="3" applyNumberFormat="1" applyFont="1"/>
    <xf numFmtId="0" fontId="2" fillId="8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11" fillId="0" borderId="0" xfId="3" applyNumberFormat="1" applyFont="1" applyFill="1" applyBorder="1"/>
    <xf numFmtId="166" fontId="11" fillId="0" borderId="0" xfId="0" applyNumberFormat="1" applyFont="1"/>
    <xf numFmtId="166" fontId="3" fillId="8" borderId="4" xfId="3" applyNumberFormat="1" applyFont="1" applyFill="1" applyBorder="1"/>
    <xf numFmtId="166" fontId="142" fillId="0" borderId="0" xfId="3" applyNumberFormat="1" applyFont="1" applyFill="1" applyBorder="1"/>
    <xf numFmtId="166" fontId="2" fillId="8" borderId="0" xfId="3" applyNumberFormat="1" applyFont="1" applyFill="1"/>
    <xf numFmtId="0" fontId="14" fillId="0" borderId="0" xfId="0" applyFont="1"/>
    <xf numFmtId="164" fontId="14" fillId="0" borderId="0" xfId="22" applyNumberFormat="1" applyFont="1"/>
    <xf numFmtId="14" fontId="2" fillId="0" borderId="6" xfId="0" applyNumberFormat="1" applyFont="1" applyFill="1" applyBorder="1" applyAlignment="1">
      <alignment horizontal="center"/>
    </xf>
    <xf numFmtId="0" fontId="16" fillId="0" borderId="0" xfId="0" applyFont="1"/>
    <xf numFmtId="166" fontId="16" fillId="0" borderId="0" xfId="3" applyNumberFormat="1" applyFont="1"/>
    <xf numFmtId="0" fontId="2" fillId="4" borderId="0" xfId="0" applyFont="1" applyFill="1" applyAlignment="1" applyProtection="1">
      <alignment horizontal="left"/>
      <protection locked="0"/>
    </xf>
    <xf numFmtId="187" fontId="3" fillId="0" borderId="0" xfId="0" applyNumberFormat="1" applyFont="1"/>
    <xf numFmtId="0" fontId="2" fillId="0" borderId="19" xfId="0" applyFont="1" applyBorder="1" applyAlignment="1"/>
    <xf numFmtId="0" fontId="2" fillId="0" borderId="21" xfId="0" applyFont="1" applyBorder="1" applyAlignment="1"/>
    <xf numFmtId="0" fontId="3" fillId="0" borderId="22" xfId="0" applyFont="1" applyBorder="1"/>
    <xf numFmtId="164" fontId="3" fillId="0" borderId="22" xfId="22" applyNumberFormat="1" applyFont="1" applyBorder="1"/>
    <xf numFmtId="166" fontId="3" fillId="0" borderId="0" xfId="3" applyNumberFormat="1" applyFont="1" applyBorder="1" applyAlignment="1" applyProtection="1">
      <alignment horizontal="left"/>
    </xf>
    <xf numFmtId="166" fontId="3" fillId="0" borderId="4" xfId="3" applyNumberFormat="1" applyFont="1" applyBorder="1" applyAlignment="1" applyProtection="1">
      <alignment horizontal="left"/>
    </xf>
    <xf numFmtId="189" fontId="3" fillId="0" borderId="0" xfId="0" applyNumberFormat="1" applyFont="1"/>
    <xf numFmtId="190" fontId="3" fillId="0" borderId="0" xfId="0" applyNumberFormat="1" applyFont="1"/>
    <xf numFmtId="164" fontId="13" fillId="0" borderId="22" xfId="22" applyNumberFormat="1" applyFont="1" applyBorder="1"/>
    <xf numFmtId="166" fontId="94" fillId="0" borderId="23" xfId="3" applyNumberFormat="1" applyFont="1" applyBorder="1"/>
    <xf numFmtId="164" fontId="3" fillId="0" borderId="24" xfId="22" applyNumberFormat="1" applyFont="1" applyBorder="1"/>
    <xf numFmtId="0" fontId="13" fillId="0" borderId="0" xfId="0" applyFont="1"/>
    <xf numFmtId="166" fontId="11" fillId="0" borderId="0" xfId="3" applyNumberFormat="1" applyFont="1"/>
    <xf numFmtId="0" fontId="142" fillId="0" borderId="0" xfId="0" applyFont="1"/>
    <xf numFmtId="166" fontId="142" fillId="0" borderId="0" xfId="3" applyNumberFormat="1" applyFont="1"/>
    <xf numFmtId="166" fontId="2" fillId="0" borderId="0" xfId="3" applyNumberFormat="1" applyFont="1" applyFill="1" applyBorder="1" applyProtection="1"/>
    <xf numFmtId="166" fontId="11" fillId="0" borderId="0" xfId="3" applyNumberFormat="1" applyFont="1" applyFill="1"/>
    <xf numFmtId="38" fontId="13" fillId="14" borderId="0" xfId="0" applyNumberFormat="1" applyFont="1" applyFill="1"/>
    <xf numFmtId="38" fontId="3" fillId="8" borderId="0" xfId="3" applyNumberFormat="1" applyFont="1" applyFill="1"/>
    <xf numFmtId="38" fontId="13" fillId="0" borderId="4" xfId="3" applyNumberFormat="1" applyFont="1" applyFill="1" applyBorder="1"/>
    <xf numFmtId="38" fontId="13" fillId="0" borderId="0" xfId="3" applyNumberFormat="1" applyFont="1" applyFill="1"/>
    <xf numFmtId="43" fontId="9" fillId="0" borderId="0" xfId="3" applyFont="1" applyFill="1" applyAlignment="1">
      <alignment horizontal="left"/>
    </xf>
    <xf numFmtId="166" fontId="16" fillId="0" borderId="0" xfId="3" applyNumberFormat="1" applyFont="1" applyBorder="1"/>
    <xf numFmtId="166" fontId="11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left"/>
    </xf>
    <xf numFmtId="38" fontId="16" fillId="0" borderId="0" xfId="0" applyNumberFormat="1" applyFont="1" applyBorder="1"/>
    <xf numFmtId="166" fontId="103" fillId="0" borderId="0" xfId="3" applyNumberFormat="1" applyFont="1" applyBorder="1"/>
    <xf numFmtId="166" fontId="16" fillId="0" borderId="0" xfId="0" applyNumberFormat="1" applyFont="1" applyBorder="1"/>
    <xf numFmtId="10" fontId="103" fillId="0" borderId="0" xfId="0" applyNumberFormat="1" applyFont="1" applyBorder="1"/>
    <xf numFmtId="166" fontId="15" fillId="8" borderId="0" xfId="3" applyNumberFormat="1" applyFont="1" applyFill="1" applyBorder="1"/>
    <xf numFmtId="10" fontId="16" fillId="0" borderId="0" xfId="0" applyNumberFormat="1" applyFont="1" applyBorder="1"/>
    <xf numFmtId="166" fontId="10" fillId="0" borderId="0" xfId="3" applyNumberFormat="1" applyFont="1" applyBorder="1"/>
    <xf numFmtId="166" fontId="142" fillId="0" borderId="0" xfId="0" applyNumberFormat="1" applyFont="1" applyFill="1" applyBorder="1"/>
    <xf numFmtId="10" fontId="13" fillId="0" borderId="0" xfId="3" applyNumberFormat="1" applyFont="1" applyFill="1" applyBorder="1"/>
    <xf numFmtId="357" fontId="13" fillId="0" borderId="0" xfId="0" applyNumberFormat="1" applyFont="1" applyFill="1" applyBorder="1"/>
    <xf numFmtId="43" fontId="5" fillId="0" borderId="0" xfId="3" applyFont="1" applyFill="1" applyBorder="1" applyAlignment="1">
      <alignment horizontal="left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8" fillId="0" borderId="0" xfId="19" applyFont="1" applyFill="1" applyBorder="1"/>
    <xf numFmtId="43" fontId="4" fillId="0" borderId="0" xfId="3" applyFont="1" applyFill="1" applyBorder="1" applyAlignment="1">
      <alignment horizontal="left"/>
    </xf>
    <xf numFmtId="0" fontId="4" fillId="0" borderId="0" xfId="19" applyFont="1" applyFill="1" applyBorder="1"/>
    <xf numFmtId="43" fontId="143" fillId="0" borderId="0" xfId="3" applyFont="1" applyFill="1" applyBorder="1"/>
    <xf numFmtId="10" fontId="3" fillId="0" borderId="0" xfId="22" applyNumberFormat="1" applyFont="1" applyFill="1"/>
    <xf numFmtId="0" fontId="119" fillId="0" borderId="0" xfId="0" applyFont="1" applyFill="1" applyBorder="1"/>
    <xf numFmtId="6" fontId="13" fillId="0" borderId="0" xfId="0" applyNumberFormat="1" applyFont="1" applyFill="1"/>
    <xf numFmtId="166" fontId="120" fillId="14" borderId="0" xfId="0" applyNumberFormat="1" applyFont="1" applyFill="1"/>
    <xf numFmtId="166" fontId="3" fillId="14" borderId="0" xfId="3" applyNumberFormat="1" applyFont="1" applyFill="1"/>
    <xf numFmtId="40" fontId="4" fillId="0" borderId="0" xfId="3" applyNumberFormat="1" applyFont="1" applyFill="1"/>
    <xf numFmtId="166" fontId="10" fillId="0" borderId="0" xfId="3" applyNumberFormat="1" applyFont="1" applyFill="1"/>
    <xf numFmtId="0" fontId="94" fillId="0" borderId="0" xfId="0" applyFont="1" applyBorder="1"/>
    <xf numFmtId="165" fontId="94" fillId="0" borderId="0" xfId="4" applyNumberFormat="1" applyFont="1" applyBorder="1" applyProtection="1"/>
    <xf numFmtId="1" fontId="94" fillId="0" borderId="0" xfId="0" applyNumberFormat="1" applyFont="1" applyBorder="1"/>
    <xf numFmtId="1" fontId="30" fillId="0" borderId="0" xfId="0" applyNumberFormat="1" applyFont="1" applyBorder="1"/>
    <xf numFmtId="166" fontId="30" fillId="0" borderId="0" xfId="3" applyNumberFormat="1" applyFont="1" applyBorder="1"/>
    <xf numFmtId="165" fontId="3" fillId="0" borderId="0" xfId="4" applyNumberFormat="1" applyFont="1" applyBorder="1" applyProtection="1"/>
    <xf numFmtId="10" fontId="13" fillId="0" borderId="0" xfId="0" applyNumberFormat="1" applyFont="1" applyBorder="1"/>
    <xf numFmtId="0" fontId="30" fillId="0" borderId="0" xfId="0" applyFont="1" applyBorder="1"/>
    <xf numFmtId="165" fontId="2" fillId="0" borderId="0" xfId="4" applyNumberFormat="1" applyFont="1" applyBorder="1" applyProtection="1"/>
    <xf numFmtId="0" fontId="94" fillId="0" borderId="0" xfId="0" applyFont="1" applyBorder="1" applyAlignment="1" applyProtection="1">
      <alignment horizontal="left"/>
    </xf>
    <xf numFmtId="41" fontId="3" fillId="0" borderId="0" xfId="0" applyNumberFormat="1" applyFont="1" applyBorder="1"/>
    <xf numFmtId="166" fontId="3" fillId="0" borderId="0" xfId="0" applyNumberFormat="1" applyFont="1" applyBorder="1"/>
    <xf numFmtId="166" fontId="2" fillId="0" borderId="0" xfId="0" applyNumberFormat="1" applyFont="1" applyFill="1" applyBorder="1"/>
    <xf numFmtId="166" fontId="2" fillId="8" borderId="0" xfId="0" applyNumberFormat="1" applyFont="1" applyFill="1" applyBorder="1"/>
    <xf numFmtId="0" fontId="124" fillId="0" borderId="0" xfId="0" applyFont="1" applyBorder="1" applyAlignment="1" applyProtection="1">
      <alignment horizontal="left"/>
    </xf>
    <xf numFmtId="0" fontId="144" fillId="0" borderId="0" xfId="0" applyFont="1" applyBorder="1" applyAlignment="1" applyProtection="1">
      <alignment horizontal="left"/>
    </xf>
    <xf numFmtId="0" fontId="30" fillId="0" borderId="0" xfId="0" applyFont="1"/>
    <xf numFmtId="166" fontId="2" fillId="0" borderId="5" xfId="3" applyNumberFormat="1" applyFont="1" applyFill="1" applyBorder="1"/>
    <xf numFmtId="0" fontId="3" fillId="0" borderId="4" xfId="0" applyFont="1" applyFill="1" applyBorder="1" applyAlignment="1">
      <alignment horizontal="left"/>
    </xf>
    <xf numFmtId="0" fontId="145" fillId="0" borderId="0" xfId="0" applyFont="1" applyBorder="1" applyAlignment="1" applyProtection="1">
      <alignment horizontal="left"/>
    </xf>
    <xf numFmtId="0" fontId="124" fillId="0" borderId="0" xfId="0" applyFont="1" applyBorder="1"/>
    <xf numFmtId="165" fontId="124" fillId="0" borderId="0" xfId="4" applyNumberFormat="1" applyFont="1" applyBorder="1" applyProtection="1"/>
    <xf numFmtId="14" fontId="2" fillId="0" borderId="6" xfId="0" applyNumberFormat="1" applyFont="1" applyFill="1" applyBorder="1" applyAlignment="1">
      <alignment horizontal="left"/>
    </xf>
    <xf numFmtId="164" fontId="0" fillId="0" borderId="3" xfId="0" applyNumberFormat="1" applyBorder="1"/>
    <xf numFmtId="0" fontId="9" fillId="0" borderId="0" xfId="17" applyFont="1" applyFill="1" applyBorder="1"/>
    <xf numFmtId="0" fontId="2" fillId="0" borderId="4" xfId="0" applyFont="1" applyBorder="1" applyAlignment="1">
      <alignment horizontal="center"/>
    </xf>
    <xf numFmtId="10" fontId="3" fillId="0" borderId="0" xfId="22" applyNumberFormat="1" applyFont="1"/>
    <xf numFmtId="191" fontId="3" fillId="0" borderId="0" xfId="0" applyNumberFormat="1" applyFont="1"/>
    <xf numFmtId="10" fontId="13" fillId="0" borderId="0" xfId="22" applyNumberFormat="1" applyFont="1" applyFill="1"/>
    <xf numFmtId="10" fontId="2" fillId="0" borderId="0" xfId="22" applyNumberFormat="1" applyFont="1" applyFill="1"/>
    <xf numFmtId="0" fontId="2" fillId="0" borderId="5" xfId="0" applyFont="1" applyBorder="1"/>
    <xf numFmtId="0" fontId="3" fillId="0" borderId="5" xfId="0" applyFont="1" applyBorder="1"/>
    <xf numFmtId="10" fontId="2" fillId="0" borderId="5" xfId="22" applyNumberFormat="1" applyFont="1" applyFill="1" applyBorder="1"/>
    <xf numFmtId="10" fontId="3" fillId="0" borderId="0" xfId="22" applyNumberFormat="1" applyFont="1" applyAlignment="1">
      <alignment horizontal="center"/>
    </xf>
    <xf numFmtId="166" fontId="2" fillId="0" borderId="5" xfId="3" applyNumberFormat="1" applyFont="1" applyBorder="1"/>
    <xf numFmtId="0" fontId="2" fillId="11" borderId="0" xfId="0" applyFont="1" applyFill="1" applyAlignment="1">
      <alignment horizontal="center"/>
    </xf>
    <xf numFmtId="0" fontId="120" fillId="11" borderId="0" xfId="0" applyFont="1" applyFill="1" applyAlignment="1">
      <alignment horizontal="center"/>
    </xf>
    <xf numFmtId="214" fontId="3" fillId="11" borderId="0" xfId="0" applyNumberFormat="1" applyFont="1" applyFill="1"/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2" fillId="11" borderId="0" xfId="0" applyNumberFormat="1" applyFont="1" applyFill="1"/>
    <xf numFmtId="166" fontId="2" fillId="11" borderId="0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9" fontId="114" fillId="0" borderId="0" xfId="0" applyNumberFormat="1" applyFont="1" applyFill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7" fillId="0" borderId="0" xfId="4" applyNumberFormat="1" applyFont="1" applyFill="1" applyBorder="1"/>
    <xf numFmtId="0" fontId="127" fillId="0" borderId="0" xfId="0" applyFont="1" applyBorder="1" applyAlignment="1">
      <alignment horizontal="center"/>
    </xf>
    <xf numFmtId="0" fontId="127" fillId="0" borderId="11" xfId="0" applyFont="1" applyBorder="1" applyAlignment="1">
      <alignment horizontal="center"/>
    </xf>
    <xf numFmtId="38" fontId="122" fillId="0" borderId="11" xfId="0" applyNumberFormat="1" applyFont="1" applyBorder="1" applyAlignment="1">
      <alignment horizontal="center"/>
    </xf>
    <xf numFmtId="38" fontId="119" fillId="0" borderId="6" xfId="0" applyNumberFormat="1" applyFont="1" applyBorder="1" applyAlignment="1">
      <alignment horizontal="center"/>
    </xf>
    <xf numFmtId="359" fontId="12" fillId="0" borderId="0" xfId="4" applyNumberFormat="1" applyFont="1" applyBorder="1" applyAlignment="1">
      <alignment horizontal="right"/>
    </xf>
    <xf numFmtId="359" fontId="12" fillId="0" borderId="4" xfId="4" applyNumberFormat="1" applyFont="1" applyBorder="1" applyAlignment="1">
      <alignment horizontal="right"/>
    </xf>
    <xf numFmtId="359" fontId="36" fillId="0" borderId="5" xfId="4" applyNumberFormat="1" applyFont="1" applyBorder="1" applyAlignment="1">
      <alignment horizontal="right"/>
    </xf>
    <xf numFmtId="0" fontId="2" fillId="0" borderId="0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3" fillId="4" borderId="0" xfId="0" applyFont="1" applyFill="1"/>
    <xf numFmtId="164" fontId="13" fillId="0" borderId="0" xfId="22" applyNumberFormat="1" applyFont="1" applyAlignment="1">
      <alignment horizontal="center"/>
    </xf>
    <xf numFmtId="0" fontId="13" fillId="11" borderId="0" xfId="0" applyFont="1" applyFill="1"/>
    <xf numFmtId="164" fontId="3" fillId="0" borderId="4" xfId="22" applyNumberFormat="1" applyFont="1" applyBorder="1"/>
    <xf numFmtId="37" fontId="3" fillId="0" borderId="16" xfId="0" applyNumberFormat="1" applyFont="1" applyBorder="1"/>
    <xf numFmtId="37" fontId="3" fillId="4" borderId="16" xfId="0" applyNumberFormat="1" applyFont="1" applyFill="1" applyBorder="1"/>
    <xf numFmtId="37" fontId="3" fillId="4" borderId="0" xfId="0" quotePrefix="1" applyNumberFormat="1" applyFont="1" applyFill="1"/>
    <xf numFmtId="37" fontId="3" fillId="4" borderId="4" xfId="0" applyNumberFormat="1" applyFont="1" applyFill="1" applyBorder="1"/>
    <xf numFmtId="37" fontId="16" fillId="4" borderId="0" xfId="0" applyNumberFormat="1" applyFont="1" applyFill="1"/>
    <xf numFmtId="37" fontId="2" fillId="0" borderId="5" xfId="0" applyNumberFormat="1" applyFont="1" applyBorder="1"/>
    <xf numFmtId="37" fontId="2" fillId="4" borderId="5" xfId="0" applyNumberFormat="1" applyFont="1" applyFill="1" applyBorder="1"/>
    <xf numFmtId="37" fontId="2" fillId="4" borderId="0" xfId="0" applyNumberFormat="1" applyFont="1" applyFill="1"/>
    <xf numFmtId="43" fontId="114" fillId="0" borderId="0" xfId="3" applyFont="1" applyAlignment="1">
      <alignment horizontal="right"/>
    </xf>
    <xf numFmtId="0" fontId="3" fillId="0" borderId="0" xfId="0" quotePrefix="1" applyFont="1" applyAlignment="1">
      <alignment horizontal="center"/>
    </xf>
    <xf numFmtId="0" fontId="2" fillId="0" borderId="6" xfId="0" applyFont="1" applyBorder="1" applyAlignment="1">
      <alignment horizontal="center"/>
    </xf>
    <xf numFmtId="0" fontId="2" fillId="12" borderId="0" xfId="0" applyFont="1" applyFill="1"/>
    <xf numFmtId="0" fontId="120" fillId="12" borderId="0" xfId="0" applyFont="1" applyFill="1"/>
    <xf numFmtId="166" fontId="10" fillId="0" borderId="0" xfId="3" applyNumberFormat="1" applyFont="1"/>
    <xf numFmtId="166" fontId="3" fillId="0" borderId="5" xfId="0" applyNumberFormat="1" applyFont="1" applyBorder="1"/>
    <xf numFmtId="0" fontId="68" fillId="12" borderId="0" xfId="0" applyFont="1" applyFill="1"/>
    <xf numFmtId="0" fontId="12" fillId="0" borderId="0" xfId="0" applyFont="1"/>
    <xf numFmtId="9" fontId="3" fillId="0" borderId="0" xfId="22" applyFont="1" applyBorder="1" applyAlignment="1">
      <alignment horizontal="left"/>
    </xf>
    <xf numFmtId="9" fontId="3" fillId="0" borderId="0" xfId="22" applyFont="1" applyBorder="1"/>
    <xf numFmtId="164" fontId="14" fillId="0" borderId="0" xfId="22" applyNumberFormat="1" applyFont="1" applyFill="1" applyBorder="1" applyAlignment="1">
      <alignment horizontal="right"/>
    </xf>
    <xf numFmtId="164" fontId="146" fillId="0" borderId="0" xfId="2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22" applyNumberFormat="1" applyFont="1" applyBorder="1" applyAlignment="1">
      <alignment horizontal="right"/>
    </xf>
    <xf numFmtId="43" fontId="14" fillId="0" borderId="0" xfId="3" applyNumberFormat="1" applyFont="1" applyBorder="1" applyAlignment="1">
      <alignment horizontal="right"/>
    </xf>
    <xf numFmtId="164" fontId="3" fillId="0" borderId="0" xfId="22" applyNumberFormat="1" applyFont="1" applyBorder="1" applyAlignment="1">
      <alignment horizontal="center"/>
    </xf>
    <xf numFmtId="43" fontId="3" fillId="8" borderId="0" xfId="0" applyNumberFormat="1" applyFont="1" applyFill="1"/>
    <xf numFmtId="43" fontId="2" fillId="8" borderId="0" xfId="0" applyNumberFormat="1" applyFont="1" applyFill="1"/>
    <xf numFmtId="37" fontId="36" fillId="8" borderId="3" xfId="0" applyNumberFormat="1" applyFont="1" applyFill="1" applyBorder="1"/>
    <xf numFmtId="37" fontId="2" fillId="11" borderId="16" xfId="0" applyNumberFormat="1" applyFont="1" applyFill="1" applyBorder="1"/>
    <xf numFmtId="166" fontId="2" fillId="0" borderId="3" xfId="3" applyNumberFormat="1" applyFont="1" applyBorder="1"/>
    <xf numFmtId="166" fontId="2" fillId="0" borderId="15" xfId="0" applyNumberFormat="1" applyFont="1" applyBorder="1"/>
    <xf numFmtId="164" fontId="2" fillId="0" borderId="0" xfId="0" applyNumberFormat="1" applyFont="1" applyAlignment="1">
      <alignment horizontal="center"/>
    </xf>
    <xf numFmtId="164" fontId="36" fillId="0" borderId="0" xfId="22" applyNumberFormat="1" applyFont="1" applyAlignment="1">
      <alignment horizontal="center"/>
    </xf>
    <xf numFmtId="43" fontId="3" fillId="0" borderId="0" xfId="3" applyFont="1" applyAlignment="1">
      <alignment horizontal="center"/>
    </xf>
    <xf numFmtId="37" fontId="2" fillId="0" borderId="16" xfId="0" applyNumberFormat="1" applyFont="1" applyBorder="1"/>
    <xf numFmtId="37" fontId="2" fillId="0" borderId="16" xfId="0" applyNumberFormat="1" applyFont="1" applyFill="1" applyBorder="1"/>
    <xf numFmtId="0" fontId="3" fillId="0" borderId="3" xfId="0" applyFont="1" applyBorder="1"/>
    <xf numFmtId="0" fontId="20" fillId="0" borderId="0" xfId="0" quotePrefix="1" applyFont="1"/>
    <xf numFmtId="0" fontId="120" fillId="0" borderId="0" xfId="0" applyFont="1" applyBorder="1" applyAlignment="1">
      <alignment horizontal="center"/>
    </xf>
    <xf numFmtId="166" fontId="12" fillId="0" borderId="0" xfId="3" applyNumberFormat="1" applyFont="1"/>
    <xf numFmtId="0" fontId="3" fillId="0" borderId="0" xfId="0" applyFont="1" applyBorder="1" applyAlignment="1">
      <alignment horizontal="left" indent="2"/>
    </xf>
    <xf numFmtId="0" fontId="132" fillId="0" borderId="0" xfId="0" applyFont="1"/>
    <xf numFmtId="166" fontId="3" fillId="0" borderId="4" xfId="0" applyNumberFormat="1" applyFont="1" applyBorder="1"/>
    <xf numFmtId="166" fontId="2" fillId="0" borderId="0" xfId="0" applyNumberFormat="1" applyFont="1"/>
    <xf numFmtId="166" fontId="13" fillId="0" borderId="0" xfId="0" applyNumberFormat="1" applyFont="1"/>
    <xf numFmtId="166" fontId="114" fillId="0" borderId="0" xfId="3" applyNumberFormat="1" applyFont="1"/>
    <xf numFmtId="0" fontId="132" fillId="12" borderId="0" xfId="0" applyFont="1" applyFill="1"/>
    <xf numFmtId="0" fontId="14" fillId="0" borderId="0" xfId="0" applyFont="1" applyFill="1"/>
    <xf numFmtId="9" fontId="14" fillId="0" borderId="0" xfId="22" applyFont="1" applyFill="1"/>
    <xf numFmtId="10" fontId="3" fillId="0" borderId="0" xfId="0" applyNumberFormat="1" applyFont="1"/>
    <xf numFmtId="166" fontId="3" fillId="0" borderId="0" xfId="3" applyNumberFormat="1" applyFont="1" applyFill="1" applyAlignment="1">
      <alignment horizontal="left"/>
    </xf>
    <xf numFmtId="166" fontId="14" fillId="0" borderId="0" xfId="0" applyNumberFormat="1" applyFont="1" applyFill="1"/>
    <xf numFmtId="166" fontId="3" fillId="0" borderId="4" xfId="3" applyNumberFormat="1" applyFont="1" applyFill="1" applyBorder="1" applyAlignment="1">
      <alignment horizontal="left"/>
    </xf>
    <xf numFmtId="166" fontId="120" fillId="0" borderId="0" xfId="3" applyNumberFormat="1" applyFont="1" applyFill="1"/>
    <xf numFmtId="166" fontId="3" fillId="0" borderId="16" xfId="3" applyNumberFormat="1" applyFont="1" applyBorder="1"/>
    <xf numFmtId="9" fontId="14" fillId="0" borderId="0" xfId="22" applyFont="1"/>
    <xf numFmtId="0" fontId="120" fillId="0" borderId="0" xfId="0" applyFont="1" applyFill="1"/>
    <xf numFmtId="166" fontId="3" fillId="0" borderId="0" xfId="3" applyNumberFormat="1" applyFont="1" applyAlignment="1">
      <alignment horizontal="left"/>
    </xf>
    <xf numFmtId="194" fontId="3" fillId="0" borderId="0" xfId="3" applyNumberFormat="1" applyFont="1" applyFill="1" applyAlignment="1">
      <alignment horizontal="left"/>
    </xf>
    <xf numFmtId="164" fontId="3" fillId="0" borderId="0" xfId="0" applyNumberFormat="1" applyFont="1" applyAlignment="1">
      <alignment horizontal="right"/>
    </xf>
    <xf numFmtId="166" fontId="148" fillId="0" borderId="0" xfId="0" applyNumberFormat="1" applyFont="1" applyFill="1"/>
    <xf numFmtId="166" fontId="148" fillId="0" borderId="0" xfId="0" applyNumberFormat="1" applyFont="1"/>
    <xf numFmtId="0" fontId="148" fillId="0" borderId="0" xfId="0" applyFont="1"/>
    <xf numFmtId="9" fontId="2" fillId="0" borderId="0" xfId="22" applyNumberFormat="1" applyFont="1"/>
    <xf numFmtId="9" fontId="12" fillId="0" borderId="0" xfId="22" applyFont="1"/>
    <xf numFmtId="166" fontId="14" fillId="0" borderId="0" xfId="3" applyNumberFormat="1" applyFont="1"/>
    <xf numFmtId="9" fontId="122" fillId="0" borderId="0" xfId="22" applyFont="1" applyBorder="1" applyAlignment="1">
      <alignment horizontal="center"/>
    </xf>
    <xf numFmtId="9" fontId="122" fillId="0" borderId="11" xfId="22" applyFont="1" applyBorder="1" applyAlignment="1">
      <alignment horizontal="center"/>
    </xf>
    <xf numFmtId="38" fontId="9" fillId="0" borderId="0" xfId="0" applyNumberFormat="1" applyFont="1" applyBorder="1" applyAlignment="1">
      <alignment horizontal="right"/>
    </xf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3" fillId="0" borderId="28" xfId="0" applyFont="1" applyBorder="1"/>
    <xf numFmtId="0" fontId="2" fillId="0" borderId="10" xfId="0" applyFont="1" applyBorder="1" applyAlignment="1">
      <alignment horizontal="left" indent="2"/>
    </xf>
    <xf numFmtId="0" fontId="2" fillId="0" borderId="12" xfId="0" applyFont="1" applyBorder="1" applyAlignment="1">
      <alignment horizontal="left" indent="2"/>
    </xf>
    <xf numFmtId="166" fontId="2" fillId="0" borderId="6" xfId="0" applyNumberFormat="1" applyFont="1" applyBorder="1"/>
    <xf numFmtId="0" fontId="122" fillId="0" borderId="0" xfId="0" applyFont="1" applyBorder="1" applyAlignment="1">
      <alignment horizontal="left" indent="1"/>
    </xf>
    <xf numFmtId="165" fontId="122" fillId="0" borderId="0" xfId="4" applyNumberFormat="1" applyFont="1" applyBorder="1"/>
    <xf numFmtId="0" fontId="119" fillId="0" borderId="10" xfId="0" applyFont="1" applyBorder="1"/>
    <xf numFmtId="0" fontId="9" fillId="12" borderId="4" xfId="0" applyFont="1" applyFill="1" applyBorder="1"/>
    <xf numFmtId="37" fontId="12" fillId="0" borderId="8" xfId="3" applyNumberFormat="1" applyFont="1" applyBorder="1"/>
    <xf numFmtId="37" fontId="12" fillId="0" borderId="9" xfId="3" applyNumberFormat="1" applyFont="1" applyBorder="1"/>
    <xf numFmtId="37" fontId="12" fillId="0" borderId="0" xfId="3" applyNumberFormat="1" applyFont="1" applyBorder="1"/>
    <xf numFmtId="37" fontId="12" fillId="0" borderId="11" xfId="3" applyNumberFormat="1" applyFont="1" applyBorder="1"/>
    <xf numFmtId="37" fontId="12" fillId="0" borderId="4" xfId="3" applyNumberFormat="1" applyFont="1" applyBorder="1"/>
    <xf numFmtId="37" fontId="12" fillId="0" borderId="14" xfId="3" applyNumberFormat="1" applyFont="1" applyBorder="1"/>
    <xf numFmtId="37" fontId="2" fillId="0" borderId="0" xfId="3" applyNumberFormat="1" applyFont="1" applyBorder="1"/>
    <xf numFmtId="37" fontId="2" fillId="0" borderId="11" xfId="3" applyNumberFormat="1" applyFont="1" applyBorder="1"/>
    <xf numFmtId="37" fontId="2" fillId="0" borderId="6" xfId="0" applyNumberFormat="1" applyFont="1" applyBorder="1"/>
    <xf numFmtId="37" fontId="2" fillId="0" borderId="13" xfId="0" applyNumberFormat="1" applyFont="1" applyBorder="1"/>
    <xf numFmtId="0" fontId="9" fillId="4" borderId="0" xfId="0" applyFont="1" applyFill="1"/>
    <xf numFmtId="0" fontId="3" fillId="0" borderId="0" xfId="0" applyFont="1" applyBorder="1" applyAlignment="1">
      <alignment horizontal="left" indent="3"/>
    </xf>
    <xf numFmtId="0" fontId="3" fillId="0" borderId="0" xfId="0" applyFont="1" applyBorder="1" applyAlignment="1">
      <alignment horizontal="left" indent="4"/>
    </xf>
    <xf numFmtId="0" fontId="114" fillId="0" borderId="17" xfId="0" applyFont="1" applyBorder="1" applyAlignment="1">
      <alignment horizontal="center"/>
    </xf>
    <xf numFmtId="0" fontId="3" fillId="0" borderId="8" xfId="0" applyFont="1" applyFill="1" applyBorder="1"/>
    <xf numFmtId="166" fontId="3" fillId="0" borderId="8" xfId="3" applyNumberFormat="1" applyFont="1" applyBorder="1"/>
    <xf numFmtId="166" fontId="122" fillId="0" borderId="0" xfId="3" applyNumberFormat="1" applyFont="1" applyBorder="1"/>
    <xf numFmtId="165" fontId="119" fillId="0" borderId="0" xfId="4" applyNumberFormat="1" applyFont="1" applyBorder="1"/>
    <xf numFmtId="166" fontId="119" fillId="0" borderId="0" xfId="3" applyNumberFormat="1" applyFont="1" applyBorder="1"/>
    <xf numFmtId="166" fontId="122" fillId="0" borderId="6" xfId="3" applyNumberFormat="1" applyFont="1" applyBorder="1"/>
    <xf numFmtId="166" fontId="122" fillId="0" borderId="0" xfId="3" applyNumberFormat="1" applyFont="1"/>
    <xf numFmtId="0" fontId="9" fillId="4" borderId="7" xfId="0" applyFont="1" applyFill="1" applyBorder="1"/>
    <xf numFmtId="37" fontId="11" fillId="0" borderId="0" xfId="0" applyNumberFormat="1" applyFont="1" applyAlignment="1">
      <alignment horizontal="center"/>
    </xf>
    <xf numFmtId="0" fontId="150" fillId="0" borderId="0" xfId="0" applyFont="1" applyBorder="1"/>
    <xf numFmtId="0" fontId="68" fillId="4" borderId="0" xfId="0" applyFont="1" applyFill="1"/>
    <xf numFmtId="0" fontId="14" fillId="4" borderId="0" xfId="0" applyFont="1" applyFill="1"/>
    <xf numFmtId="9" fontId="16" fillId="4" borderId="0" xfId="22" applyFont="1" applyFill="1" applyBorder="1" applyAlignment="1">
      <alignment horizontal="right"/>
    </xf>
    <xf numFmtId="9" fontId="3" fillId="4" borderId="0" xfId="22" applyFont="1" applyFill="1" applyAlignment="1">
      <alignment horizontal="right"/>
    </xf>
    <xf numFmtId="37" fontId="3" fillId="4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centerContinuous"/>
    </xf>
    <xf numFmtId="0" fontId="9" fillId="0" borderId="0" xfId="0" applyFont="1" applyFill="1" applyAlignment="1">
      <alignment horizontal="centerContinuous"/>
    </xf>
    <xf numFmtId="0" fontId="151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68" fillId="0" borderId="0" xfId="0" applyFont="1" applyFill="1" applyAlignment="1">
      <alignment horizontal="centerContinuous"/>
    </xf>
    <xf numFmtId="16" fontId="68" fillId="0" borderId="0" xfId="0" quotePrefix="1" applyNumberFormat="1" applyFont="1" applyFill="1" applyAlignment="1">
      <alignment horizontal="center"/>
    </xf>
    <xf numFmtId="0" fontId="68" fillId="0" borderId="0" xfId="0" applyFont="1" applyFill="1" applyAlignment="1">
      <alignment horizontal="left"/>
    </xf>
    <xf numFmtId="0" fontId="9" fillId="0" borderId="4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23" xfId="0" applyFont="1" applyBorder="1"/>
    <xf numFmtId="37" fontId="2" fillId="0" borderId="4" xfId="0" applyNumberFormat="1" applyFont="1" applyBorder="1"/>
    <xf numFmtId="166" fontId="3" fillId="0" borderId="22" xfId="0" applyNumberFormat="1" applyFont="1" applyBorder="1"/>
    <xf numFmtId="3" fontId="3" fillId="0" borderId="22" xfId="0" applyNumberFormat="1" applyFont="1" applyBorder="1"/>
    <xf numFmtId="37" fontId="3" fillId="0" borderId="22" xfId="0" applyNumberFormat="1" applyFont="1" applyBorder="1"/>
    <xf numFmtId="37" fontId="2" fillId="0" borderId="24" xfId="0" applyNumberFormat="1" applyFont="1" applyBorder="1"/>
    <xf numFmtId="3" fontId="3" fillId="0" borderId="16" xfId="0" applyNumberFormat="1" applyFont="1" applyBorder="1"/>
    <xf numFmtId="3" fontId="3" fillId="0" borderId="20" xfId="0" applyNumberFormat="1" applyFont="1" applyBorder="1"/>
    <xf numFmtId="0" fontId="9" fillId="0" borderId="19" xfId="0" applyFont="1" applyBorder="1"/>
    <xf numFmtId="38" fontId="3" fillId="0" borderId="22" xfId="0" applyNumberFormat="1" applyFont="1" applyBorder="1"/>
    <xf numFmtId="166" fontId="2" fillId="0" borderId="0" xfId="0" applyNumberFormat="1" applyFont="1" applyBorder="1"/>
    <xf numFmtId="166" fontId="2" fillId="0" borderId="22" xfId="0" applyNumberFormat="1" applyFont="1" applyBorder="1"/>
    <xf numFmtId="0" fontId="2" fillId="0" borderId="21" xfId="0" applyFont="1" applyFill="1" applyBorder="1"/>
    <xf numFmtId="166" fontId="3" fillId="0" borderId="17" xfId="3" applyNumberFormat="1" applyFont="1" applyBorder="1"/>
    <xf numFmtId="0" fontId="152" fillId="0" borderId="0" xfId="0" applyFont="1"/>
    <xf numFmtId="0" fontId="149" fillId="0" borderId="0" xfId="0" applyFont="1" applyFill="1"/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/>
    </xf>
    <xf numFmtId="166" fontId="2" fillId="0" borderId="17" xfId="0" applyNumberFormat="1" applyFont="1" applyBorder="1"/>
    <xf numFmtId="0" fontId="2" fillId="0" borderId="17" xfId="0" applyFont="1" applyBorder="1"/>
    <xf numFmtId="164" fontId="29" fillId="0" borderId="0" xfId="22" applyNumberFormat="1" applyFont="1" applyFill="1" applyBorder="1"/>
    <xf numFmtId="0" fontId="3" fillId="0" borderId="17" xfId="0" applyFont="1" applyBorder="1"/>
    <xf numFmtId="37" fontId="2" fillId="0" borderId="0" xfId="0" applyNumberFormat="1" applyFont="1" applyBorder="1"/>
    <xf numFmtId="0" fontId="9" fillId="12" borderId="19" xfId="0" applyFont="1" applyFill="1" applyBorder="1"/>
    <xf numFmtId="0" fontId="3" fillId="12" borderId="16" xfId="0" applyFont="1" applyFill="1" applyBorder="1"/>
    <xf numFmtId="3" fontId="3" fillId="12" borderId="16" xfId="0" applyNumberFormat="1" applyFont="1" applyFill="1" applyBorder="1"/>
    <xf numFmtId="166" fontId="26" fillId="0" borderId="0" xfId="3" applyNumberFormat="1" applyFont="1"/>
    <xf numFmtId="43" fontId="26" fillId="0" borderId="0" xfId="3" applyNumberFormat="1" applyFont="1"/>
    <xf numFmtId="0" fontId="123" fillId="0" borderId="0" xfId="0" applyFont="1" applyBorder="1" applyAlignment="1" applyProtection="1">
      <alignment horizontal="center"/>
    </xf>
    <xf numFmtId="166" fontId="114" fillId="0" borderId="17" xfId="3" applyNumberFormat="1" applyFont="1" applyBorder="1"/>
    <xf numFmtId="0" fontId="153" fillId="0" borderId="0" xfId="0" applyFont="1" applyFill="1"/>
    <xf numFmtId="38" fontId="122" fillId="0" borderId="11" xfId="3" applyNumberFormat="1" applyFont="1" applyBorder="1" applyAlignment="1">
      <alignment horizontal="center"/>
    </xf>
    <xf numFmtId="166" fontId="3" fillId="12" borderId="0" xfId="3" applyNumberFormat="1" applyFont="1" applyFill="1"/>
    <xf numFmtId="3" fontId="2" fillId="11" borderId="3" xfId="0" applyNumberFormat="1" applyFont="1" applyFill="1" applyBorder="1"/>
    <xf numFmtId="0" fontId="122" fillId="0" borderId="0" xfId="0" applyFont="1" applyFill="1" applyBorder="1"/>
    <xf numFmtId="0" fontId="122" fillId="0" borderId="6" xfId="0" applyFont="1" applyFill="1" applyBorder="1"/>
    <xf numFmtId="164" fontId="3" fillId="0" borderId="4" xfId="22" applyNumberFormat="1" applyFont="1" applyBorder="1" applyAlignment="1">
      <alignment horizontal="center"/>
    </xf>
    <xf numFmtId="166" fontId="2" fillId="0" borderId="4" xfId="3" applyNumberFormat="1" applyFont="1" applyBorder="1"/>
    <xf numFmtId="0" fontId="127" fillId="0" borderId="10" xfId="0" applyFont="1" applyBorder="1" applyAlignment="1">
      <alignment horizontal="left"/>
    </xf>
    <xf numFmtId="0" fontId="0" fillId="4" borderId="0" xfId="0" applyFill="1"/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6" fillId="0" borderId="0" xfId="0" applyFont="1" applyAlignment="1">
      <alignment horizontal="center"/>
    </xf>
    <xf numFmtId="166" fontId="2" fillId="11" borderId="3" xfId="3" applyNumberFormat="1" applyFont="1" applyFill="1" applyBorder="1"/>
    <xf numFmtId="0" fontId="122" fillId="0" borderId="29" xfId="0" applyFont="1" applyBorder="1"/>
    <xf numFmtId="0" fontId="122" fillId="0" borderId="30" xfId="0" applyFont="1" applyBorder="1"/>
    <xf numFmtId="0" fontId="122" fillId="0" borderId="31" xfId="0" applyFont="1" applyBorder="1" applyAlignment="1">
      <alignment horizontal="center"/>
    </xf>
    <xf numFmtId="166" fontId="2" fillId="0" borderId="16" xfId="3" applyNumberFormat="1" applyFont="1" applyBorder="1"/>
    <xf numFmtId="164" fontId="122" fillId="0" borderId="0" xfId="0" applyNumberFormat="1" applyFont="1" applyBorder="1"/>
    <xf numFmtId="164" fontId="123" fillId="0" borderId="0" xfId="0" applyNumberFormat="1" applyFont="1" applyBorder="1" applyAlignment="1">
      <alignment horizontal="center"/>
    </xf>
    <xf numFmtId="164" fontId="122" fillId="0" borderId="0" xfId="0" applyNumberFormat="1" applyFont="1" applyBorder="1" applyAlignment="1">
      <alignment horizontal="center"/>
    </xf>
    <xf numFmtId="0" fontId="18" fillId="0" borderId="0" xfId="0" applyFont="1"/>
    <xf numFmtId="0" fontId="25" fillId="0" borderId="0" xfId="0" applyFont="1"/>
    <xf numFmtId="37" fontId="1" fillId="0" borderId="0" xfId="3" applyNumberFormat="1"/>
    <xf numFmtId="0" fontId="0" fillId="0" borderId="4" xfId="0" applyBorder="1"/>
    <xf numFmtId="37" fontId="1" fillId="0" borderId="4" xfId="3" applyNumberFormat="1" applyBorder="1"/>
    <xf numFmtId="37" fontId="1" fillId="0" borderId="0" xfId="3" applyNumberFormat="1" applyAlignment="1">
      <alignment horizontal="center"/>
    </xf>
    <xf numFmtId="37" fontId="1" fillId="0" borderId="3" xfId="3" applyNumberFormat="1" applyBorder="1"/>
    <xf numFmtId="37" fontId="6" fillId="0" borderId="3" xfId="3" applyNumberFormat="1" applyFont="1" applyBorder="1"/>
    <xf numFmtId="37" fontId="6" fillId="0" borderId="0" xfId="3" applyNumberFormat="1" applyFont="1" applyBorder="1"/>
    <xf numFmtId="0" fontId="6" fillId="0" borderId="0" xfId="0" applyFont="1"/>
    <xf numFmtId="166" fontId="6" fillId="0" borderId="0" xfId="3" applyNumberFormat="1" applyFont="1"/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10" fillId="11" borderId="0" xfId="3" applyNumberFormat="1" applyFont="1" applyFill="1"/>
    <xf numFmtId="0" fontId="3" fillId="0" borderId="0" xfId="0" applyFont="1" applyAlignment="1">
      <alignment horizontal="left" indent="2"/>
    </xf>
    <xf numFmtId="166" fontId="2" fillId="11" borderId="0" xfId="3" applyNumberFormat="1" applyFont="1" applyFill="1"/>
    <xf numFmtId="10" fontId="122" fillId="0" borderId="0" xfId="22" applyNumberFormat="1" applyFont="1" applyBorder="1" applyAlignment="1">
      <alignment horizontal="center"/>
    </xf>
    <xf numFmtId="0" fontId="122" fillId="0" borderId="0" xfId="0" applyFont="1" applyAlignment="1">
      <alignment horizontal="center"/>
    </xf>
    <xf numFmtId="166" fontId="0" fillId="0" borderId="0" xfId="3" applyNumberFormat="1" applyFont="1"/>
    <xf numFmtId="166" fontId="112" fillId="0" borderId="0" xfId="3" applyNumberFormat="1" applyFont="1"/>
    <xf numFmtId="166" fontId="3" fillId="0" borderId="5" xfId="3" applyNumberFormat="1" applyFont="1" applyBorder="1"/>
    <xf numFmtId="166" fontId="98" fillId="0" borderId="0" xfId="3" quotePrefix="1" applyNumberFormat="1" applyFont="1"/>
    <xf numFmtId="166" fontId="154" fillId="0" borderId="0" xfId="3" quotePrefix="1" applyNumberFormat="1" applyFont="1"/>
    <xf numFmtId="0" fontId="2" fillId="0" borderId="0" xfId="0" applyNumberFormat="1" applyFont="1" applyFill="1" applyBorder="1" applyAlignment="1">
      <alignment horizontal="center"/>
    </xf>
    <xf numFmtId="3" fontId="3" fillId="8" borderId="0" xfId="0" applyNumberFormat="1" applyFont="1" applyFill="1" applyBorder="1"/>
    <xf numFmtId="166" fontId="3" fillId="11" borderId="0" xfId="0" applyNumberFormat="1" applyFont="1" applyFill="1" applyBorder="1"/>
    <xf numFmtId="0" fontId="2" fillId="0" borderId="4" xfId="0" applyFont="1" applyFill="1" applyBorder="1" applyAlignment="1">
      <alignment horizontal="center"/>
    </xf>
    <xf numFmtId="166" fontId="2" fillId="0" borderId="0" xfId="3" applyNumberFormat="1" applyFont="1" applyAlignment="1">
      <alignment horizontal="center"/>
    </xf>
    <xf numFmtId="166" fontId="2" fillId="0" borderId="0" xfId="3" applyNumberFormat="1" applyFont="1" applyBorder="1" applyAlignment="1">
      <alignment horizontal="center"/>
    </xf>
    <xf numFmtId="166" fontId="120" fillId="0" borderId="0" xfId="3" applyNumberFormat="1" applyFont="1" applyAlignment="1">
      <alignment horizontal="center"/>
    </xf>
    <xf numFmtId="38" fontId="2" fillId="0" borderId="0" xfId="0" applyNumberFormat="1" applyFont="1" applyBorder="1"/>
    <xf numFmtId="166" fontId="3" fillId="11" borderId="0" xfId="0" applyNumberFormat="1" applyFont="1" applyFill="1"/>
    <xf numFmtId="0" fontId="120" fillId="0" borderId="0" xfId="0" applyFont="1" applyBorder="1" applyAlignment="1" applyProtection="1">
      <alignment horizontal="center"/>
    </xf>
    <xf numFmtId="166" fontId="3" fillId="0" borderId="0" xfId="3" applyNumberFormat="1" applyFont="1" applyAlignment="1">
      <alignment horizontal="center"/>
    </xf>
    <xf numFmtId="166" fontId="2" fillId="0" borderId="0" xfId="3" applyNumberFormat="1" applyFont="1" applyFill="1" applyBorder="1" applyAlignment="1">
      <alignment horizontal="center"/>
    </xf>
    <xf numFmtId="166" fontId="3" fillId="8" borderId="0" xfId="3" applyNumberFormat="1" applyFont="1" applyFill="1" applyBorder="1"/>
    <xf numFmtId="0" fontId="15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7" fontId="113" fillId="0" borderId="0" xfId="0" applyNumberFormat="1" applyFont="1" applyFill="1" applyAlignment="1">
      <alignment horizontal="center"/>
    </xf>
    <xf numFmtId="0" fontId="18" fillId="0" borderId="4" xfId="0" applyFont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13" fillId="0" borderId="0" xfId="0" applyFont="1" applyFill="1" applyAlignment="1">
      <alignment horizontal="center"/>
    </xf>
    <xf numFmtId="0" fontId="113" fillId="0" borderId="0" xfId="0" applyFont="1" applyFill="1" applyBorder="1" applyAlignment="1">
      <alignment horizontal="center"/>
    </xf>
    <xf numFmtId="0" fontId="147" fillId="0" borderId="0" xfId="0" applyFont="1" applyAlignment="1">
      <alignment horizontal="center"/>
    </xf>
    <xf numFmtId="0" fontId="132" fillId="0" borderId="8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6" fontId="15" fillId="0" borderId="32" xfId="3" applyNumberFormat="1" applyFont="1" applyBorder="1" applyAlignment="1">
      <alignment horizontal="center"/>
    </xf>
    <xf numFmtId="166" fontId="15" fillId="0" borderId="17" xfId="3" applyNumberFormat="1" applyFont="1" applyBorder="1" applyAlignment="1">
      <alignment horizontal="center"/>
    </xf>
    <xf numFmtId="166" fontId="15" fillId="0" borderId="33" xfId="3" applyNumberFormat="1" applyFont="1" applyBorder="1" applyAlignment="1">
      <alignment horizontal="center"/>
    </xf>
  </cellXfs>
  <cellStyles count="34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cf0402_ndf" xfId="17"/>
    <cellStyle name="Normal_Curve_Economics" xfId="18"/>
    <cellStyle name="Normal_IPP Summary" xfId="19"/>
    <cellStyle name="Normal_Summary" xfId="20"/>
    <cellStyle name="Normal_Yuma CE Strategic" xfId="21"/>
    <cellStyle name="Percent" xfId="22" builtinId="5"/>
    <cellStyle name="Percent [2]" xfId="23"/>
    <cellStyle name="Standard_Anpassen der Amortisation" xfId="24"/>
    <cellStyle name="Total" xfId="25" builtinId="25" customBuiltin="1"/>
    <cellStyle name="uk" xfId="26"/>
    <cellStyle name="Un" xfId="27"/>
    <cellStyle name="Unprot" xfId="28"/>
    <cellStyle name="Unprot$" xfId="29"/>
    <cellStyle name="Unprot_CurrencySKorea" xfId="30"/>
    <cellStyle name="Unprotect" xfId="31"/>
    <cellStyle name="Währung [0]_Compiling Utility Macros" xfId="32"/>
    <cellStyle name="Währung_Compiling Utility Macros" xfId="3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84" Type="http://schemas.openxmlformats.org/officeDocument/2006/relationships/externalLink" Target="externalLinks/externalLink24.xml"/><Relationship Id="rId89" Type="http://schemas.openxmlformats.org/officeDocument/2006/relationships/externalLink" Target="externalLinks/externalLink2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4.xml"/><Relationship Id="rId79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80" Type="http://schemas.openxmlformats.org/officeDocument/2006/relationships/externalLink" Target="externalLinks/externalLink20.xml"/><Relationship Id="rId85" Type="http://schemas.openxmlformats.org/officeDocument/2006/relationships/externalLink" Target="externalLinks/externalLink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externalLink" Target="externalLinks/externalLink15.xml"/><Relationship Id="rId83" Type="http://schemas.openxmlformats.org/officeDocument/2006/relationships/externalLink" Target="externalLinks/externalLink23.xml"/><Relationship Id="rId88" Type="http://schemas.openxmlformats.org/officeDocument/2006/relationships/externalLink" Target="externalLinks/externalLink28.xml"/><Relationship Id="rId91" Type="http://schemas.openxmlformats.org/officeDocument/2006/relationships/externalLink" Target="externalLinks/externalLink3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externalLink" Target="externalLinks/externalLink13.xml"/><Relationship Id="rId78" Type="http://schemas.openxmlformats.org/officeDocument/2006/relationships/externalLink" Target="externalLinks/externalLink18.xml"/><Relationship Id="rId81" Type="http://schemas.openxmlformats.org/officeDocument/2006/relationships/externalLink" Target="externalLinks/externalLink21.xml"/><Relationship Id="rId86" Type="http://schemas.openxmlformats.org/officeDocument/2006/relationships/externalLink" Target="externalLinks/externalLink26.xml"/><Relationship Id="rId94" Type="http://schemas.openxmlformats.org/officeDocument/2006/relationships/externalLink" Target="externalLinks/externalLink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Relationship Id="rId92" Type="http://schemas.openxmlformats.org/officeDocument/2006/relationships/externalLink" Target="externalLinks/externalLink3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6.xml"/><Relationship Id="rId87" Type="http://schemas.openxmlformats.org/officeDocument/2006/relationships/externalLink" Target="externalLinks/externalLink27.xml"/><Relationship Id="rId61" Type="http://schemas.openxmlformats.org/officeDocument/2006/relationships/externalLink" Target="externalLinks/externalLink1.xml"/><Relationship Id="rId82" Type="http://schemas.openxmlformats.org/officeDocument/2006/relationships/externalLink" Target="externalLinks/externalLink2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93" Type="http://schemas.openxmlformats.org/officeDocument/2006/relationships/externalLink" Target="externalLinks/externalLink33.xml"/><Relationship Id="rId98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2" dropStyle="combo" dx="22" fmlaLink="$P$8" fmlaRange="$P$5:$P$6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1171575</xdr:colOff>
          <xdr:row>2</xdr:row>
          <xdr:rowOff>9525</xdr:rowOff>
        </xdr:from>
        <xdr:to>
          <xdr:col>3</xdr:col>
          <xdr:colOff>962025</xdr:colOff>
          <xdr:row>3</xdr:row>
          <xdr:rowOff>66675</xdr:rowOff>
        </xdr:to>
        <xdr:sp macro="" textlink="">
          <xdr:nvSpPr>
            <xdr:cNvPr id="32826" name="Button 58" hidden="1">
              <a:extLst>
                <a:ext uri="{63B3BB69-23CF-44E3-9099-C40C66FF867C}">
                  <a14:compatExt spid="_x0000_s32826"/>
                </a:ext>
                <a:ext uri="{FF2B5EF4-FFF2-40B4-BE49-F238E27FC236}">
                  <a16:creationId xmlns:a16="http://schemas.microsoft.com/office/drawing/2014/main" id="{D186FE73-08A2-5D58-8F08-64841DC5B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All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409575</xdr:colOff>
          <xdr:row>2</xdr:row>
          <xdr:rowOff>9525</xdr:rowOff>
        </xdr:from>
        <xdr:to>
          <xdr:col>5</xdr:col>
          <xdr:colOff>628650</xdr:colOff>
          <xdr:row>3</xdr:row>
          <xdr:rowOff>66675</xdr:rowOff>
        </xdr:to>
        <xdr:sp macro="" textlink="">
          <xdr:nvSpPr>
            <xdr:cNvPr id="32827" name="Button 59" hidden="1">
              <a:extLst>
                <a:ext uri="{63B3BB69-23CF-44E3-9099-C40C66FF867C}">
                  <a14:compatExt spid="_x0000_s32827"/>
                </a:ext>
                <a:ext uri="{FF2B5EF4-FFF2-40B4-BE49-F238E27FC236}">
                  <a16:creationId xmlns:a16="http://schemas.microsoft.com/office/drawing/2014/main" id="{41465C09-30D2-F1A0-CCF8-D417B4CD3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Summary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</xdr:row>
          <xdr:rowOff>28575</xdr:rowOff>
        </xdr:from>
        <xdr:to>
          <xdr:col>7</xdr:col>
          <xdr:colOff>333375</xdr:colOff>
          <xdr:row>3</xdr:row>
          <xdr:rowOff>66675</xdr:rowOff>
        </xdr:to>
        <xdr:sp macro="" textlink="">
          <xdr:nvSpPr>
            <xdr:cNvPr id="32838" name="Drop Down 70" hidden="1">
              <a:extLst>
                <a:ext uri="{63B3BB69-23CF-44E3-9099-C40C66FF867C}">
                  <a14:compatExt spid="_x0000_s32838"/>
                </a:ext>
                <a:ext uri="{FF2B5EF4-FFF2-40B4-BE49-F238E27FC236}">
                  <a16:creationId xmlns:a16="http://schemas.microsoft.com/office/drawing/2014/main" id="{E0306321-6FF3-8232-21F4-7CE70B886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114300</xdr:colOff>
          <xdr:row>2</xdr:row>
          <xdr:rowOff>47625</xdr:rowOff>
        </xdr:from>
        <xdr:to>
          <xdr:col>7</xdr:col>
          <xdr:colOff>371475</xdr:colOff>
          <xdr:row>3</xdr:row>
          <xdr:rowOff>180975</xdr:rowOff>
        </xdr:to>
        <xdr:sp macro="" textlink="">
          <xdr:nvSpPr>
            <xdr:cNvPr id="16394" name="Button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63A0C757-72C8-D335-3A4D-6D2235432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Debt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409575</xdr:colOff>
          <xdr:row>31</xdr:row>
          <xdr:rowOff>28575</xdr:rowOff>
        </xdr:from>
        <xdr:to>
          <xdr:col>3</xdr:col>
          <xdr:colOff>619125</xdr:colOff>
          <xdr:row>32</xdr:row>
          <xdr:rowOff>161925</xdr:rowOff>
        </xdr:to>
        <xdr:sp macro="" textlink="">
          <xdr:nvSpPr>
            <xdr:cNvPr id="36865" name="Button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AEC1A20B-7D78-7F7C-D5EF-DDAD4B149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Goal Seek Equity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%20c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Lam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nel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main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Library" Target="ANALYSIS/ATPVBAEN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3-29-00/00%20O&amp;M%20analysis%20-%200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5-08-00/Peaker%20Valuation%2005080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NewCo/Summary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NewCo-7-11-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nalysis (2)"/>
      <sheetName val="Analysis"/>
      <sheetName val="FPLE Returns"/>
      <sheetName val="Project Returns"/>
      <sheetName val="Tax"/>
      <sheetName val="Financials"/>
      <sheetName val="Debt"/>
      <sheetName val="D&amp;A"/>
      <sheetName val="Depreciation"/>
      <sheetName val="Operating Revenue"/>
      <sheetName val="Fuel Expense"/>
      <sheetName val="Operating Expense"/>
      <sheetName val="Summary"/>
      <sheetName val="Assumptions"/>
      <sheetName val="Taxes"/>
      <sheetName val="FPL Returns"/>
      <sheetName val="Cover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12">
          <cell r="O12">
            <v>81910.006200000003</v>
          </cell>
          <cell r="P12">
            <v>81910.006200000003</v>
          </cell>
          <cell r="Q12">
            <v>81910.006200000003</v>
          </cell>
          <cell r="R12">
            <v>81910.006200000003</v>
          </cell>
          <cell r="S12">
            <v>81910.006200000003</v>
          </cell>
          <cell r="T12">
            <v>81910.006200000003</v>
          </cell>
          <cell r="U12">
            <v>81910.006200000003</v>
          </cell>
          <cell r="V12">
            <v>47063.893799999998</v>
          </cell>
          <cell r="W12">
            <v>47063.893799999998</v>
          </cell>
          <cell r="X12">
            <v>47063.893799999998</v>
          </cell>
          <cell r="Y12">
            <v>47063.893799999998</v>
          </cell>
          <cell r="Z12">
            <v>47063.893799999998</v>
          </cell>
          <cell r="AA12">
            <v>47063.893799999998</v>
          </cell>
          <cell r="AB12">
            <v>47063.893799999998</v>
          </cell>
          <cell r="AC12">
            <v>47063.893799999998</v>
          </cell>
          <cell r="AD12">
            <v>47063.893799999998</v>
          </cell>
          <cell r="AE12">
            <v>47063.893799999998</v>
          </cell>
          <cell r="AF12">
            <v>15473.055172944602</v>
          </cell>
        </row>
        <row r="13">
          <cell r="O13">
            <v>27932.661296093669</v>
          </cell>
          <cell r="P13">
            <v>28003.546246709091</v>
          </cell>
          <cell r="Q13">
            <v>29349.563886982953</v>
          </cell>
          <cell r="R13">
            <v>30803.371109013897</v>
          </cell>
          <cell r="S13">
            <v>31490.345180226246</v>
          </cell>
          <cell r="T13">
            <v>31664.521132320391</v>
          </cell>
          <cell r="U13">
            <v>32405.876848567052</v>
          </cell>
          <cell r="V13">
            <v>33299.407101582845</v>
          </cell>
          <cell r="W13">
            <v>34074.31536939081</v>
          </cell>
          <cell r="X13">
            <v>34772.521706379601</v>
          </cell>
          <cell r="Y13">
            <v>35472.450569740206</v>
          </cell>
          <cell r="Z13">
            <v>36291.041722144073</v>
          </cell>
          <cell r="AA13">
            <v>37125.51680130131</v>
          </cell>
          <cell r="AB13">
            <v>37944.575466923081</v>
          </cell>
          <cell r="AC13">
            <v>38772.422954375594</v>
          </cell>
          <cell r="AD13">
            <v>39628.717987075011</v>
          </cell>
          <cell r="AE13">
            <v>40519.534517590291</v>
          </cell>
          <cell r="AF13">
            <v>13619.285137922885</v>
          </cell>
        </row>
        <row r="14">
          <cell r="O14">
            <v>2685.225604905077</v>
          </cell>
          <cell r="P14">
            <v>2710.0407818371546</v>
          </cell>
          <cell r="Q14">
            <v>2749.5199847003041</v>
          </cell>
          <cell r="R14">
            <v>2819.2387677536599</v>
          </cell>
          <cell r="S14">
            <v>2851.138969572602</v>
          </cell>
          <cell r="T14">
            <v>2879.1419930216844</v>
          </cell>
          <cell r="U14">
            <v>2912.8144290610521</v>
          </cell>
          <cell r="V14">
            <v>2948.4103070566371</v>
          </cell>
          <cell r="W14">
            <v>2982.8522426141008</v>
          </cell>
          <cell r="X14">
            <v>3016.8437481080337</v>
          </cell>
          <cell r="Y14">
            <v>3051.2637565151931</v>
          </cell>
          <cell r="Z14">
            <v>3087.1190035042082</v>
          </cell>
          <cell r="AA14">
            <v>3123.4237262487827</v>
          </cell>
          <cell r="AB14">
            <v>3159.837714191262</v>
          </cell>
          <cell r="AC14">
            <v>3196.655450157743</v>
          </cell>
          <cell r="AD14">
            <v>3234.0755356317454</v>
          </cell>
          <cell r="AE14">
            <v>3272.1393923253227</v>
          </cell>
          <cell r="AF14">
            <v>1088.4356696107538</v>
          </cell>
        </row>
        <row r="15">
          <cell r="O15">
            <v>2026.6067210782799</v>
          </cell>
          <cell r="P15">
            <v>2192.3337122472999</v>
          </cell>
          <cell r="Q15">
            <v>2163.21469650055</v>
          </cell>
          <cell r="R15">
            <v>2135.6451763406249</v>
          </cell>
          <cell r="S15">
            <v>2145.2924156361746</v>
          </cell>
          <cell r="T15">
            <v>2163.3816038540876</v>
          </cell>
          <cell r="U15">
            <v>2159.0474804761448</v>
          </cell>
          <cell r="V15">
            <v>2154.6165087184413</v>
          </cell>
          <cell r="W15">
            <v>2150.5910622287051</v>
          </cell>
          <cell r="X15">
            <v>2146.9111207645979</v>
          </cell>
          <cell r="Y15">
            <v>2143.3055447328265</v>
          </cell>
          <cell r="Z15">
            <v>2139.3962186589533</v>
          </cell>
          <cell r="AA15">
            <v>2135.5547505046593</v>
          </cell>
          <cell r="AB15">
            <v>2131.8200753697638</v>
          </cell>
          <cell r="AC15">
            <v>2128.1382246061721</v>
          </cell>
          <cell r="AD15">
            <v>2124.4545805281696</v>
          </cell>
          <cell r="AE15">
            <v>2120.7553915938206</v>
          </cell>
          <cell r="AF15">
            <v>0</v>
          </cell>
        </row>
        <row r="16">
          <cell r="O16">
            <v>20785.010639400003</v>
          </cell>
          <cell r="P16">
            <v>20666.060024400002</v>
          </cell>
          <cell r="Q16">
            <v>20512.217229000002</v>
          </cell>
          <cell r="R16">
            <v>20063.283613800002</v>
          </cell>
          <cell r="S16">
            <v>19316.124480239996</v>
          </cell>
          <cell r="T16">
            <v>19184.485799639999</v>
          </cell>
          <cell r="U16">
            <v>19066.046664960249</v>
          </cell>
          <cell r="V16">
            <v>18947.092759052997</v>
          </cell>
          <cell r="W16">
            <v>18834.208488424818</v>
          </cell>
          <cell r="X16">
            <v>18727.996552790606</v>
          </cell>
          <cell r="Y16">
            <v>18629.588889557512</v>
          </cell>
          <cell r="Z16">
            <v>18536.907290058494</v>
          </cell>
          <cell r="AA16">
            <v>18448.463471695086</v>
          </cell>
          <cell r="AB16">
            <v>18365.169258007729</v>
          </cell>
          <cell r="AC16">
            <v>18286.842373827694</v>
          </cell>
          <cell r="AD16">
            <v>18213.185682410658</v>
          </cell>
          <cell r="AE16">
            <v>18143.694946173477</v>
          </cell>
          <cell r="AF16">
            <v>18078.084010764553</v>
          </cell>
        </row>
        <row r="22">
          <cell r="O22">
            <v>27743.408854916834</v>
          </cell>
          <cell r="P22">
            <v>27842.792262094659</v>
          </cell>
          <cell r="Q22">
            <v>29256.952737279964</v>
          </cell>
          <cell r="R22">
            <v>30779.970339267082</v>
          </cell>
          <cell r="S22">
            <v>31489.689487576328</v>
          </cell>
          <cell r="T22">
            <v>31663.446027333128</v>
          </cell>
          <cell r="U22">
            <v>32442.592621972362</v>
          </cell>
          <cell r="V22">
            <v>33376.807575954546</v>
          </cell>
          <cell r="W22">
            <v>34185.61307974071</v>
          </cell>
          <cell r="X22">
            <v>34912.340485395835</v>
          </cell>
          <cell r="Y22">
            <v>35642.025439564968</v>
          </cell>
          <cell r="Z22">
            <v>36497.111086143661</v>
          </cell>
          <cell r="AA22">
            <v>37367.8361400309</v>
          </cell>
          <cell r="AB22">
            <v>38222.061539456168</v>
          </cell>
          <cell r="AC22">
            <v>39085.308737992913</v>
          </cell>
          <cell r="AD22">
            <v>39978.528984901917</v>
          </cell>
          <cell r="AE22">
            <v>40907.87098283766</v>
          </cell>
          <cell r="AF22">
            <v>13759.76408326323</v>
          </cell>
        </row>
        <row r="23">
          <cell r="O23">
            <v>955.80884656857711</v>
          </cell>
          <cell r="P23">
            <v>931.40899204953701</v>
          </cell>
          <cell r="Q23">
            <v>918.0999804936971</v>
          </cell>
          <cell r="R23">
            <v>910.78002413798492</v>
          </cell>
          <cell r="S23">
            <v>907.45277124902509</v>
          </cell>
          <cell r="T23">
            <v>907.45277124902509</v>
          </cell>
          <cell r="U23">
            <v>898.11631419837033</v>
          </cell>
          <cell r="V23">
            <v>891.61325341650286</v>
          </cell>
          <cell r="W23">
            <v>886.4141582634162</v>
          </cell>
          <cell r="X23">
            <v>881.62508931315426</v>
          </cell>
          <cell r="Y23">
            <v>876.55340438209976</v>
          </cell>
          <cell r="Z23">
            <v>870.50239324892152</v>
          </cell>
          <cell r="AA23">
            <v>865.08256296008597</v>
          </cell>
          <cell r="AB23">
            <v>859.87203401011209</v>
          </cell>
          <cell r="AC23">
            <v>854.6598615978786</v>
          </cell>
          <cell r="AD23">
            <v>849.3666691469839</v>
          </cell>
          <cell r="AE23">
            <v>844.03139987922452</v>
          </cell>
          <cell r="AF23">
            <v>275.78113292660504</v>
          </cell>
        </row>
        <row r="24">
          <cell r="O24">
            <v>16377.923999999999</v>
          </cell>
          <cell r="P24">
            <v>16265.048999999999</v>
          </cell>
          <cell r="Q24">
            <v>16119.798999999999</v>
          </cell>
          <cell r="R24">
            <v>15974.798999999999</v>
          </cell>
          <cell r="S24">
            <v>15829.423999999999</v>
          </cell>
          <cell r="T24">
            <v>15705.548999999999</v>
          </cell>
          <cell r="U24">
            <v>15593.429461798714</v>
          </cell>
          <cell r="V24">
            <v>15480.902897651362</v>
          </cell>
          <cell r="W24">
            <v>15374.07633591479</v>
          </cell>
          <cell r="X24">
            <v>15273.690885284494</v>
          </cell>
          <cell r="Y24">
            <v>15180.675258791287</v>
          </cell>
          <cell r="Z24">
            <v>15092.990112476995</v>
          </cell>
          <cell r="AA24">
            <v>15009.328233480857</v>
          </cell>
          <cell r="AB24">
            <v>14930.536813110984</v>
          </cell>
          <cell r="AC24">
            <v>14856.449362052397</v>
          </cell>
          <cell r="AD24">
            <v>14786.767406787449</v>
          </cell>
          <cell r="AE24">
            <v>14721.014494212834</v>
          </cell>
          <cell r="AF24">
            <v>5040.2626589759057</v>
          </cell>
        </row>
        <row r="25">
          <cell r="O25">
            <v>9305</v>
          </cell>
          <cell r="P25">
            <v>11778</v>
          </cell>
          <cell r="Q25">
            <v>10860</v>
          </cell>
          <cell r="R25">
            <v>9613</v>
          </cell>
          <cell r="S25">
            <v>7575</v>
          </cell>
          <cell r="T25">
            <v>11481</v>
          </cell>
          <cell r="U25">
            <v>11112.146000000001</v>
          </cell>
          <cell r="V25">
            <v>11377.117405999998</v>
          </cell>
          <cell r="W25">
            <v>11649.106703425996</v>
          </cell>
          <cell r="X25">
            <v>11928.312140214442</v>
          </cell>
          <cell r="Y25">
            <v>12214.937908036023</v>
          </cell>
          <cell r="Z25">
            <v>12509.194329432554</v>
          </cell>
          <cell r="AA25">
            <v>12811.298051064883</v>
          </cell>
          <cell r="AB25">
            <v>13121.47224327649</v>
          </cell>
          <cell r="AC25">
            <v>13439.946806184416</v>
          </cell>
          <cell r="AD25">
            <v>13766.958582516378</v>
          </cell>
          <cell r="AE25">
            <v>14102.751577420378</v>
          </cell>
          <cell r="AF25">
            <v>17386.704807403024</v>
          </cell>
        </row>
        <row r="27">
          <cell r="O27">
            <v>424</v>
          </cell>
          <cell r="P27">
            <v>436</v>
          </cell>
          <cell r="Q27">
            <v>436</v>
          </cell>
          <cell r="R27">
            <v>452</v>
          </cell>
          <cell r="S27">
            <v>456</v>
          </cell>
          <cell r="T27">
            <v>466</v>
          </cell>
          <cell r="U27">
            <v>475.78599999999994</v>
          </cell>
          <cell r="V27">
            <v>485.77750599999996</v>
          </cell>
          <cell r="W27">
            <v>495.97883362599987</v>
          </cell>
          <cell r="X27">
            <v>506.39438913214576</v>
          </cell>
          <cell r="Y27">
            <v>517.02867130392087</v>
          </cell>
          <cell r="Z27">
            <v>527.88627340130313</v>
          </cell>
          <cell r="AA27">
            <v>538.97188514273046</v>
          </cell>
          <cell r="AB27">
            <v>550.29029473072774</v>
          </cell>
          <cell r="AC27">
            <v>561.84639092007308</v>
          </cell>
          <cell r="AD27">
            <v>573.64516512939451</v>
          </cell>
          <cell r="AE27">
            <v>585.69171359711163</v>
          </cell>
          <cell r="AF27">
            <v>597.99123958265102</v>
          </cell>
        </row>
        <row r="28">
          <cell r="O28">
            <v>744</v>
          </cell>
          <cell r="P28">
            <v>768</v>
          </cell>
          <cell r="Q28">
            <v>780</v>
          </cell>
          <cell r="R28">
            <v>792</v>
          </cell>
          <cell r="S28">
            <v>816</v>
          </cell>
          <cell r="T28">
            <v>835</v>
          </cell>
          <cell r="U28">
            <v>852.53499999999997</v>
          </cell>
          <cell r="V28">
            <v>870.43823499999985</v>
          </cell>
          <cell r="W28">
            <v>888.71743793499979</v>
          </cell>
          <cell r="X28">
            <v>907.38050413163467</v>
          </cell>
          <cell r="Y28">
            <v>926.4354947183989</v>
          </cell>
          <cell r="Z28">
            <v>945.89064010748518</v>
          </cell>
          <cell r="AA28">
            <v>965.75434354974232</v>
          </cell>
          <cell r="AB28">
            <v>986.03518476428678</v>
          </cell>
          <cell r="AC28">
            <v>1006.7419236443367</v>
          </cell>
          <cell r="AD28">
            <v>1027.8835040408676</v>
          </cell>
          <cell r="AE28">
            <v>1049.4690576257258</v>
          </cell>
          <cell r="AF28">
            <v>1071.507907835866</v>
          </cell>
        </row>
        <row r="29">
          <cell r="O29">
            <v>1188</v>
          </cell>
          <cell r="P29">
            <v>1188</v>
          </cell>
          <cell r="Q29">
            <v>1188</v>
          </cell>
          <cell r="R29">
            <v>1188</v>
          </cell>
          <cell r="S29">
            <v>1200</v>
          </cell>
          <cell r="T29">
            <v>1228</v>
          </cell>
          <cell r="U29">
            <v>1253.7879999999998</v>
          </cell>
          <cell r="V29">
            <v>1280.1175479999997</v>
          </cell>
          <cell r="W29">
            <v>1307.0000165079996</v>
          </cell>
          <cell r="X29">
            <v>1334.4470168546675</v>
          </cell>
          <cell r="Y29">
            <v>1362.4704042086153</v>
          </cell>
          <cell r="Z29">
            <v>1391.0822826969961</v>
          </cell>
          <cell r="AA29">
            <v>1420.295010633633</v>
          </cell>
          <cell r="AB29">
            <v>1450.121205856939</v>
          </cell>
          <cell r="AC29">
            <v>1480.5737511799346</v>
          </cell>
          <cell r="AD29">
            <v>1511.6657999547131</v>
          </cell>
          <cell r="AE29">
            <v>1543.410781753762</v>
          </cell>
          <cell r="AF29">
            <v>1575.8224081705907</v>
          </cell>
        </row>
        <row r="47">
          <cell r="O47">
            <v>621</v>
          </cell>
          <cell r="P47">
            <v>607</v>
          </cell>
          <cell r="Q47">
            <v>614</v>
          </cell>
          <cell r="R47">
            <v>621</v>
          </cell>
          <cell r="S47">
            <v>631</v>
          </cell>
          <cell r="T47">
            <v>1573</v>
          </cell>
          <cell r="U47">
            <v>700</v>
          </cell>
          <cell r="V47">
            <v>700</v>
          </cell>
          <cell r="W47">
            <v>700</v>
          </cell>
          <cell r="X47">
            <v>700</v>
          </cell>
          <cell r="Y47">
            <v>700</v>
          </cell>
          <cell r="Z47">
            <v>700</v>
          </cell>
          <cell r="AA47">
            <v>700</v>
          </cell>
          <cell r="AB47">
            <v>700</v>
          </cell>
          <cell r="AC47">
            <v>700</v>
          </cell>
          <cell r="AD47">
            <v>700</v>
          </cell>
          <cell r="AE47">
            <v>700</v>
          </cell>
          <cell r="AF47">
            <v>700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>
        <row r="14">
          <cell r="L14">
            <v>472</v>
          </cell>
          <cell r="M14">
            <v>472</v>
          </cell>
          <cell r="N14">
            <v>472</v>
          </cell>
          <cell r="O14">
            <v>472</v>
          </cell>
          <cell r="P14">
            <v>472</v>
          </cell>
          <cell r="Q14">
            <v>472</v>
          </cell>
          <cell r="R14">
            <v>472</v>
          </cell>
          <cell r="S14">
            <v>472</v>
          </cell>
          <cell r="T14">
            <v>472</v>
          </cell>
          <cell r="U14">
            <v>472</v>
          </cell>
          <cell r="V14">
            <v>472</v>
          </cell>
          <cell r="W14">
            <v>472</v>
          </cell>
          <cell r="X14">
            <v>472</v>
          </cell>
          <cell r="Y14">
            <v>472</v>
          </cell>
          <cell r="Z14">
            <v>472</v>
          </cell>
          <cell r="AA14">
            <v>472</v>
          </cell>
          <cell r="AB14">
            <v>472</v>
          </cell>
          <cell r="AC14">
            <v>472</v>
          </cell>
        </row>
        <row r="30">
          <cell r="L30">
            <v>-3648</v>
          </cell>
          <cell r="M30">
            <v>-6042</v>
          </cell>
          <cell r="N30">
            <v>-5038</v>
          </cell>
          <cell r="O30">
            <v>-3678</v>
          </cell>
          <cell r="P30">
            <v>-1532</v>
          </cell>
          <cell r="Q30">
            <v>-5361</v>
          </cell>
          <cell r="R30">
            <v>-4833.4139999999998</v>
          </cell>
          <cell r="S30">
            <v>-4934.9156939999993</v>
          </cell>
          <cell r="T30">
            <v>-5038.5489235739988</v>
          </cell>
          <cell r="U30">
            <v>-5144.3584509690527</v>
          </cell>
          <cell r="V30">
            <v>-5252.3899784394025</v>
          </cell>
          <cell r="W30">
            <v>-5362.6901679866296</v>
          </cell>
          <cell r="X30">
            <v>-5475.306661514348</v>
          </cell>
          <cell r="Y30">
            <v>-5590.2881014061486</v>
          </cell>
          <cell r="Z30">
            <v>-5707.6841515356773</v>
          </cell>
          <cell r="AA30">
            <v>-5827.5455187179259</v>
          </cell>
          <cell r="AB30">
            <v>-5949.9239746110015</v>
          </cell>
          <cell r="AC30">
            <v>-9014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Debt"/>
      <sheetName val="Assume1"/>
      <sheetName val="Assume2"/>
      <sheetName val="Valuation"/>
      <sheetName val="Returns"/>
      <sheetName val="Sources"/>
      <sheetName val="Tax"/>
      <sheetName val="TaxNew"/>
      <sheetName val="Financials"/>
      <sheetName val="ProductionData"/>
      <sheetName val="Revenue"/>
      <sheetName val="Fuel"/>
      <sheetName val="NewMaint"/>
      <sheetName val="MMaint"/>
      <sheetName val="OM"/>
      <sheetName val="GA"/>
      <sheetName val="Cons"/>
      <sheetName val="Trans"/>
      <sheetName val="Depr"/>
      <sheetName val="BalancesNew"/>
      <sheetName val="RunLogic"/>
      <sheetName val="HenwoodMargin"/>
      <sheetName val="ScenarioSummary"/>
      <sheetName val="LowFuel-Base"/>
      <sheetName val="MidFuel-Base"/>
      <sheetName val="MidFuel-Scen1"/>
      <sheetName val="MidFuel-Scen2"/>
      <sheetName val="LowFuel-Scen1"/>
      <sheetName val="LowFuel-Scen2"/>
      <sheetName val="HighFuel-Base"/>
      <sheetName val="Comments"/>
      <sheetName val="HighFuel-Scen1"/>
      <sheetName val="HighFuel-Sce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>
        <row r="12">
          <cell r="H12">
            <v>5230.75</v>
          </cell>
          <cell r="I12">
            <v>8883</v>
          </cell>
          <cell r="J12">
            <v>8883</v>
          </cell>
          <cell r="K12">
            <v>8883</v>
          </cell>
          <cell r="L12">
            <v>8883</v>
          </cell>
          <cell r="M12">
            <v>9952.1846763861959</v>
          </cell>
          <cell r="N12">
            <v>10287.341099499859</v>
          </cell>
          <cell r="O12">
            <v>10406.767825324863</v>
          </cell>
          <cell r="P12">
            <v>10559.00450850617</v>
          </cell>
          <cell r="Q12">
            <v>10904.390099438046</v>
          </cell>
          <cell r="R12">
            <v>11071.28897931029</v>
          </cell>
          <cell r="S12">
            <v>11243.395918083625</v>
          </cell>
          <cell r="T12">
            <v>11582.074991999469</v>
          </cell>
          <cell r="U12">
            <v>11752.34042657337</v>
          </cell>
          <cell r="V12">
            <v>12148.120097938423</v>
          </cell>
          <cell r="W12">
            <v>12289.148784961959</v>
          </cell>
          <cell r="X12">
            <v>12488.982132661726</v>
          </cell>
          <cell r="Y12">
            <v>12876.781205318866</v>
          </cell>
          <cell r="Z12">
            <v>13072.182429024499</v>
          </cell>
          <cell r="AA12">
            <v>13277.106552653431</v>
          </cell>
        </row>
        <row r="13">
          <cell r="H13">
            <v>5974.0029988369606</v>
          </cell>
          <cell r="I13">
            <v>9420.9618160812443</v>
          </cell>
          <cell r="J13">
            <v>9311.5110213295102</v>
          </cell>
          <cell r="K13">
            <v>9803.4175717574017</v>
          </cell>
          <cell r="L13">
            <v>10399.469510189929</v>
          </cell>
          <cell r="M13">
            <v>14258.286398829458</v>
          </cell>
          <cell r="N13">
            <v>15520.796920838795</v>
          </cell>
          <cell r="O13">
            <v>16666.143920176743</v>
          </cell>
          <cell r="P13">
            <v>17898.920999014728</v>
          </cell>
          <cell r="Q13">
            <v>18578.980662030135</v>
          </cell>
          <cell r="R13">
            <v>18994.020335365189</v>
          </cell>
          <cell r="S13">
            <v>19690.845277534489</v>
          </cell>
          <cell r="T13">
            <v>20419.602098713236</v>
          </cell>
          <cell r="U13">
            <v>21035.396697801472</v>
          </cell>
          <cell r="V13">
            <v>22139.15660306202</v>
          </cell>
          <cell r="W13">
            <v>21208.165860745888</v>
          </cell>
          <cell r="X13">
            <v>20778.983011480403</v>
          </cell>
          <cell r="Y13">
            <v>20903.721508836225</v>
          </cell>
          <cell r="Z13">
            <v>20816.328125516648</v>
          </cell>
          <cell r="AA13">
            <v>20870.262306104261</v>
          </cell>
        </row>
        <row r="24">
          <cell r="H24">
            <v>5808.8194804446994</v>
          </cell>
          <cell r="I24">
            <v>9250.1762258842446</v>
          </cell>
          <cell r="J24">
            <v>9168.1863007684278</v>
          </cell>
          <cell r="K24">
            <v>9674.9056591481694</v>
          </cell>
          <cell r="L24">
            <v>10234.8437597749</v>
          </cell>
          <cell r="M24">
            <v>10825.183480009231</v>
          </cell>
          <cell r="N24">
            <v>11731.393109446157</v>
          </cell>
          <cell r="O24">
            <v>12668.817656439664</v>
          </cell>
          <cell r="P24">
            <v>13678.600039257608</v>
          </cell>
          <cell r="Q24">
            <v>13962.048342066486</v>
          </cell>
          <cell r="R24">
            <v>14196.400446328164</v>
          </cell>
          <cell r="S24">
            <v>14525.64107846693</v>
          </cell>
          <cell r="T24">
            <v>15127.047649647891</v>
          </cell>
          <cell r="U24">
            <v>15637.15430837092</v>
          </cell>
          <cell r="V24">
            <v>16335.828202439876</v>
          </cell>
          <cell r="W24">
            <v>15872.164959596792</v>
          </cell>
          <cell r="X24">
            <v>15701.217828025843</v>
          </cell>
          <cell r="Y24">
            <v>15771.016188033173</v>
          </cell>
          <cell r="Z24">
            <v>15823.001248398006</v>
          </cell>
          <cell r="AA24">
            <v>15806.452834784845</v>
          </cell>
        </row>
        <row r="27">
          <cell r="H27">
            <v>9.0545582263443745</v>
          </cell>
          <cell r="I27">
            <v>15.755986734374996</v>
          </cell>
          <cell r="J27">
            <v>16.149886402734371</v>
          </cell>
          <cell r="K27">
            <v>16.553633562802727</v>
          </cell>
          <cell r="L27">
            <v>16.967474401872796</v>
          </cell>
          <cell r="M27">
            <v>17.391661261919616</v>
          </cell>
          <cell r="N27">
            <v>17.826452793467602</v>
          </cell>
          <cell r="O27">
            <v>18.272114113304291</v>
          </cell>
          <cell r="P27">
            <v>18.7289169661369</v>
          </cell>
          <cell r="Q27">
            <v>19.19713989029032</v>
          </cell>
          <cell r="R27">
            <v>19.677068387547578</v>
          </cell>
          <cell r="S27">
            <v>20.168995097236266</v>
          </cell>
          <cell r="T27">
            <v>20.673219974667173</v>
          </cell>
          <cell r="U27">
            <v>21.190050474033853</v>
          </cell>
          <cell r="V27">
            <v>21.719801735884701</v>
          </cell>
          <cell r="W27">
            <v>22.262796779281814</v>
          </cell>
          <cell r="X27">
            <v>22.819366698763858</v>
          </cell>
          <cell r="Y27">
            <v>23.389850866232955</v>
          </cell>
          <cell r="Z27">
            <v>23.974597137888775</v>
          </cell>
          <cell r="AA27">
            <v>24.573962066335994</v>
          </cell>
        </row>
        <row r="28">
          <cell r="H28">
            <v>41.92970292594562</v>
          </cell>
          <cell r="I28">
            <v>72.520012621265607</v>
          </cell>
          <cell r="J28">
            <v>74.333012936797246</v>
          </cell>
          <cell r="K28">
            <v>76.191338260217165</v>
          </cell>
          <cell r="L28">
            <v>78.096121716722593</v>
          </cell>
          <cell r="M28">
            <v>331.11440884916482</v>
          </cell>
          <cell r="N28">
            <v>339.39226907039392</v>
          </cell>
          <cell r="O28">
            <v>347.87707579715374</v>
          </cell>
          <cell r="P28">
            <v>356.57400269208256</v>
          </cell>
          <cell r="Q28">
            <v>365.48835275938461</v>
          </cell>
          <cell r="R28">
            <v>374.62556157836923</v>
          </cell>
          <cell r="S28">
            <v>383.99120061782838</v>
          </cell>
          <cell r="T28">
            <v>393.59098063327411</v>
          </cell>
          <cell r="U28">
            <v>403.43075514910595</v>
          </cell>
          <cell r="V28">
            <v>413.51652402783361</v>
          </cell>
          <cell r="W28">
            <v>423.85443712852941</v>
          </cell>
          <cell r="X28">
            <v>434.45079805674266</v>
          </cell>
          <cell r="Y28">
            <v>445.31206800816119</v>
          </cell>
          <cell r="Z28">
            <v>456.44486970836516</v>
          </cell>
          <cell r="AA28">
            <v>467.85599145107426</v>
          </cell>
        </row>
        <row r="35">
          <cell r="H35">
            <v>111.3950161125</v>
          </cell>
          <cell r="I35">
            <v>193.84031249999998</v>
          </cell>
          <cell r="J35">
            <v>198.68632031249996</v>
          </cell>
          <cell r="K35">
            <v>203.65347832031244</v>
          </cell>
          <cell r="L35">
            <v>208.74481527832023</v>
          </cell>
          <cell r="M35">
            <v>213.96343566027824</v>
          </cell>
          <cell r="N35">
            <v>219.31252155178518</v>
          </cell>
          <cell r="O35">
            <v>224.79533459057978</v>
          </cell>
          <cell r="P35">
            <v>230.41521795534427</v>
          </cell>
          <cell r="Q35">
            <v>236.17559840422788</v>
          </cell>
          <cell r="R35">
            <v>242.07998836433356</v>
          </cell>
          <cell r="S35">
            <v>248.13198807344187</v>
          </cell>
          <cell r="T35">
            <v>254.33528777527789</v>
          </cell>
          <cell r="U35">
            <v>260.69366996965988</v>
          </cell>
          <cell r="V35">
            <v>267.21101171890137</v>
          </cell>
          <cell r="W35">
            <v>273.89128701187389</v>
          </cell>
          <cell r="X35">
            <v>280.7385691871707</v>
          </cell>
          <cell r="Y35">
            <v>287.75703341684999</v>
          </cell>
          <cell r="Z35">
            <v>294.95095925227122</v>
          </cell>
          <cell r="AA35">
            <v>302.32473323357794</v>
          </cell>
        </row>
        <row r="36">
          <cell r="H36">
            <v>162.21904608</v>
          </cell>
          <cell r="I36">
            <v>162.21904608</v>
          </cell>
          <cell r="J36">
            <v>162.21904608</v>
          </cell>
          <cell r="K36">
            <v>162.21904608</v>
          </cell>
          <cell r="L36">
            <v>162.21904608</v>
          </cell>
          <cell r="M36">
            <v>162.21904608</v>
          </cell>
          <cell r="N36">
            <v>162.21904608</v>
          </cell>
          <cell r="O36">
            <v>162.21904608</v>
          </cell>
          <cell r="P36">
            <v>162.21904608</v>
          </cell>
          <cell r="Q36">
            <v>178.44095068800002</v>
          </cell>
          <cell r="R36">
            <v>178.44095068800002</v>
          </cell>
          <cell r="S36">
            <v>178.44095068800002</v>
          </cell>
          <cell r="T36">
            <v>178.44095068800002</v>
          </cell>
          <cell r="U36">
            <v>178.44095068800002</v>
          </cell>
          <cell r="V36">
            <v>178.44095068800002</v>
          </cell>
          <cell r="W36">
            <v>178.44095068800002</v>
          </cell>
          <cell r="X36">
            <v>178.44095068800002</v>
          </cell>
          <cell r="Y36">
            <v>178.44095068800002</v>
          </cell>
          <cell r="Z36">
            <v>178.44095068800002</v>
          </cell>
          <cell r="AA36">
            <v>178.44095068800002</v>
          </cell>
        </row>
        <row r="38">
          <cell r="H38">
            <v>9.282918009374999</v>
          </cell>
          <cell r="I38">
            <v>16.153359374999997</v>
          </cell>
          <cell r="J38">
            <v>16.557193359374995</v>
          </cell>
          <cell r="K38">
            <v>16.971123193359368</v>
          </cell>
          <cell r="L38">
            <v>17.395401273193354</v>
          </cell>
          <cell r="M38">
            <v>17.830286305023186</v>
          </cell>
          <cell r="N38">
            <v>18.276043462648765</v>
          </cell>
          <cell r="O38">
            <v>18.732944549214981</v>
          </cell>
          <cell r="P38">
            <v>19.201268162945357</v>
          </cell>
          <cell r="Q38">
            <v>19.681299867018989</v>
          </cell>
          <cell r="R38">
            <v>20.173332363694463</v>
          </cell>
          <cell r="S38">
            <v>20.677665672786823</v>
          </cell>
          <cell r="T38">
            <v>21.194607314606493</v>
          </cell>
          <cell r="U38">
            <v>21.724472497471659</v>
          </cell>
          <cell r="V38">
            <v>22.267584309908447</v>
          </cell>
          <cell r="W38">
            <v>22.824273917656154</v>
          </cell>
          <cell r="X38">
            <v>23.394880765597559</v>
          </cell>
          <cell r="Y38">
            <v>23.979752784737499</v>
          </cell>
          <cell r="Z38">
            <v>24.579246604355934</v>
          </cell>
          <cell r="AA38">
            <v>25.193727769464829</v>
          </cell>
        </row>
        <row r="39">
          <cell r="H39">
            <v>47.850348032325002</v>
          </cell>
          <cell r="I39">
            <v>83.265183124999993</v>
          </cell>
          <cell r="J39">
            <v>79.827748249999985</v>
          </cell>
          <cell r="K39">
            <v>76.166400891796854</v>
          </cell>
          <cell r="L39">
            <v>72.272093823027319</v>
          </cell>
          <cell r="M39">
            <v>68.135467400261945</v>
          </cell>
          <cell r="N39">
            <v>63.746839597718889</v>
          </cell>
          <cell r="O39">
            <v>59.09619573792353</v>
          </cell>
          <cell r="P39">
            <v>54.173177910389839</v>
          </cell>
          <cell r="Q39">
            <v>48.967074069143244</v>
          </cell>
          <cell r="R39">
            <v>50.191250920871823</v>
          </cell>
          <cell r="S39">
            <v>51.446032193893615</v>
          </cell>
          <cell r="T39">
            <v>52.732182998740953</v>
          </cell>
          <cell r="U39">
            <v>54.050487573709482</v>
          </cell>
          <cell r="V39">
            <v>55.401749763052216</v>
          </cell>
          <cell r="W39">
            <v>56.786793507128515</v>
          </cell>
          <cell r="X39">
            <v>58.206463344806728</v>
          </cell>
          <cell r="Y39">
            <v>59.661624928426896</v>
          </cell>
          <cell r="Z39">
            <v>61.153165551637557</v>
          </cell>
          <cell r="AA39">
            <v>62.681994690428496</v>
          </cell>
        </row>
        <row r="40">
          <cell r="H40">
            <v>15.471530015625</v>
          </cell>
          <cell r="I40">
            <v>26.922265624999998</v>
          </cell>
          <cell r="J40">
            <v>27.595322265624993</v>
          </cell>
          <cell r="K40">
            <v>28.285205322265618</v>
          </cell>
          <cell r="L40">
            <v>28.992335455322255</v>
          </cell>
          <cell r="M40">
            <v>178.30286305023188</v>
          </cell>
          <cell r="N40">
            <v>182.76043462648767</v>
          </cell>
          <cell r="O40">
            <v>187.3294454921498</v>
          </cell>
          <cell r="P40">
            <v>192.01268162945357</v>
          </cell>
          <cell r="Q40">
            <v>196.8129986701899</v>
          </cell>
          <cell r="R40">
            <v>201.73332363694462</v>
          </cell>
          <cell r="S40">
            <v>206.77665672786824</v>
          </cell>
          <cell r="T40">
            <v>211.94607314606492</v>
          </cell>
          <cell r="U40">
            <v>217.24472497471658</v>
          </cell>
          <cell r="V40">
            <v>222.67584309908446</v>
          </cell>
          <cell r="W40">
            <v>228.24273917656154</v>
          </cell>
          <cell r="X40">
            <v>233.9488076559756</v>
          </cell>
          <cell r="Y40">
            <v>239.79752784737499</v>
          </cell>
          <cell r="Z40">
            <v>245.79246604355933</v>
          </cell>
          <cell r="AA40">
            <v>251.93727769464829</v>
          </cell>
        </row>
        <row r="41">
          <cell r="H41">
            <v>15.471530015625</v>
          </cell>
          <cell r="I41">
            <v>26.922265624999998</v>
          </cell>
          <cell r="J41">
            <v>27.595322265624993</v>
          </cell>
          <cell r="K41">
            <v>28.285205322265618</v>
          </cell>
          <cell r="L41">
            <v>28.992335455322255</v>
          </cell>
          <cell r="M41">
            <v>29.717143841705312</v>
          </cell>
          <cell r="N41">
            <v>30.460072437747943</v>
          </cell>
          <cell r="O41">
            <v>31.221574248691635</v>
          </cell>
          <cell r="P41">
            <v>32.002113604908928</v>
          </cell>
          <cell r="Q41">
            <v>32.802166445031652</v>
          </cell>
          <cell r="R41">
            <v>33.622220606157441</v>
          </cell>
          <cell r="S41">
            <v>34.462776121311371</v>
          </cell>
          <cell r="T41">
            <v>35.324345524344153</v>
          </cell>
          <cell r="U41">
            <v>36.207454162452763</v>
          </cell>
          <cell r="V41">
            <v>37.112640516514077</v>
          </cell>
          <cell r="W41">
            <v>38.040456529426926</v>
          </cell>
          <cell r="X41">
            <v>38.991467942662602</v>
          </cell>
          <cell r="Y41">
            <v>39.966254641229163</v>
          </cell>
          <cell r="Z41">
            <v>40.965411007259888</v>
          </cell>
          <cell r="AA41">
            <v>41.989546282441381</v>
          </cell>
        </row>
        <row r="57">
          <cell r="H57">
            <v>9.710903089750337</v>
          </cell>
          <cell r="I57">
            <v>10.250702854447871</v>
          </cell>
          <cell r="J57">
            <v>10.410361603532095</v>
          </cell>
          <cell r="K57">
            <v>10.423756318046001</v>
          </cell>
          <cell r="L57">
            <v>10.790442419915458</v>
          </cell>
          <cell r="M57">
            <v>2.565834990086044</v>
          </cell>
          <cell r="N57">
            <v>3.2019217627865846</v>
          </cell>
          <cell r="O57">
            <v>3.2410876945128488</v>
          </cell>
          <cell r="P57">
            <v>2.7036150072431853</v>
          </cell>
          <cell r="Q57">
            <v>2.7726365966740065</v>
          </cell>
          <cell r="R57">
            <v>2.9770499521728566</v>
          </cell>
          <cell r="S57">
            <v>3.0366673915591784</v>
          </cell>
          <cell r="T57">
            <v>2.9515252669301573</v>
          </cell>
          <cell r="U57">
            <v>3.0141608391854104</v>
          </cell>
          <cell r="V57">
            <v>3.6758623007470468</v>
          </cell>
          <cell r="W57">
            <v>3.7416687988477224</v>
          </cell>
          <cell r="X57">
            <v>3.2116204594009146</v>
          </cell>
          <cell r="Y57">
            <v>3.2807584114679389</v>
          </cell>
          <cell r="Z57">
            <v>3.4978748123366366</v>
          </cell>
          <cell r="AA57">
            <v>3.5705128732270524</v>
          </cell>
        </row>
      </sheetData>
      <sheetData sheetId="11" refreshError="1"/>
      <sheetData sheetId="12" refreshError="1"/>
      <sheetData sheetId="13" refreshError="1"/>
      <sheetData sheetId="14">
        <row r="107">
          <cell r="H107">
            <v>0</v>
          </cell>
          <cell r="I107">
            <v>-4.5474735088646412E-13</v>
          </cell>
          <cell r="J107">
            <v>0</v>
          </cell>
          <cell r="K107">
            <v>117.00000000000091</v>
          </cell>
          <cell r="L107">
            <v>327.03354393603513</v>
          </cell>
          <cell r="M107">
            <v>4.5474735088646412E-13</v>
          </cell>
          <cell r="N107">
            <v>-4.5474735088646412E-13</v>
          </cell>
          <cell r="O107">
            <v>478</v>
          </cell>
          <cell r="P107">
            <v>2881.8226332555341</v>
          </cell>
          <cell r="Q107">
            <v>0</v>
          </cell>
          <cell r="R107">
            <v>0</v>
          </cell>
          <cell r="S107">
            <v>117</v>
          </cell>
          <cell r="T107">
            <v>360.98384146337276</v>
          </cell>
          <cell r="U107">
            <v>0</v>
          </cell>
          <cell r="V107">
            <v>0</v>
          </cell>
          <cell r="W107">
            <v>478</v>
          </cell>
          <cell r="X107">
            <v>3465.5616707438512</v>
          </cell>
          <cell r="Y107">
            <v>0</v>
          </cell>
          <cell r="Z107">
            <v>0</v>
          </cell>
          <cell r="AA107">
            <v>117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ASSUME"/>
      <sheetName val="MODEL STATUS"/>
      <sheetName val="SUMMARY"/>
      <sheetName val="ASSUME 2"/>
      <sheetName val="SOURCES"/>
      <sheetName val="GAAP FINANCIALS"/>
      <sheetName val="TAXABLE INCOME"/>
      <sheetName val="NOLS"/>
      <sheetName val="RETURNS"/>
      <sheetName val="BALANCES"/>
      <sheetName val="Sheet1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1997Tax"/>
      <sheetName val="State Tax97"/>
      <sheetName val="Template"/>
      <sheetName val="FERC 1"/>
      <sheetName val="FERC Analysis"/>
      <sheetName val="FERC Summary"/>
      <sheetName val="Module1"/>
      <sheetName val="Module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>
        <row r="13">
          <cell r="F13">
            <v>3813138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112000</v>
          </cell>
          <cell r="G17">
            <v>114464</v>
          </cell>
          <cell r="H17">
            <v>117211.136</v>
          </cell>
          <cell r="I17">
            <v>120024.203264</v>
          </cell>
          <cell r="J17">
            <v>122784.75993907198</v>
          </cell>
          <cell r="K17">
            <v>125731.59417760972</v>
          </cell>
          <cell r="L17">
            <v>128749.15243787236</v>
          </cell>
          <cell r="M17">
            <v>131839.13209638131</v>
          </cell>
          <cell r="N17">
            <v>135003.27126669447</v>
          </cell>
          <cell r="O17">
            <v>138243.34977709514</v>
          </cell>
          <cell r="P17">
            <v>141561.19017174543</v>
          </cell>
          <cell r="Q17">
            <v>144958.65873586733</v>
          </cell>
          <cell r="R17">
            <v>148437.66654552813</v>
          </cell>
          <cell r="S17">
            <v>152000.17054262082</v>
          </cell>
          <cell r="T17">
            <v>155648.17463564372</v>
          </cell>
          <cell r="U17">
            <v>159539.37900153481</v>
          </cell>
          <cell r="V17">
            <v>163527.86347657317</v>
          </cell>
          <cell r="W17">
            <v>167616.06006348747</v>
          </cell>
          <cell r="X17">
            <v>171806.46156507466</v>
          </cell>
          <cell r="Y17">
            <v>176101.62310420151</v>
          </cell>
          <cell r="Z17">
            <v>180504.16368180653</v>
          </cell>
        </row>
        <row r="18">
          <cell r="F18">
            <v>62025</v>
          </cell>
          <cell r="G18">
            <v>63389.55</v>
          </cell>
          <cell r="H18">
            <v>64910.899200000007</v>
          </cell>
          <cell r="I18">
            <v>66468.760780800003</v>
          </cell>
          <cell r="J18">
            <v>67997.542278758396</v>
          </cell>
          <cell r="K18">
            <v>69629.483293448604</v>
          </cell>
          <cell r="L18">
            <v>71300.590892491367</v>
          </cell>
          <cell r="M18">
            <v>73011.805073911164</v>
          </cell>
          <cell r="N18">
            <v>74764.08839568503</v>
          </cell>
          <cell r="O18">
            <v>76558.426517181477</v>
          </cell>
          <cell r="P18">
            <v>78395.828753593829</v>
          </cell>
          <cell r="Q18">
            <v>80277.328643680084</v>
          </cell>
          <cell r="R18">
            <v>82203.984531128415</v>
          </cell>
          <cell r="S18">
            <v>84176.880159875494</v>
          </cell>
          <cell r="T18">
            <v>86197.125283712507</v>
          </cell>
          <cell r="U18">
            <v>88352.053415805305</v>
          </cell>
          <cell r="V18">
            <v>90560.85475120043</v>
          </cell>
          <cell r="W18">
            <v>92824.876119980428</v>
          </cell>
          <cell r="X18">
            <v>95145.498022979926</v>
          </cell>
          <cell r="Y18">
            <v>97524.135473554416</v>
          </cell>
          <cell r="Z18">
            <v>99962.238860393263</v>
          </cell>
        </row>
        <row r="19">
          <cell r="F19">
            <v>170000</v>
          </cell>
          <cell r="G19">
            <v>173740</v>
          </cell>
          <cell r="H19">
            <v>177909.76000000001</v>
          </cell>
          <cell r="I19">
            <v>182179.59424000001</v>
          </cell>
          <cell r="J19">
            <v>186369.72490751999</v>
          </cell>
          <cell r="K19">
            <v>190842.59830530049</v>
          </cell>
          <cell r="L19">
            <v>195422.82066462771</v>
          </cell>
          <cell r="M19">
            <v>200112.96836057879</v>
          </cell>
          <cell r="N19">
            <v>204915.6796012327</v>
          </cell>
          <cell r="O19">
            <v>209833.6559116623</v>
          </cell>
          <cell r="P19">
            <v>214869.6636535422</v>
          </cell>
          <cell r="Q19">
            <v>220026.53558122722</v>
          </cell>
          <cell r="R19">
            <v>225307.17243517668</v>
          </cell>
          <cell r="S19">
            <v>230714.54457362092</v>
          </cell>
          <cell r="T19">
            <v>236251.69364338784</v>
          </cell>
          <cell r="U19">
            <v>242157.98598447253</v>
          </cell>
          <cell r="V19">
            <v>248211.93563408431</v>
          </cell>
          <cell r="W19">
            <v>254417.23402493639</v>
          </cell>
          <cell r="X19">
            <v>260777.66487555977</v>
          </cell>
          <cell r="Y19">
            <v>267297.10649744875</v>
          </cell>
          <cell r="Z19">
            <v>273979.53415988496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4">
          <cell r="F24">
            <v>78796.58</v>
          </cell>
          <cell r="G24">
            <v>80530.104760000002</v>
          </cell>
          <cell r="H24">
            <v>82462.82727424</v>
          </cell>
          <cell r="I24">
            <v>84441.935128821759</v>
          </cell>
          <cell r="J24">
            <v>86384.099636784653</v>
          </cell>
          <cell r="K24">
            <v>88457.318028067486</v>
          </cell>
          <cell r="L24">
            <v>90580.29366074111</v>
          </cell>
          <cell r="M24">
            <v>92754.220708598892</v>
          </cell>
          <cell r="N24">
            <v>94980.322005605267</v>
          </cell>
          <cell r="O24">
            <v>97259.8497337398</v>
          </cell>
          <cell r="P24">
            <v>99594.086127349554</v>
          </cell>
          <cell r="Q24">
            <v>101984.34419440595</v>
          </cell>
          <cell r="R24">
            <v>104431.96845507169</v>
          </cell>
          <cell r="S24">
            <v>106938.33569799342</v>
          </cell>
          <cell r="T24">
            <v>109504.85575474527</v>
          </cell>
          <cell r="U24">
            <v>112242.47714861389</v>
          </cell>
          <cell r="V24">
            <v>115048.53907732923</v>
          </cell>
          <cell r="W24">
            <v>117924.75255426245</v>
          </cell>
          <cell r="X24">
            <v>120872.871368119</v>
          </cell>
          <cell r="Y24">
            <v>123894.69315232197</v>
          </cell>
          <cell r="Z24">
            <v>126992.06048113</v>
          </cell>
        </row>
        <row r="25">
          <cell r="F25">
            <v>1470798</v>
          </cell>
          <cell r="G25">
            <v>1476755.5559999999</v>
          </cell>
          <cell r="H25">
            <v>1483397.6893439998</v>
          </cell>
          <cell r="I25">
            <v>1490199.2338882559</v>
          </cell>
          <cell r="J25">
            <v>1496873.8162676857</v>
          </cell>
          <cell r="K25">
            <v>1532798.7878581102</v>
          </cell>
          <cell r="L25">
            <v>1569585.9587667049</v>
          </cell>
          <cell r="M25">
            <v>1607256.0217771058</v>
          </cell>
          <cell r="N25">
            <v>1645830.1662997564</v>
          </cell>
          <cell r="O25">
            <v>1685330.0902909506</v>
          </cell>
          <cell r="P25">
            <v>1725778.0124579335</v>
          </cell>
          <cell r="Q25">
            <v>1767196.6847569239</v>
          </cell>
          <cell r="R25">
            <v>1809609.4051910902</v>
          </cell>
          <cell r="S25">
            <v>1853040.0309156764</v>
          </cell>
          <cell r="T25">
            <v>1897512.9916576527</v>
          </cell>
          <cell r="U25">
            <v>1944950.8164490939</v>
          </cell>
          <cell r="V25">
            <v>1993574.586860321</v>
          </cell>
          <cell r="W25">
            <v>2043413.9515318288</v>
          </cell>
          <cell r="X25">
            <v>2094499.3003201245</v>
          </cell>
          <cell r="Y25">
            <v>2146861.7828281275</v>
          </cell>
          <cell r="Z25">
            <v>2200533.3273988306</v>
          </cell>
        </row>
        <row r="31">
          <cell r="G31">
            <v>-4995915.5803425005</v>
          </cell>
          <cell r="H31">
            <v>-4853698.5236849999</v>
          </cell>
          <cell r="I31">
            <v>-4711338.1003425</v>
          </cell>
          <cell r="J31">
            <v>-4548712.3110000007</v>
          </cell>
          <cell r="K31">
            <v>-4367940.9345000004</v>
          </cell>
          <cell r="L31">
            <v>-4208368.9633425009</v>
          </cell>
          <cell r="M31">
            <v>-4003990.5913425004</v>
          </cell>
          <cell r="N31">
            <v>-3774459.9896850004</v>
          </cell>
          <cell r="O31">
            <v>-3536809.2283425005</v>
          </cell>
          <cell r="P31">
            <v>-3283132.6586850001</v>
          </cell>
          <cell r="Q31">
            <v>-3009981.3956850003</v>
          </cell>
          <cell r="R31">
            <v>-2717498.8060275004</v>
          </cell>
          <cell r="S31">
            <v>-2435436.7106850008</v>
          </cell>
          <cell r="T31">
            <v>-2099585.1598425009</v>
          </cell>
          <cell r="U31">
            <v>-1740557.791500001</v>
          </cell>
          <cell r="V31">
            <v>-1354509.5758425009</v>
          </cell>
          <cell r="W31">
            <v>-937524.33868500101</v>
          </cell>
          <cell r="X31">
            <v>-486835.53418500099</v>
          </cell>
          <cell r="Y31">
            <v>0</v>
          </cell>
          <cell r="Z31">
            <v>0</v>
          </cell>
        </row>
        <row r="32">
          <cell r="G32">
            <v>-97942.996198110399</v>
          </cell>
          <cell r="H32">
            <v>-95154.885707549009</v>
          </cell>
          <cell r="I32">
            <v>-92363.96456847724</v>
          </cell>
          <cell r="J32">
            <v>-89175.748752749801</v>
          </cell>
          <cell r="K32">
            <v>-85631.79570619874</v>
          </cell>
          <cell r="L32">
            <v>-82503.448817012017</v>
          </cell>
          <cell r="M32">
            <v>-78496.689737548208</v>
          </cell>
          <cell r="N32">
            <v>-73996.830906076648</v>
          </cell>
          <cell r="O32">
            <v>-69337.779478900455</v>
          </cell>
          <cell r="P32">
            <v>-64364.54826673276</v>
          </cell>
          <cell r="Q32">
            <v>-59009.523210107611</v>
          </cell>
          <cell r="R32">
            <v>-53275.514957535393</v>
          </cell>
          <cell r="S32">
            <v>-47745.796473007365</v>
          </cell>
          <cell r="T32">
            <v>-41161.55647969641</v>
          </cell>
          <cell r="U32">
            <v>-34122.963531699403</v>
          </cell>
          <cell r="V32">
            <v>-26554.637303929627</v>
          </cell>
          <cell r="W32">
            <v>-18379.802713392914</v>
          </cell>
          <cell r="X32">
            <v>-9544.2226969170879</v>
          </cell>
          <cell r="Y32">
            <v>0</v>
          </cell>
          <cell r="Z32">
            <v>0</v>
          </cell>
        </row>
        <row r="35">
          <cell r="F35">
            <v>144340.53759892413</v>
          </cell>
          <cell r="G35">
            <v>314116.70441112499</v>
          </cell>
          <cell r="H35">
            <v>315198.7658000185</v>
          </cell>
          <cell r="I35">
            <v>317394.85818545101</v>
          </cell>
          <cell r="J35">
            <v>315943.09913239127</v>
          </cell>
          <cell r="K35">
            <v>312726.74912193127</v>
          </cell>
          <cell r="L35">
            <v>325088.30441105203</v>
          </cell>
          <cell r="M35">
            <v>330611.25719447434</v>
          </cell>
          <cell r="N35">
            <v>328308.2043689682</v>
          </cell>
          <cell r="O35">
            <v>325989.22659318044</v>
          </cell>
          <cell r="P35">
            <v>325774.3561154058</v>
          </cell>
          <cell r="Q35">
            <v>325024.52072772704</v>
          </cell>
          <cell r="R35">
            <v>323310.2959112135</v>
          </cell>
          <cell r="S35">
            <v>320792.03324500914</v>
          </cell>
          <cell r="T35">
            <v>317943.5943382213</v>
          </cell>
          <cell r="U35">
            <v>314710.56664867682</v>
          </cell>
          <cell r="V35">
            <v>309498.04190667963</v>
          </cell>
          <cell r="W35">
            <v>303415.27199016849</v>
          </cell>
          <cell r="X35">
            <v>296991.91299768205</v>
          </cell>
          <cell r="Y35">
            <v>302570.88675949909</v>
          </cell>
          <cell r="Z35">
            <v>305095.66196973657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5522404.7616824387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15466891.959999999</v>
          </cell>
          <cell r="G187">
            <v>15485000</v>
          </cell>
          <cell r="H187">
            <v>15485000</v>
          </cell>
          <cell r="I187">
            <v>15485000</v>
          </cell>
          <cell r="J187">
            <v>15485000</v>
          </cell>
          <cell r="K187">
            <v>15465019.700121254</v>
          </cell>
          <cell r="L187">
            <v>15485175.99410883</v>
          </cell>
          <cell r="M187">
            <v>15485175.99410883</v>
          </cell>
          <cell r="N187">
            <v>15485175.99410883</v>
          </cell>
          <cell r="O187">
            <v>15485175.99410883</v>
          </cell>
          <cell r="P187">
            <v>15485175.99410883</v>
          </cell>
          <cell r="Q187">
            <v>15485175.99410883</v>
          </cell>
          <cell r="R187">
            <v>15465019.700121254</v>
          </cell>
          <cell r="S187">
            <v>15485175.99410883</v>
          </cell>
          <cell r="T187">
            <v>15485175.99410883</v>
          </cell>
          <cell r="U187">
            <v>15485175.99410883</v>
          </cell>
          <cell r="V187">
            <v>15485175.99410883</v>
          </cell>
          <cell r="W187">
            <v>15485175.99410883</v>
          </cell>
          <cell r="X187">
            <v>15485175.99410883</v>
          </cell>
          <cell r="Y187">
            <v>15465019.700121254</v>
          </cell>
          <cell r="Z187">
            <v>15485175.99410883</v>
          </cell>
        </row>
        <row r="193">
          <cell r="F193">
            <v>1299727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2867292.086768555</v>
          </cell>
          <cell r="H13">
            <v>2733208.0034304373</v>
          </cell>
          <cell r="I13">
            <v>2585715.5117585072</v>
          </cell>
          <cell r="J13">
            <v>2423473.770919384</v>
          </cell>
          <cell r="K13">
            <v>2245007.8559963489</v>
          </cell>
          <cell r="L13">
            <v>2048695.3495810099</v>
          </cell>
          <cell r="M13">
            <v>1832751.5925241373</v>
          </cell>
          <cell r="N13">
            <v>1595213.4597615777</v>
          </cell>
          <cell r="O13">
            <v>1333921.5137227618</v>
          </cell>
          <cell r="P13">
            <v>1046500.3730800644</v>
          </cell>
          <cell r="Q13">
            <v>730337.11837309727</v>
          </cell>
          <cell r="R13">
            <v>382557.53819543333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5">
          <cell r="F15">
            <v>28672920.867685549</v>
          </cell>
        </row>
      </sheetData>
      <sheetData sheetId="18">
        <row r="26">
          <cell r="G26">
            <v>6856177.9303425001</v>
          </cell>
          <cell r="H26">
            <v>6715836.1736850003</v>
          </cell>
          <cell r="I26">
            <v>6838555.7503424995</v>
          </cell>
          <cell r="J26">
            <v>6913282.3110000007</v>
          </cell>
          <cell r="K26">
            <v>6455213.284500001</v>
          </cell>
          <cell r="L26">
            <v>6881728.9633425009</v>
          </cell>
          <cell r="M26">
            <v>7006352.941342501</v>
          </cell>
          <cell r="N26">
            <v>6883037.6396850003</v>
          </cell>
          <cell r="O26">
            <v>6855011.5783425011</v>
          </cell>
          <cell r="P26">
            <v>6856072.6586850006</v>
          </cell>
          <cell r="Q26">
            <v>6835783.745685</v>
          </cell>
          <cell r="R26">
            <v>6406996.4560275003</v>
          </cell>
          <cell r="S26">
            <v>6828524.3606850011</v>
          </cell>
          <cell r="T26">
            <v>6795822.8098425008</v>
          </cell>
          <cell r="U26">
            <v>6790240.1415000018</v>
          </cell>
          <cell r="V26">
            <v>6808861.9258425003</v>
          </cell>
          <cell r="W26">
            <v>6832734.3386850012</v>
          </cell>
          <cell r="X26">
            <v>6854860.8841850003</v>
          </cell>
          <cell r="Y26">
            <v>0</v>
          </cell>
          <cell r="Z26">
            <v>0</v>
          </cell>
        </row>
        <row r="51">
          <cell r="F51">
            <v>65348797.650000013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cenarios"/>
      <sheetName val="Summary"/>
      <sheetName val="FPLE Summary"/>
      <sheetName val="Sources"/>
      <sheetName val="Financials"/>
      <sheetName val="Operations Summary"/>
      <sheetName val="Tax Summary"/>
      <sheetName val="Debt Summary"/>
      <sheetName val="Bank Debt Summary"/>
      <sheetName val="Depreciation Summary"/>
      <sheetName val="Construction Cash Flows"/>
      <sheetName val="Economics Assumptions"/>
      <sheetName val="Operations Assumptions"/>
      <sheetName val="Energy Sales"/>
      <sheetName val="Capacity Sales"/>
      <sheetName val="Fuel Pricing"/>
      <sheetName val="Rev &amp; Fuel Price Assumptions"/>
      <sheetName val="Construction Financing Assump"/>
      <sheetName val="Term Debt Assumptions"/>
      <sheetName val="Cash Flow-Returns"/>
      <sheetName val="Partner Income"/>
      <sheetName val="Balances"/>
      <sheetName val="Margin"/>
      <sheetName val="Energy"/>
      <sheetName val="variance"/>
      <sheetName val="Uses"/>
      <sheetName val="Heat Rate analysis"/>
      <sheetName val="On BS Debt"/>
      <sheetName val="Margin Analysis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>
        <row r="12">
          <cell r="F12">
            <v>14435</v>
          </cell>
          <cell r="G12">
            <v>33420</v>
          </cell>
          <cell r="H12">
            <v>17200</v>
          </cell>
          <cell r="I12">
            <v>13650</v>
          </cell>
          <cell r="J12">
            <v>13650</v>
          </cell>
          <cell r="K12">
            <v>9100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5">
          <cell r="F15">
            <v>93615</v>
          </cell>
          <cell r="G15">
            <v>215590</v>
          </cell>
          <cell r="H15">
            <v>217295</v>
          </cell>
          <cell r="I15">
            <v>216735</v>
          </cell>
          <cell r="J15">
            <v>226170</v>
          </cell>
          <cell r="K15">
            <v>242140</v>
          </cell>
          <cell r="L15">
            <v>259280</v>
          </cell>
          <cell r="M15">
            <v>262970</v>
          </cell>
          <cell r="N15">
            <v>271855</v>
          </cell>
          <cell r="O15">
            <v>267830</v>
          </cell>
          <cell r="P15">
            <v>279220</v>
          </cell>
          <cell r="Q15">
            <v>276975</v>
          </cell>
          <cell r="R15">
            <v>280190</v>
          </cell>
          <cell r="S15">
            <v>290635</v>
          </cell>
          <cell r="T15">
            <v>322610</v>
          </cell>
          <cell r="U15">
            <v>301110</v>
          </cell>
          <cell r="V15">
            <v>309020</v>
          </cell>
          <cell r="W15">
            <v>322355</v>
          </cell>
          <cell r="X15">
            <v>315775</v>
          </cell>
          <cell r="Y15">
            <v>333280</v>
          </cell>
          <cell r="Z15">
            <v>323210</v>
          </cell>
        </row>
        <row r="20">
          <cell r="F20">
            <v>47890</v>
          </cell>
          <cell r="G20">
            <v>119450</v>
          </cell>
          <cell r="H20">
            <v>123540</v>
          </cell>
          <cell r="I20">
            <v>128305</v>
          </cell>
          <cell r="J20">
            <v>132555</v>
          </cell>
          <cell r="K20">
            <v>137900</v>
          </cell>
          <cell r="L20">
            <v>144195</v>
          </cell>
          <cell r="M20">
            <v>147040</v>
          </cell>
          <cell r="N20">
            <v>151620</v>
          </cell>
          <cell r="O20">
            <v>156160</v>
          </cell>
          <cell r="P20">
            <v>161930</v>
          </cell>
          <cell r="Q20">
            <v>159215</v>
          </cell>
          <cell r="R20">
            <v>164225</v>
          </cell>
          <cell r="S20">
            <v>170520</v>
          </cell>
          <cell r="T20">
            <v>176450</v>
          </cell>
          <cell r="U20">
            <v>177545</v>
          </cell>
          <cell r="V20">
            <v>182575</v>
          </cell>
          <cell r="W20">
            <v>184845</v>
          </cell>
          <cell r="X20">
            <v>190670</v>
          </cell>
          <cell r="Y20">
            <v>194670</v>
          </cell>
          <cell r="Z20">
            <v>193395</v>
          </cell>
        </row>
        <row r="23">
          <cell r="F23">
            <v>1355.9940918904113</v>
          </cell>
          <cell r="G23">
            <v>2801.6094676000002</v>
          </cell>
          <cell r="H23">
            <v>2902.2987577520007</v>
          </cell>
          <cell r="I23">
            <v>3006.7881177390404</v>
          </cell>
          <cell r="J23">
            <v>3115.2250003191016</v>
          </cell>
          <cell r="K23">
            <v>3227.7626653597749</v>
          </cell>
          <cell r="L23">
            <v>3344.5604103026335</v>
          </cell>
          <cell r="M23">
            <v>3465.7838098097754</v>
          </cell>
          <cell r="N23">
            <v>3591.6049649591041</v>
          </cell>
          <cell r="O23">
            <v>3722.2027623695449</v>
          </cell>
          <cell r="P23">
            <v>3857.7631436526444</v>
          </cell>
          <cell r="Q23">
            <v>3998.4793856028346</v>
          </cell>
          <cell r="R23">
            <v>4144.5523915551139</v>
          </cell>
          <cell r="S23">
            <v>4296.1909943560477</v>
          </cell>
          <cell r="T23">
            <v>4453.6122714117928</v>
          </cell>
          <cell r="U23">
            <v>4617.0418722953982</v>
          </cell>
          <cell r="V23">
            <v>4786.7143594148911</v>
          </cell>
          <cell r="W23">
            <v>4962.8735622637159</v>
          </cell>
          <cell r="X23">
            <v>5145.7729457959394</v>
          </cell>
          <cell r="Y23">
            <v>5335.6759934902857</v>
          </cell>
          <cell r="Z23">
            <v>5532.8566056896552</v>
          </cell>
        </row>
        <row r="25">
          <cell r="F25">
            <v>1283.6126975178083</v>
          </cell>
          <cell r="G25">
            <v>2611.4153403599998</v>
          </cell>
          <cell r="H25">
            <v>2663.6436471671996</v>
          </cell>
          <cell r="I25">
            <v>2716.9165201105438</v>
          </cell>
          <cell r="J25">
            <v>2771.2548505127552</v>
          </cell>
          <cell r="K25">
            <v>2826.67994752301</v>
          </cell>
          <cell r="L25">
            <v>2883.2135464734702</v>
          </cell>
          <cell r="M25">
            <v>2940.8778174029394</v>
          </cell>
          <cell r="N25">
            <v>2999.6953737509989</v>
          </cell>
          <cell r="O25">
            <v>3059.6892812260189</v>
          </cell>
          <cell r="P25">
            <v>3120.8830668505389</v>
          </cell>
          <cell r="Q25">
            <v>3183.3007281875498</v>
          </cell>
          <cell r="R25">
            <v>3246.9667427513014</v>
          </cell>
          <cell r="S25">
            <v>3311.906077606327</v>
          </cell>
          <cell r="T25">
            <v>3378.1441991584534</v>
          </cell>
          <cell r="U25">
            <v>3445.7070831416231</v>
          </cell>
          <cell r="V25">
            <v>3514.6212248044558</v>
          </cell>
          <cell r="W25">
            <v>3584.9136493005444</v>
          </cell>
          <cell r="X25">
            <v>3656.6119222865559</v>
          </cell>
          <cell r="Y25">
            <v>3729.7441607322871</v>
          </cell>
          <cell r="Z25">
            <v>3804.3390439469331</v>
          </cell>
        </row>
        <row r="26">
          <cell r="F26">
            <v>666.69787472986309</v>
          </cell>
          <cell r="G26">
            <v>1082.5138730159999</v>
          </cell>
          <cell r="H26">
            <v>1104.1641504763202</v>
          </cell>
          <cell r="I26">
            <v>1159.3698575818464</v>
          </cell>
          <cell r="J26">
            <v>1148.7723821555635</v>
          </cell>
          <cell r="K26">
            <v>1257.8992548723706</v>
          </cell>
          <cell r="L26">
            <v>1195.1827863946482</v>
          </cell>
          <cell r="M26">
            <v>1268.0852374360561</v>
          </cell>
          <cell r="N26">
            <v>1243.4681709649919</v>
          </cell>
          <cell r="O26">
            <v>1589.1281059501123</v>
          </cell>
          <cell r="P26">
            <v>1388.8224196641688</v>
          </cell>
          <cell r="Q26">
            <v>1358.3865696870309</v>
          </cell>
          <cell r="R26">
            <v>1345.9699381888856</v>
          </cell>
          <cell r="S26">
            <v>1372.8893369526634</v>
          </cell>
          <cell r="T26">
            <v>1400.3471236917167</v>
          </cell>
          <cell r="U26">
            <v>1590.7820707918725</v>
          </cell>
          <cell r="V26">
            <v>1456.9211474888621</v>
          </cell>
          <cell r="W26">
            <v>1486.0595704386394</v>
          </cell>
          <cell r="X26">
            <v>1515.7807618474126</v>
          </cell>
          <cell r="Y26">
            <v>1591.5663674012981</v>
          </cell>
          <cell r="Z26">
            <v>1577.0183046260481</v>
          </cell>
        </row>
        <row r="27">
          <cell r="F27">
            <v>676.26</v>
          </cell>
          <cell r="G27">
            <v>689.78519999999992</v>
          </cell>
          <cell r="H27">
            <v>703.58090400000003</v>
          </cell>
          <cell r="I27">
            <v>717.65252208000004</v>
          </cell>
          <cell r="J27">
            <v>732.00557252160002</v>
          </cell>
          <cell r="K27">
            <v>746.64568397203197</v>
          </cell>
          <cell r="L27">
            <v>761.57859765147271</v>
          </cell>
          <cell r="M27">
            <v>782.78563244761369</v>
          </cell>
          <cell r="N27">
            <v>792.34637299659221</v>
          </cell>
          <cell r="O27">
            <v>808.19330045652407</v>
          </cell>
          <cell r="P27">
            <v>824.35716646565459</v>
          </cell>
          <cell r="Q27">
            <v>840.84430979496756</v>
          </cell>
          <cell r="R27">
            <v>857.66119599086699</v>
          </cell>
          <cell r="S27">
            <v>874.81441991068448</v>
          </cell>
          <cell r="T27">
            <v>899.17463683435119</v>
          </cell>
          <cell r="U27">
            <v>910.15692247507616</v>
          </cell>
          <cell r="V27">
            <v>928.36006092457774</v>
          </cell>
          <cell r="W27">
            <v>946.92726214306924</v>
          </cell>
          <cell r="X27">
            <v>965.86580738593068</v>
          </cell>
          <cell r="Y27">
            <v>985.18312353364934</v>
          </cell>
          <cell r="Z27">
            <v>1012.6166843582018</v>
          </cell>
        </row>
        <row r="34">
          <cell r="F34">
            <v>546.00179458191781</v>
          </cell>
          <cell r="G34">
            <v>1110.8003722559997</v>
          </cell>
          <cell r="H34">
            <v>1133.0163797011198</v>
          </cell>
          <cell r="I34">
            <v>1155.6767072951425</v>
          </cell>
          <cell r="J34">
            <v>1178.7902414410455</v>
          </cell>
          <cell r="K34">
            <v>1202.366046269866</v>
          </cell>
          <cell r="L34">
            <v>1226.4133671952636</v>
          </cell>
          <cell r="M34">
            <v>1250.9416345391689</v>
          </cell>
          <cell r="N34">
            <v>1275.9604672299524</v>
          </cell>
          <cell r="O34">
            <v>1301.4796765745514</v>
          </cell>
          <cell r="P34">
            <v>1327.5092701060425</v>
          </cell>
          <cell r="Q34">
            <v>1354.059455508163</v>
          </cell>
          <cell r="R34">
            <v>1381.1406446183264</v>
          </cell>
          <cell r="S34">
            <v>1408.7634575106933</v>
          </cell>
          <cell r="T34">
            <v>1436.9387266609069</v>
          </cell>
          <cell r="U34">
            <v>1465.6775011941254</v>
          </cell>
          <cell r="V34">
            <v>1494.9910512180077</v>
          </cell>
          <cell r="W34">
            <v>1524.890872242368</v>
          </cell>
          <cell r="X34">
            <v>1555.3886896872154</v>
          </cell>
          <cell r="Y34">
            <v>1586.4964634809596</v>
          </cell>
          <cell r="Z34">
            <v>1618.2263927505792</v>
          </cell>
        </row>
        <row r="35">
          <cell r="F35">
            <v>2553.24066878953</v>
          </cell>
          <cell r="G35">
            <v>5009.3423966784758</v>
          </cell>
          <cell r="H35">
            <v>4708.1127329098435</v>
          </cell>
          <cell r="I35">
            <v>4517.1968868024414</v>
          </cell>
          <cell r="J35">
            <v>4191.644812831928</v>
          </cell>
          <cell r="K35">
            <v>4034.4202101584792</v>
          </cell>
          <cell r="L35">
            <v>6379.5724275726134</v>
          </cell>
          <cell r="M35">
            <v>5724.707996873417</v>
          </cell>
          <cell r="N35">
            <v>5142.8689380952092</v>
          </cell>
          <cell r="O35">
            <v>4372.6530144126491</v>
          </cell>
          <cell r="P35">
            <v>3879.4194484367745</v>
          </cell>
          <cell r="Q35">
            <v>3295.3594519632134</v>
          </cell>
          <cell r="R35">
            <v>3347.3515615560627</v>
          </cell>
          <cell r="S35">
            <v>3414.2985927871846</v>
          </cell>
          <cell r="T35">
            <v>3482.5845646429279</v>
          </cell>
          <cell r="U35">
            <v>3552.2362559357871</v>
          </cell>
          <cell r="V35">
            <v>3623.2809810545032</v>
          </cell>
          <cell r="W35">
            <v>3695.7466006755922</v>
          </cell>
          <cell r="X35">
            <v>3769.6615326891051</v>
          </cell>
          <cell r="Y35">
            <v>3845.0547633428869</v>
          </cell>
          <cell r="Z35">
            <v>3921.9558586097446</v>
          </cell>
        </row>
        <row r="36">
          <cell r="F36">
            <v>31.297512328767127</v>
          </cell>
          <cell r="G36">
            <v>63.672479999999993</v>
          </cell>
          <cell r="H36">
            <v>64.945929599999999</v>
          </cell>
          <cell r="I36">
            <v>66.244848192000006</v>
          </cell>
          <cell r="J36">
            <v>67.56974515584001</v>
          </cell>
          <cell r="K36">
            <v>68.921140058956809</v>
          </cell>
          <cell r="L36">
            <v>70.29956286013595</v>
          </cell>
          <cell r="M36">
            <v>71.705554117338664</v>
          </cell>
          <cell r="N36">
            <v>73.139665199685439</v>
          </cell>
          <cell r="O36">
            <v>74.602458503679145</v>
          </cell>
          <cell r="P36">
            <v>76.09450767375273</v>
          </cell>
          <cell r="Q36">
            <v>77.616397827227786</v>
          </cell>
          <cell r="R36">
            <v>79.168725783772345</v>
          </cell>
          <cell r="S36">
            <v>80.75210029944779</v>
          </cell>
          <cell r="T36">
            <v>82.367142305436744</v>
          </cell>
          <cell r="U36">
            <v>84.014485151545486</v>
          </cell>
          <cell r="V36">
            <v>85.694774854576409</v>
          </cell>
          <cell r="W36">
            <v>87.408670351667922</v>
          </cell>
          <cell r="X36">
            <v>89.156843758701299</v>
          </cell>
          <cell r="Y36">
            <v>90.939980633875322</v>
          </cell>
          <cell r="Z36">
            <v>92.758780246552831</v>
          </cell>
        </row>
        <row r="37">
          <cell r="F37">
            <v>7.8243780821917817</v>
          </cell>
          <cell r="G37">
            <v>15.918119999999998</v>
          </cell>
          <cell r="H37">
            <v>16.2364824</v>
          </cell>
          <cell r="I37">
            <v>16.561212048000002</v>
          </cell>
          <cell r="J37">
            <v>16.892436288960003</v>
          </cell>
          <cell r="K37">
            <v>17.230285014739202</v>
          </cell>
          <cell r="L37">
            <v>17.574890715033987</v>
          </cell>
          <cell r="M37">
            <v>17.926388529334666</v>
          </cell>
          <cell r="N37">
            <v>18.28491629992136</v>
          </cell>
          <cell r="O37">
            <v>18.650614625919786</v>
          </cell>
          <cell r="P37">
            <v>19.023626918438183</v>
          </cell>
          <cell r="Q37">
            <v>19.404099456806946</v>
          </cell>
          <cell r="R37">
            <v>19.792181445943086</v>
          </cell>
          <cell r="S37">
            <v>20.188025074861947</v>
          </cell>
          <cell r="T37">
            <v>20.591785576359186</v>
          </cell>
          <cell r="U37">
            <v>21.003621287886372</v>
          </cell>
          <cell r="V37">
            <v>21.423693713644102</v>
          </cell>
          <cell r="W37">
            <v>21.852167587916981</v>
          </cell>
          <cell r="X37">
            <v>22.289210939675325</v>
          </cell>
          <cell r="Y37">
            <v>22.734995158468831</v>
          </cell>
          <cell r="Z37">
            <v>23.189695061638208</v>
          </cell>
        </row>
        <row r="39">
          <cell r="F39">
            <v>307.40184044139056</v>
          </cell>
          <cell r="G39">
            <v>621.3730753931934</v>
          </cell>
          <cell r="H39">
            <v>1493.8970336428956</v>
          </cell>
          <cell r="I39">
            <v>1544.2960924416411</v>
          </cell>
          <cell r="J39">
            <v>1694.021078753357</v>
          </cell>
          <cell r="K39">
            <v>2235.341627884874</v>
          </cell>
          <cell r="L39">
            <v>2983.374400579567</v>
          </cell>
          <cell r="M39">
            <v>3034.2240489253159</v>
          </cell>
          <cell r="N39">
            <v>3176.6915365354071</v>
          </cell>
          <cell r="O39">
            <v>2931.8269308778022</v>
          </cell>
          <cell r="P39">
            <v>3108.067378010368</v>
          </cell>
          <cell r="Q39">
            <v>3061.3916694936925</v>
          </cell>
          <cell r="R39">
            <v>3049.702292789731</v>
          </cell>
          <cell r="S39">
            <v>3196.4454817077153</v>
          </cell>
          <cell r="T39">
            <v>3993.0650880043172</v>
          </cell>
          <cell r="U39">
            <v>3335.0343103223486</v>
          </cell>
          <cell r="V39">
            <v>3432.9257001980136</v>
          </cell>
          <cell r="W39">
            <v>3680.1291391960494</v>
          </cell>
          <cell r="X39">
            <v>3355.7673722441541</v>
          </cell>
          <cell r="Y39">
            <v>3792.4692126570067</v>
          </cell>
          <cell r="Z39">
            <v>3557.5859497777897</v>
          </cell>
        </row>
        <row r="40">
          <cell r="F40">
            <v>360</v>
          </cell>
          <cell r="G40">
            <v>720</v>
          </cell>
          <cell r="H40">
            <v>720</v>
          </cell>
          <cell r="I40">
            <v>720</v>
          </cell>
          <cell r="J40">
            <v>720</v>
          </cell>
          <cell r="K40">
            <v>720</v>
          </cell>
          <cell r="L40">
            <v>720</v>
          </cell>
          <cell r="M40">
            <v>720</v>
          </cell>
          <cell r="N40">
            <v>720</v>
          </cell>
          <cell r="O40">
            <v>720</v>
          </cell>
          <cell r="P40">
            <v>720</v>
          </cell>
          <cell r="Q40">
            <v>720</v>
          </cell>
          <cell r="R40">
            <v>720</v>
          </cell>
          <cell r="S40">
            <v>720</v>
          </cell>
          <cell r="T40">
            <v>720</v>
          </cell>
          <cell r="U40">
            <v>720</v>
          </cell>
          <cell r="V40">
            <v>720</v>
          </cell>
          <cell r="W40">
            <v>720</v>
          </cell>
          <cell r="X40">
            <v>720</v>
          </cell>
          <cell r="Y40">
            <v>720</v>
          </cell>
          <cell r="Z40">
            <v>720</v>
          </cell>
        </row>
        <row r="41">
          <cell r="F41">
            <v>78.243780821917809</v>
          </cell>
          <cell r="G41">
            <v>159.18119999999999</v>
          </cell>
          <cell r="H41">
            <v>162.364824</v>
          </cell>
          <cell r="I41">
            <v>165.61212048000002</v>
          </cell>
          <cell r="J41">
            <v>168.92436288960002</v>
          </cell>
          <cell r="K41">
            <v>172.30285014739201</v>
          </cell>
          <cell r="L41">
            <v>175.74890715033987</v>
          </cell>
          <cell r="M41">
            <v>179.26388529334665</v>
          </cell>
          <cell r="N41">
            <v>182.8491629992136</v>
          </cell>
          <cell r="O41">
            <v>186.50614625919786</v>
          </cell>
          <cell r="P41">
            <v>190.23626918438183</v>
          </cell>
          <cell r="Q41">
            <v>194.04099456806944</v>
          </cell>
          <cell r="R41">
            <v>197.92181445943086</v>
          </cell>
          <cell r="S41">
            <v>201.88025074861949</v>
          </cell>
          <cell r="T41">
            <v>205.91785576359186</v>
          </cell>
          <cell r="U41">
            <v>210.03621287886372</v>
          </cell>
          <cell r="V41">
            <v>214.23693713644101</v>
          </cell>
          <cell r="W41">
            <v>218.52167587916981</v>
          </cell>
          <cell r="X41">
            <v>222.89210939675323</v>
          </cell>
          <cell r="Y41">
            <v>227.34995158468831</v>
          </cell>
          <cell r="Z41">
            <v>231.8969506163821</v>
          </cell>
        </row>
        <row r="54">
          <cell r="F54">
            <v>0</v>
          </cell>
          <cell r="G54">
            <v>545</v>
          </cell>
          <cell r="H54">
            <v>160</v>
          </cell>
          <cell r="I54">
            <v>165</v>
          </cell>
          <cell r="J54">
            <v>170</v>
          </cell>
          <cell r="K54">
            <v>175</v>
          </cell>
          <cell r="L54">
            <v>185</v>
          </cell>
          <cell r="M54">
            <v>195</v>
          </cell>
          <cell r="N54">
            <v>200</v>
          </cell>
          <cell r="O54">
            <v>205</v>
          </cell>
          <cell r="P54">
            <v>210</v>
          </cell>
          <cell r="Q54">
            <v>210</v>
          </cell>
          <cell r="R54">
            <v>215</v>
          </cell>
          <cell r="S54">
            <v>220</v>
          </cell>
          <cell r="T54">
            <v>225</v>
          </cell>
          <cell r="U54">
            <v>225</v>
          </cell>
          <cell r="V54">
            <v>230</v>
          </cell>
          <cell r="W54">
            <v>235</v>
          </cell>
          <cell r="X54">
            <v>240</v>
          </cell>
          <cell r="Y54">
            <v>250</v>
          </cell>
          <cell r="Z54">
            <v>250</v>
          </cell>
        </row>
        <row r="55">
          <cell r="F55">
            <v>-410.71975631953626</v>
          </cell>
          <cell r="G55">
            <v>-709.55441659887458</v>
          </cell>
          <cell r="H55">
            <v>-205.4799664242459</v>
          </cell>
          <cell r="I55">
            <v>-222.74155221721463</v>
          </cell>
          <cell r="J55">
            <v>-228.46085686152577</v>
          </cell>
          <cell r="K55">
            <v>-234.16792686122261</v>
          </cell>
          <cell r="L55">
            <v>-251.99697004228125</v>
          </cell>
          <cell r="M55">
            <v>-236.08397059218163</v>
          </cell>
          <cell r="N55">
            <v>-227.98053174556378</v>
          </cell>
          <cell r="O55">
            <v>-257.90187674271544</v>
          </cell>
          <cell r="P55">
            <v>-247.88296448968146</v>
          </cell>
          <cell r="Q55">
            <v>-246.47355906529316</v>
          </cell>
          <cell r="R55">
            <v>-275.30242002182069</v>
          </cell>
          <cell r="S55">
            <v>-287.02563997177384</v>
          </cell>
          <cell r="T55">
            <v>-171.59821313632654</v>
          </cell>
          <cell r="U55">
            <v>-175.03017739905312</v>
          </cell>
          <cell r="V55">
            <v>-178.53078094703417</v>
          </cell>
          <cell r="W55">
            <v>-182.10139656597482</v>
          </cell>
          <cell r="X55">
            <v>-185.74342449729437</v>
          </cell>
          <cell r="Y55">
            <v>-189.45829298724024</v>
          </cell>
          <cell r="Z55">
            <v>-193.24745884698507</v>
          </cell>
        </row>
      </sheetData>
      <sheetData sheetId="6">
        <row r="169">
          <cell r="G169">
            <v>15</v>
          </cell>
          <cell r="H169">
            <v>1070</v>
          </cell>
          <cell r="I169">
            <v>17890</v>
          </cell>
          <cell r="J169">
            <v>9655</v>
          </cell>
          <cell r="K169">
            <v>1150</v>
          </cell>
          <cell r="L169">
            <v>8095</v>
          </cell>
          <cell r="M169">
            <v>13120</v>
          </cell>
          <cell r="N169">
            <v>1360</v>
          </cell>
          <cell r="O169">
            <v>22620</v>
          </cell>
          <cell r="P169">
            <v>25200</v>
          </cell>
          <cell r="Q169">
            <v>6060</v>
          </cell>
          <cell r="R169">
            <v>19280</v>
          </cell>
          <cell r="S169">
            <v>21255</v>
          </cell>
          <cell r="T169">
            <v>1505</v>
          </cell>
          <cell r="U169">
            <v>12240</v>
          </cell>
          <cell r="V169">
            <v>15670</v>
          </cell>
          <cell r="W169">
            <v>1625</v>
          </cell>
          <cell r="X169">
            <v>27240</v>
          </cell>
          <cell r="Y169">
            <v>34355</v>
          </cell>
          <cell r="Z169">
            <v>6550</v>
          </cell>
          <cell r="AA169">
            <v>2745</v>
          </cell>
        </row>
      </sheetData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>
        <row r="74">
          <cell r="D74">
            <v>32078.653200000001</v>
          </cell>
          <cell r="E74">
            <v>86455.554552000001</v>
          </cell>
          <cell r="F74">
            <v>149280.38404991999</v>
          </cell>
          <cell r="G74">
            <v>165312.9145823328</v>
          </cell>
          <cell r="H74">
            <v>173215.04170699586</v>
          </cell>
          <cell r="I74">
            <v>206472.80270295514</v>
          </cell>
          <cell r="J74">
            <v>259282.36271889639</v>
          </cell>
          <cell r="K74">
            <v>262971.75407735922</v>
          </cell>
          <cell r="L74">
            <v>271856.47856397077</v>
          </cell>
          <cell r="M74">
            <v>267831.52964836691</v>
          </cell>
          <cell r="N74">
            <v>279221.18645806826</v>
          </cell>
          <cell r="O74">
            <v>276974.11564646231</v>
          </cell>
          <cell r="P74">
            <v>280188.67637887481</v>
          </cell>
          <cell r="Q74">
            <v>290634.88418774254</v>
          </cell>
          <cell r="R74">
            <v>322611.50462481938</v>
          </cell>
          <cell r="S74">
            <v>301107.91478313901</v>
          </cell>
          <cell r="T74">
            <v>309018.21461809764</v>
          </cell>
          <cell r="U74">
            <v>322354.43538991612</v>
          </cell>
          <cell r="V74">
            <v>315777.19517196424</v>
          </cell>
          <cell r="W74">
            <v>333278.35669337021</v>
          </cell>
          <cell r="X74">
            <v>323211.78585043026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Assume"/>
      <sheetName val="Returns"/>
      <sheetName val="Consolidated"/>
      <sheetName val="Balances"/>
      <sheetName val="Tax"/>
      <sheetName val="NELPFins"/>
      <sheetName val="Income"/>
      <sheetName val="NOL"/>
      <sheetName val="Debt"/>
      <sheetName val="Depr_NELP"/>
      <sheetName val="TransCosts"/>
    </sheetNames>
    <sheetDataSet>
      <sheetData sheetId="0" refreshError="1"/>
      <sheetData sheetId="1" refreshError="1"/>
      <sheetData sheetId="2"/>
      <sheetData sheetId="3">
        <row r="9">
          <cell r="I9">
            <v>130965.68606671708</v>
          </cell>
          <cell r="J9">
            <v>148242.80059274228</v>
          </cell>
          <cell r="K9">
            <v>152844.12223228792</v>
          </cell>
          <cell r="L9">
            <v>158205.09985577571</v>
          </cell>
          <cell r="M9">
            <v>168683.67232175524</v>
          </cell>
          <cell r="N9">
            <v>159701.75945799996</v>
          </cell>
          <cell r="O9">
            <v>162479.9648421467</v>
          </cell>
          <cell r="P9">
            <v>166308.93371399</v>
          </cell>
          <cell r="Q9">
            <v>164314.61566972436</v>
          </cell>
          <cell r="R9">
            <v>160775.79174978161</v>
          </cell>
          <cell r="S9">
            <v>175260.01677857226</v>
          </cell>
          <cell r="T9">
            <v>113849.62635480675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I10">
            <v>129857.08781432628</v>
          </cell>
          <cell r="J10">
            <v>133165.22378518304</v>
          </cell>
          <cell r="K10">
            <v>130856.79628703248</v>
          </cell>
          <cell r="L10">
            <v>142722.058233366</v>
          </cell>
          <cell r="M10">
            <v>144527.02651763472</v>
          </cell>
          <cell r="N10">
            <v>154061.84267082496</v>
          </cell>
          <cell r="O10">
            <v>161000.81644924349</v>
          </cell>
          <cell r="P10">
            <v>166615.98924282248</v>
          </cell>
          <cell r="Q10">
            <v>161830.29846524564</v>
          </cell>
          <cell r="R10">
            <v>182151.27233439678</v>
          </cell>
          <cell r="S10">
            <v>184322.63048848853</v>
          </cell>
          <cell r="T10">
            <v>161803.33260723326</v>
          </cell>
          <cell r="U10">
            <v>73649.433643560435</v>
          </cell>
          <cell r="V10">
            <v>73266.441268918963</v>
          </cell>
          <cell r="W10">
            <v>68287.540398579469</v>
          </cell>
          <cell r="X10">
            <v>73649.433643560435</v>
          </cell>
          <cell r="Y10">
            <v>50659.550370955127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I11">
            <v>28114.350363573605</v>
          </cell>
          <cell r="J11">
            <v>26873.885095053578</v>
          </cell>
          <cell r="K11">
            <v>26676.800414922192</v>
          </cell>
          <cell r="L11">
            <v>29077.276165476978</v>
          </cell>
          <cell r="M11">
            <v>29617.837431387459</v>
          </cell>
          <cell r="N11">
            <v>31973.941748220568</v>
          </cell>
          <cell r="O11">
            <v>33963.468108986664</v>
          </cell>
          <cell r="P11">
            <v>35606.806247600063</v>
          </cell>
          <cell r="Q11">
            <v>34521.505514701836</v>
          </cell>
          <cell r="R11">
            <v>40026.904126856767</v>
          </cell>
          <cell r="S11">
            <v>40743.06784102977</v>
          </cell>
          <cell r="T11">
            <v>44395.230997761813</v>
          </cell>
          <cell r="U11">
            <v>47178.37794029864</v>
          </cell>
          <cell r="V11">
            <v>49555.537548571934</v>
          </cell>
          <cell r="W11">
            <v>48288.687962476164</v>
          </cell>
          <cell r="X11">
            <v>55852.146972866634</v>
          </cell>
          <cell r="Y11">
            <v>40721.536273784062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I12">
            <v>13296.23616001116</v>
          </cell>
          <cell r="J12">
            <v>6634.5852576881507</v>
          </cell>
          <cell r="K12">
            <v>6592.3950975371927</v>
          </cell>
          <cell r="L12">
            <v>6231.5844748237869</v>
          </cell>
          <cell r="M12">
            <v>6487.3904149179098</v>
          </cell>
          <cell r="N12">
            <v>8189.2515303222353</v>
          </cell>
          <cell r="O12">
            <v>8421.2922242093427</v>
          </cell>
          <cell r="P12">
            <v>8572.217936111223</v>
          </cell>
          <cell r="Q12">
            <v>8202.3426674432449</v>
          </cell>
          <cell r="R12">
            <v>9204.2011181176149</v>
          </cell>
          <cell r="S12">
            <v>9255.5935483644407</v>
          </cell>
          <cell r="T12">
            <v>9663.0703917589053</v>
          </cell>
          <cell r="U12">
            <v>9876.6510267604281</v>
          </cell>
          <cell r="V12">
            <v>9990.7107776327393</v>
          </cell>
          <cell r="W12">
            <v>9445.3916816210221</v>
          </cell>
          <cell r="X12">
            <v>10359.201714174445</v>
          </cell>
          <cell r="Y12">
            <v>10258.142710044267</v>
          </cell>
          <cell r="Z12">
            <v>10767.966111013224</v>
          </cell>
          <cell r="AA12">
            <v>11066.591925859262</v>
          </cell>
          <cell r="AB12">
            <v>11256.870743366841</v>
          </cell>
          <cell r="AC12">
            <v>10729.351448036938</v>
          </cell>
        </row>
        <row r="13">
          <cell r="I13">
            <v>987.85244808199741</v>
          </cell>
          <cell r="J13">
            <v>976.63914504199829</v>
          </cell>
          <cell r="K13">
            <v>976.63914504199829</v>
          </cell>
          <cell r="L13">
            <v>976.63914504199829</v>
          </cell>
          <cell r="M13">
            <v>987.85244808199741</v>
          </cell>
          <cell r="N13">
            <v>14352.913746422539</v>
          </cell>
          <cell r="O13">
            <v>15861.039030146152</v>
          </cell>
          <cell r="P13">
            <v>17281.214211465132</v>
          </cell>
          <cell r="Q13">
            <v>16414.390964814011</v>
          </cell>
          <cell r="R13">
            <v>19507.644677541</v>
          </cell>
          <cell r="S13">
            <v>23752.456076372448</v>
          </cell>
          <cell r="T13">
            <v>81229.344789200404</v>
          </cell>
          <cell r="U13">
            <v>207482.35791926598</v>
          </cell>
          <cell r="V13">
            <v>214984.64174684658</v>
          </cell>
          <cell r="W13">
            <v>210622.91863766633</v>
          </cell>
          <cell r="X13">
            <v>217143.0672455419</v>
          </cell>
          <cell r="Y13">
            <v>268117.06085008261</v>
          </cell>
          <cell r="Z13">
            <v>355545.36208538146</v>
          </cell>
          <cell r="AA13">
            <v>366878.94316448935</v>
          </cell>
          <cell r="AB13">
            <v>377465.45355150447</v>
          </cell>
          <cell r="AC13">
            <v>366013.98885314201</v>
          </cell>
        </row>
        <row r="14">
          <cell r="I14">
            <v>4668.3</v>
          </cell>
          <cell r="J14">
            <v>4668.3</v>
          </cell>
          <cell r="K14">
            <v>4668.3</v>
          </cell>
          <cell r="L14">
            <v>4736.3223776223776</v>
          </cell>
          <cell r="M14">
            <v>4804.3447552447542</v>
          </cell>
          <cell r="N14">
            <v>4069.967654684393</v>
          </cell>
          <cell r="O14">
            <v>4170.7803144942218</v>
          </cell>
          <cell r="P14">
            <v>4212.8347242603413</v>
          </cell>
          <cell r="Q14">
            <v>3874.0678597536253</v>
          </cell>
          <cell r="R14">
            <v>4393.9214285742946</v>
          </cell>
          <cell r="S14">
            <v>4270.545584674107</v>
          </cell>
          <cell r="T14">
            <v>3339.5624764877221</v>
          </cell>
          <cell r="U14">
            <v>1448.2521093183268</v>
          </cell>
          <cell r="V14">
            <v>1452.4624670267103</v>
          </cell>
          <cell r="W14">
            <v>1007.4742832282427</v>
          </cell>
          <cell r="X14">
            <v>1573.3433674924881</v>
          </cell>
          <cell r="Y14">
            <v>1380.5194337014764</v>
          </cell>
          <cell r="Z14">
            <v>1622.0990773676713</v>
          </cell>
          <cell r="AA14">
            <v>1709.2392519958003</v>
          </cell>
          <cell r="AB14">
            <v>1714.2083513769139</v>
          </cell>
          <cell r="AC14">
            <v>1189.0295751618632</v>
          </cell>
        </row>
        <row r="22">
          <cell r="I22">
            <v>2246.7799599999998</v>
          </cell>
          <cell r="J22">
            <v>2309.6897988799997</v>
          </cell>
          <cell r="K22">
            <v>2374.3611132486403</v>
          </cell>
          <cell r="L22">
            <v>2440.8432244196019</v>
          </cell>
          <cell r="M22">
            <v>2509.1868347033515</v>
          </cell>
          <cell r="N22">
            <v>3955.1274193465247</v>
          </cell>
          <cell r="O22">
            <v>4061.9158596688803</v>
          </cell>
          <cell r="P22">
            <v>4171.5875878799397</v>
          </cell>
          <cell r="Q22">
            <v>4284.2204527526983</v>
          </cell>
          <cell r="R22">
            <v>4399.8944049770207</v>
          </cell>
          <cell r="S22">
            <v>4518.6915539113998</v>
          </cell>
          <cell r="T22">
            <v>4645.2149174209189</v>
          </cell>
          <cell r="U22">
            <v>4775.2809351087044</v>
          </cell>
          <cell r="V22">
            <v>4908.9888012917481</v>
          </cell>
          <cell r="W22">
            <v>5046.4404877279176</v>
          </cell>
          <cell r="X22">
            <v>5187.7408213842991</v>
          </cell>
          <cell r="Y22">
            <v>5332.9975643830585</v>
          </cell>
          <cell r="Z22">
            <v>5482.3214961857848</v>
          </cell>
          <cell r="AA22">
            <v>5635.8264980789863</v>
          </cell>
          <cell r="AB22">
            <v>5793.6296400251986</v>
          </cell>
          <cell r="AC22">
            <v>5955.8512699459043</v>
          </cell>
        </row>
        <row r="24">
          <cell r="I24">
            <v>4833</v>
          </cell>
          <cell r="J24">
            <v>5342</v>
          </cell>
          <cell r="K24">
            <v>4763.5</v>
          </cell>
          <cell r="L24">
            <v>4406</v>
          </cell>
          <cell r="M24">
            <v>3637.0000000000009</v>
          </cell>
          <cell r="N24">
            <v>6624.6666666666697</v>
          </cell>
          <cell r="O24">
            <v>4599.3333333333339</v>
          </cell>
          <cell r="P24">
            <v>3794.8333333333335</v>
          </cell>
          <cell r="Q24">
            <v>3292.5</v>
          </cell>
          <cell r="R24">
            <v>5287.8333333333339</v>
          </cell>
          <cell r="S24">
            <v>6349.666666666667</v>
          </cell>
          <cell r="T24">
            <v>6883.6666666666661</v>
          </cell>
          <cell r="U24">
            <v>5573</v>
          </cell>
          <cell r="V24">
            <v>4725.6666666666661</v>
          </cell>
          <cell r="W24">
            <v>4087</v>
          </cell>
          <cell r="X24">
            <v>5587.6666666666661</v>
          </cell>
          <cell r="Y24">
            <v>5901.8333333333339</v>
          </cell>
          <cell r="Z24">
            <v>6125.8333333333339</v>
          </cell>
          <cell r="AA24">
            <v>3898.4999999999995</v>
          </cell>
          <cell r="AB24">
            <v>2956.1666666666665</v>
          </cell>
          <cell r="AC24">
            <v>2457.833333333333</v>
          </cell>
        </row>
        <row r="25">
          <cell r="I25">
            <v>723.45</v>
          </cell>
          <cell r="J25">
            <v>743.70659999999998</v>
          </cell>
          <cell r="K25">
            <v>764.53038480000009</v>
          </cell>
          <cell r="L25">
            <v>785.93723557440001</v>
          </cell>
          <cell r="M25">
            <v>807.9434781704831</v>
          </cell>
          <cell r="N25">
            <v>2890.8930049010628</v>
          </cell>
          <cell r="O25">
            <v>2944.345895663178</v>
          </cell>
          <cell r="P25">
            <v>2967.5970615304186</v>
          </cell>
          <cell r="Q25">
            <v>2811.9639255775264</v>
          </cell>
          <cell r="R25">
            <v>3064.1107727510425</v>
          </cell>
          <cell r="S25">
            <v>3013.7579362196548</v>
          </cell>
          <cell r="T25">
            <v>3135.429960083824</v>
          </cell>
          <cell r="U25">
            <v>3197.1314104979501</v>
          </cell>
          <cell r="V25">
            <v>3228.899936859943</v>
          </cell>
          <cell r="W25">
            <v>3082.0615103798009</v>
          </cell>
          <cell r="X25">
            <v>3343.2892310733178</v>
          </cell>
          <cell r="Y25">
            <v>3036.9159572328558</v>
          </cell>
          <cell r="Z25">
            <v>2467.1213632213203</v>
          </cell>
          <cell r="AA25">
            <v>2527.0139344660874</v>
          </cell>
          <cell r="AB25">
            <v>2577.4354115565075</v>
          </cell>
          <cell r="AC25">
            <v>2566.0657070546599</v>
          </cell>
        </row>
        <row r="26">
          <cell r="I26">
            <v>4372.6861080000008</v>
          </cell>
          <cell r="J26">
            <v>4495.1213190240014</v>
          </cell>
          <cell r="K26">
            <v>4620.9847159566725</v>
          </cell>
          <cell r="L26">
            <v>4750.3722880034602</v>
          </cell>
          <cell r="M26">
            <v>4883.382712067556</v>
          </cell>
          <cell r="N26">
            <v>4768.7091831358648</v>
          </cell>
          <cell r="O26">
            <v>4897.4643310805322</v>
          </cell>
          <cell r="P26">
            <v>5029.6958680197058</v>
          </cell>
          <cell r="Q26">
            <v>5165.4976564562385</v>
          </cell>
          <cell r="R26">
            <v>5304.9660931805556</v>
          </cell>
          <cell r="S26">
            <v>5448.2001776964307</v>
          </cell>
          <cell r="T26">
            <v>5600.7497826719309</v>
          </cell>
          <cell r="U26">
            <v>5757.5707765867446</v>
          </cell>
          <cell r="V26">
            <v>5918.7827583311737</v>
          </cell>
          <cell r="W26">
            <v>6084.5086755644479</v>
          </cell>
          <cell r="X26">
            <v>6254.8749184802527</v>
          </cell>
          <cell r="Y26">
            <v>6430.0114161976999</v>
          </cell>
          <cell r="Z26">
            <v>6610.0517358512352</v>
          </cell>
          <cell r="AA26">
            <v>6795.1331844550696</v>
          </cell>
          <cell r="AB26">
            <v>6985.396913619812</v>
          </cell>
          <cell r="AC26">
            <v>7180.9880272011669</v>
          </cell>
        </row>
        <row r="28">
          <cell r="I28">
            <v>470.15042273639233</v>
          </cell>
          <cell r="J28">
            <v>378.91289345995858</v>
          </cell>
          <cell r="K28">
            <v>554.06635561346548</v>
          </cell>
          <cell r="L28">
            <v>408.42399663236506</v>
          </cell>
          <cell r="M28">
            <v>495.10260026624394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30">
          <cell r="I30">
            <v>1530</v>
          </cell>
          <cell r="J30">
            <v>1563.6600000000005</v>
          </cell>
          <cell r="K30">
            <v>1601.1878399999996</v>
          </cell>
          <cell r="L30">
            <v>1639.6163481600004</v>
          </cell>
          <cell r="M30">
            <v>1677.3275241676799</v>
          </cell>
          <cell r="N30">
            <v>1814.575523617109</v>
          </cell>
          <cell r="O30">
            <v>1863.5690627547708</v>
          </cell>
          <cell r="P30">
            <v>1913.8854274491496</v>
          </cell>
          <cell r="Q30">
            <v>1965.5603339902764</v>
          </cell>
          <cell r="R30">
            <v>2018.6304630080137</v>
          </cell>
          <cell r="S30">
            <v>2073.13348550923</v>
          </cell>
          <cell r="T30">
            <v>2131.1812231034887</v>
          </cell>
          <cell r="U30">
            <v>2190.8542973503863</v>
          </cell>
          <cell r="V30">
            <v>2252.1982176761971</v>
          </cell>
          <cell r="W30">
            <v>2315.2597677711306</v>
          </cell>
          <cell r="X30">
            <v>2380.0870412687223</v>
          </cell>
          <cell r="Y30">
            <v>2446.7294784242467</v>
          </cell>
          <cell r="Z30">
            <v>2515.2379038201257</v>
          </cell>
          <cell r="AA30">
            <v>2585.6645651270892</v>
          </cell>
          <cell r="AB30">
            <v>2658.0631729506476</v>
          </cell>
          <cell r="AC30">
            <v>2732.4889417932659</v>
          </cell>
        </row>
        <row r="31">
          <cell r="I31">
            <v>1151</v>
          </cell>
          <cell r="J31">
            <v>1183.2279999999998</v>
          </cell>
          <cell r="K31">
            <v>1216.3583840000001</v>
          </cell>
          <cell r="L31">
            <v>1250.4164187520003</v>
          </cell>
          <cell r="M31">
            <v>1285.4280784770558</v>
          </cell>
          <cell r="N31">
            <v>2176.1841630136764</v>
          </cell>
          <cell r="O31">
            <v>2205.562649214361</v>
          </cell>
          <cell r="P31">
            <v>2235.3377449787549</v>
          </cell>
          <cell r="Q31">
            <v>2265.5148045359683</v>
          </cell>
          <cell r="R31">
            <v>2296.0992543972043</v>
          </cell>
          <cell r="S31">
            <v>2327.0965943315668</v>
          </cell>
          <cell r="T31">
            <v>2359.6759466522085</v>
          </cell>
          <cell r="U31">
            <v>2392.7114099053397</v>
          </cell>
          <cell r="V31">
            <v>2426.2093696440143</v>
          </cell>
          <cell r="W31">
            <v>2460.1763008190305</v>
          </cell>
          <cell r="X31">
            <v>2494.6187690304969</v>
          </cell>
          <cell r="Y31">
            <v>2529.5434317969239</v>
          </cell>
          <cell r="Z31">
            <v>2564.9570398420806</v>
          </cell>
          <cell r="AA31">
            <v>2600.8664383998698</v>
          </cell>
          <cell r="AB31">
            <v>2637.2785685374679</v>
          </cell>
          <cell r="AC31">
            <v>2674.2004684969925</v>
          </cell>
        </row>
        <row r="32">
          <cell r="I32">
            <v>228</v>
          </cell>
          <cell r="J32">
            <v>240</v>
          </cell>
          <cell r="K32">
            <v>252</v>
          </cell>
          <cell r="L32">
            <v>264</v>
          </cell>
          <cell r="M32">
            <v>276</v>
          </cell>
          <cell r="N32">
            <v>552</v>
          </cell>
          <cell r="O32">
            <v>576</v>
          </cell>
          <cell r="P32">
            <v>600</v>
          </cell>
          <cell r="Q32">
            <v>624</v>
          </cell>
          <cell r="R32">
            <v>648</v>
          </cell>
          <cell r="S32">
            <v>672</v>
          </cell>
          <cell r="T32">
            <v>696</v>
          </cell>
          <cell r="U32">
            <v>720</v>
          </cell>
          <cell r="V32">
            <v>744</v>
          </cell>
          <cell r="W32">
            <v>768</v>
          </cell>
          <cell r="X32">
            <v>792</v>
          </cell>
          <cell r="Y32">
            <v>816</v>
          </cell>
          <cell r="Z32">
            <v>840</v>
          </cell>
          <cell r="AA32">
            <v>864</v>
          </cell>
          <cell r="AB32">
            <v>888</v>
          </cell>
          <cell r="AC32">
            <v>912</v>
          </cell>
        </row>
        <row r="33">
          <cell r="I33">
            <v>816</v>
          </cell>
          <cell r="J33">
            <v>833.95199999999988</v>
          </cell>
          <cell r="K33">
            <v>853.96684800000003</v>
          </cell>
          <cell r="L33">
            <v>874.46205235200023</v>
          </cell>
          <cell r="M33">
            <v>894.5746795560957</v>
          </cell>
          <cell r="N33">
            <v>1977.6797333027475</v>
          </cell>
          <cell r="O33">
            <v>2031.0770861019216</v>
          </cell>
          <cell r="P33">
            <v>2085.9161674266734</v>
          </cell>
          <cell r="Q33">
            <v>2142.2359039471935</v>
          </cell>
          <cell r="R33">
            <v>2200.0762733537672</v>
          </cell>
          <cell r="S33">
            <v>2259.4783327343189</v>
          </cell>
          <cell r="T33">
            <v>2322.7437260508796</v>
          </cell>
          <cell r="U33">
            <v>2387.7805503803047</v>
          </cell>
          <cell r="V33">
            <v>2454.6384057909531</v>
          </cell>
          <cell r="W33">
            <v>2523.3682811530998</v>
          </cell>
          <cell r="X33">
            <v>2594.0225930253869</v>
          </cell>
          <cell r="Y33">
            <v>2666.6552256300979</v>
          </cell>
          <cell r="Z33">
            <v>2741.3215719477407</v>
          </cell>
          <cell r="AA33">
            <v>2847.0348918608229</v>
          </cell>
          <cell r="AB33">
            <v>2929.847868832926</v>
          </cell>
          <cell r="AC33">
            <v>3013.8596091602481</v>
          </cell>
        </row>
        <row r="34">
          <cell r="I34">
            <v>192</v>
          </cell>
          <cell r="J34">
            <v>196.22400000000002</v>
          </cell>
          <cell r="K34">
            <v>200.93337600000004</v>
          </cell>
          <cell r="L34">
            <v>192</v>
          </cell>
          <cell r="M34">
            <v>196.41599999999997</v>
          </cell>
          <cell r="N34">
            <v>241.94340314894791</v>
          </cell>
          <cell r="O34">
            <v>248.47587503396949</v>
          </cell>
          <cell r="P34">
            <v>255.18472365988663</v>
          </cell>
          <cell r="Q34">
            <v>262.07471119870354</v>
          </cell>
          <cell r="R34">
            <v>269.15072840106853</v>
          </cell>
          <cell r="S34">
            <v>276.41779806789737</v>
          </cell>
          <cell r="T34">
            <v>284.15749641379853</v>
          </cell>
          <cell r="U34">
            <v>292.11390631338492</v>
          </cell>
          <cell r="V34">
            <v>300.2930956901597</v>
          </cell>
          <cell r="W34">
            <v>308.70130236948415</v>
          </cell>
          <cell r="X34">
            <v>317.34493883582974</v>
          </cell>
          <cell r="Y34">
            <v>326.230597123233</v>
          </cell>
          <cell r="Z34">
            <v>335.36505384268355</v>
          </cell>
          <cell r="AA34">
            <v>344.75527535027868</v>
          </cell>
          <cell r="AB34">
            <v>354.40842306008648</v>
          </cell>
          <cell r="AC34">
            <v>364.33185890576891</v>
          </cell>
        </row>
        <row r="35">
          <cell r="I35">
            <v>365.49199999999996</v>
          </cell>
          <cell r="J35">
            <v>375.725776</v>
          </cell>
          <cell r="K35">
            <v>386.246097728</v>
          </cell>
          <cell r="L35">
            <v>397.06098846438408</v>
          </cell>
          <cell r="M35">
            <v>408.17869614138681</v>
          </cell>
          <cell r="N35">
            <v>725.8302094468437</v>
          </cell>
          <cell r="O35">
            <v>745.42762510190846</v>
          </cell>
          <cell r="P35">
            <v>765.55417097965994</v>
          </cell>
          <cell r="Q35">
            <v>786.22413359611073</v>
          </cell>
          <cell r="R35">
            <v>807.45218520320566</v>
          </cell>
          <cell r="S35">
            <v>829.2533942036921</v>
          </cell>
          <cell r="T35">
            <v>852.47248924139546</v>
          </cell>
          <cell r="U35">
            <v>876.34171894015458</v>
          </cell>
          <cell r="V35">
            <v>900.87928707047888</v>
          </cell>
          <cell r="W35">
            <v>926.10390710845229</v>
          </cell>
          <cell r="X35">
            <v>952.03481650748893</v>
          </cell>
          <cell r="Y35">
            <v>978.69179136969865</v>
          </cell>
          <cell r="Z35">
            <v>1006.0951615280502</v>
          </cell>
          <cell r="AA35">
            <v>1034.2658260508356</v>
          </cell>
          <cell r="AB35">
            <v>1063.2252691802589</v>
          </cell>
          <cell r="AC35">
            <v>1092.9955767173062</v>
          </cell>
        </row>
        <row r="36">
          <cell r="I36">
            <v>935.06000000000006</v>
          </cell>
          <cell r="J36">
            <v>939.13900079999974</v>
          </cell>
          <cell r="K36">
            <v>946.91225681919991</v>
          </cell>
          <cell r="L36">
            <v>969.63815098286091</v>
          </cell>
          <cell r="M36">
            <v>991.93982845546657</v>
          </cell>
          <cell r="N36">
            <v>846.80191102131766</v>
          </cell>
          <cell r="O36">
            <v>869.6655626188932</v>
          </cell>
          <cell r="P36">
            <v>893.14653280960329</v>
          </cell>
          <cell r="Q36">
            <v>917.26148919546245</v>
          </cell>
          <cell r="R36">
            <v>942.02754940373984</v>
          </cell>
          <cell r="S36">
            <v>967.46229323764078</v>
          </cell>
          <cell r="T36">
            <v>994.55123744829473</v>
          </cell>
          <cell r="U36">
            <v>1022.398672096847</v>
          </cell>
          <cell r="V36">
            <v>1051.0258349155588</v>
          </cell>
          <cell r="W36">
            <v>1080.4545582931944</v>
          </cell>
          <cell r="X36">
            <v>1110.7072859254038</v>
          </cell>
          <cell r="Y36">
            <v>1141.8070899313152</v>
          </cell>
          <cell r="Z36">
            <v>1173.7776884493921</v>
          </cell>
          <cell r="AA36">
            <v>1206.6434637259752</v>
          </cell>
          <cell r="AB36">
            <v>1240.4294807103024</v>
          </cell>
          <cell r="AC36">
            <v>1275.1615061701909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-1155.3333333333333</v>
          </cell>
          <cell r="O37">
            <v>-1184.6666666666665</v>
          </cell>
          <cell r="P37">
            <v>-1214.6666666666665</v>
          </cell>
          <cell r="Q37">
            <v>-622.33333333333326</v>
          </cell>
          <cell r="R37">
            <v>-886.2</v>
          </cell>
          <cell r="S37">
            <v>-1099.3333333333333</v>
          </cell>
          <cell r="T37">
            <v>-1324.9953053201884</v>
          </cell>
          <cell r="U37">
            <v>-1357.432391072582</v>
          </cell>
          <cell r="V37">
            <v>-1390.6635660778834</v>
          </cell>
          <cell r="W37">
            <v>-1424.7082703605879</v>
          </cell>
          <cell r="X37">
            <v>-802.77253092003377</v>
          </cell>
          <cell r="Y37">
            <v>-1046.7228926377722</v>
          </cell>
          <cell r="Z37">
            <v>-1302.1363927563882</v>
          </cell>
          <cell r="AA37">
            <v>-1569.4280842529834</v>
          </cell>
          <cell r="AB37">
            <v>-1607.8491059326236</v>
          </cell>
          <cell r="AC37">
            <v>-1647.2107090391664</v>
          </cell>
        </row>
        <row r="39">
          <cell r="I39">
            <v>4028.0374999999995</v>
          </cell>
          <cell r="J39">
            <v>4107.0884374999987</v>
          </cell>
          <cell r="K39">
            <v>4188.1156484374978</v>
          </cell>
          <cell r="L39">
            <v>4271.1685396484372</v>
          </cell>
          <cell r="M39">
            <v>4356.2977531396464</v>
          </cell>
          <cell r="N39">
            <v>5214.609986689803</v>
          </cell>
          <cell r="O39">
            <v>5316.6281235070628</v>
          </cell>
          <cell r="P39">
            <v>5416.6988611357028</v>
          </cell>
          <cell r="Q39">
            <v>5514.3045894028273</v>
          </cell>
          <cell r="R39">
            <v>5608.8769031423535</v>
          </cell>
          <cell r="S39">
            <v>5699.7925934278719</v>
          </cell>
          <cell r="T39">
            <v>5795.9793509724295</v>
          </cell>
          <cell r="U39">
            <v>5887.4144623912571</v>
          </cell>
          <cell r="V39">
            <v>5973.2495631507527</v>
          </cell>
          <cell r="W39">
            <v>6052.5553008445722</v>
          </cell>
          <cell r="X39">
            <v>6124.3148741092273</v>
          </cell>
          <cell r="Y39">
            <v>6187.4170989360764</v>
          </cell>
          <cell r="Z39">
            <v>6240.6489695411565</v>
          </cell>
          <cell r="AA39">
            <v>6282.6876787488</v>
          </cell>
          <cell r="AB39">
            <v>6312.0920604948797</v>
          </cell>
          <cell r="AC39">
            <v>6327.2934145515155</v>
          </cell>
        </row>
        <row r="40">
          <cell r="I40">
            <v>1530</v>
          </cell>
          <cell r="J40">
            <v>1563.6599999999999</v>
          </cell>
          <cell r="K40">
            <v>1601.1878400000001</v>
          </cell>
          <cell r="L40">
            <v>1639.6163481600001</v>
          </cell>
          <cell r="M40">
            <v>1677.3275241676802</v>
          </cell>
          <cell r="N40">
            <v>1814.575523617109</v>
          </cell>
          <cell r="O40">
            <v>1863.5690627547708</v>
          </cell>
          <cell r="P40">
            <v>1913.8854274491496</v>
          </cell>
          <cell r="Q40">
            <v>1965.5603339902764</v>
          </cell>
          <cell r="R40">
            <v>2018.6304630080137</v>
          </cell>
          <cell r="S40">
            <v>2073.13348550923</v>
          </cell>
          <cell r="T40">
            <v>2131.1812231034887</v>
          </cell>
          <cell r="U40">
            <v>2190.8542973503863</v>
          </cell>
          <cell r="V40">
            <v>2252.1982176761971</v>
          </cell>
          <cell r="W40">
            <v>2315.2597677711306</v>
          </cell>
          <cell r="X40">
            <v>2380.0870412687223</v>
          </cell>
          <cell r="Y40">
            <v>2446.7294784242467</v>
          </cell>
          <cell r="Z40">
            <v>2515.2379038201257</v>
          </cell>
          <cell r="AA40">
            <v>2585.6645651270892</v>
          </cell>
          <cell r="AB40">
            <v>2658.0631729506476</v>
          </cell>
          <cell r="AC40">
            <v>2732.4889417932659</v>
          </cell>
        </row>
        <row r="44">
          <cell r="I44">
            <v>155286.21353992261</v>
          </cell>
          <cell r="J44">
            <v>166091.69520595839</v>
          </cell>
          <cell r="K44">
            <v>168146.04673022713</v>
          </cell>
          <cell r="L44">
            <v>175829.73567250033</v>
          </cell>
          <cell r="M44">
            <v>182565.60298938959</v>
          </cell>
          <cell r="N44">
            <v>194415.43664376522</v>
          </cell>
          <cell r="O44">
            <v>200161.92376496486</v>
          </cell>
          <cell r="P44">
            <v>205460.25827592687</v>
          </cell>
          <cell r="Q44">
            <v>202990.23589075694</v>
          </cell>
          <cell r="R44">
            <v>211093.89396288863</v>
          </cell>
          <cell r="S44">
            <v>219580.53784101713</v>
          </cell>
          <cell r="T44">
            <v>228413.11209704261</v>
          </cell>
          <cell r="U44">
            <v>234697.94246263383</v>
          </cell>
          <cell r="V44">
            <v>241680.53684279841</v>
          </cell>
          <cell r="W44">
            <v>185259.07963948304</v>
          </cell>
          <cell r="X44">
            <v>192087.56300983607</v>
          </cell>
          <cell r="Y44">
            <v>200509.15722203994</v>
          </cell>
          <cell r="Z44">
            <v>206490.50737960127</v>
          </cell>
          <cell r="AA44">
            <v>211778.09603085346</v>
          </cell>
          <cell r="AB44">
            <v>216955.92696881731</v>
          </cell>
          <cell r="AC44">
            <v>214512.13006369994</v>
          </cell>
        </row>
        <row r="52">
          <cell r="J52">
            <v>39300.023600000008</v>
          </cell>
          <cell r="K52">
            <v>37395.613799999999</v>
          </cell>
          <cell r="L52">
            <v>35263.603000000003</v>
          </cell>
          <cell r="M52">
            <v>33043.765399999997</v>
          </cell>
          <cell r="N52">
            <v>29952.400975000004</v>
          </cell>
          <cell r="O52">
            <v>25556.063774999999</v>
          </cell>
          <cell r="P52">
            <v>20617.815175</v>
          </cell>
          <cell r="Q52">
            <v>15576.462374999999</v>
          </cell>
          <cell r="R52">
            <v>10446.821574999998</v>
          </cell>
          <cell r="S52">
            <v>4851.737975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I53">
            <v>-1942.8594447047665</v>
          </cell>
          <cell r="J53">
            <v>-1645.5984374584996</v>
          </cell>
          <cell r="K53">
            <v>-1922.7405428471066</v>
          </cell>
          <cell r="L53">
            <v>-2585.3992053122402</v>
          </cell>
          <cell r="M53">
            <v>-3271.5010494036214</v>
          </cell>
          <cell r="N53">
            <v>-1657.8415723612891</v>
          </cell>
          <cell r="O53">
            <v>-1592.6922795756493</v>
          </cell>
          <cell r="P53">
            <v>-1703.5788210396117</v>
          </cell>
          <cell r="Q53">
            <v>-1794.9093760631633</v>
          </cell>
          <cell r="R53">
            <v>-1721.3177413018525</v>
          </cell>
          <cell r="S53">
            <v>-1637.3169666435674</v>
          </cell>
          <cell r="T53">
            <v>-1544.335921012351</v>
          </cell>
          <cell r="U53">
            <v>-1544.335921012351</v>
          </cell>
          <cell r="V53">
            <v>-1544.335921012351</v>
          </cell>
          <cell r="W53">
            <v>-1544.335921012351</v>
          </cell>
          <cell r="X53">
            <v>-1544.335921012351</v>
          </cell>
          <cell r="Y53">
            <v>-1544.335921012351</v>
          </cell>
          <cell r="Z53">
            <v>-1544.335921012351</v>
          </cell>
          <cell r="AA53">
            <v>-1544.335921012351</v>
          </cell>
          <cell r="AB53">
            <v>-1544.335921012351</v>
          </cell>
          <cell r="AC53">
            <v>-1544.335921012351</v>
          </cell>
        </row>
        <row r="56">
          <cell r="I56">
            <v>26.367000000000001</v>
          </cell>
          <cell r="J56">
            <v>39.303330000000003</v>
          </cell>
          <cell r="K56">
            <v>38.248649999999998</v>
          </cell>
          <cell r="L56">
            <v>37.19397</v>
          </cell>
          <cell r="M56">
            <v>36.139290000000003</v>
          </cell>
          <cell r="N56">
            <v>41.552774999999997</v>
          </cell>
          <cell r="O56">
            <v>52.907085000000002</v>
          </cell>
          <cell r="P56">
            <v>50.270384999999997</v>
          </cell>
          <cell r="Q56">
            <v>54.101850000000006</v>
          </cell>
          <cell r="R56">
            <v>63.874140000000004</v>
          </cell>
          <cell r="S56">
            <v>104.932575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8">
          <cell r="J58">
            <v>17578</v>
          </cell>
          <cell r="K58">
            <v>17402.22</v>
          </cell>
          <cell r="L58">
            <v>16699.099999999999</v>
          </cell>
          <cell r="M58">
            <v>15995.98</v>
          </cell>
          <cell r="N58">
            <v>15292.86</v>
          </cell>
          <cell r="O58">
            <v>14501.85</v>
          </cell>
          <cell r="P58">
            <v>13271.39</v>
          </cell>
          <cell r="Q58">
            <v>11513.59</v>
          </cell>
          <cell r="R58">
            <v>9667.9</v>
          </cell>
          <cell r="S58">
            <v>7382.76</v>
          </cell>
          <cell r="T58">
            <v>3955.0499999999997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98">
          <cell r="I98">
            <v>20160</v>
          </cell>
        </row>
        <row r="99">
          <cell r="I99">
            <v>0</v>
          </cell>
        </row>
        <row r="109">
          <cell r="I109">
            <v>398720</v>
          </cell>
        </row>
        <row r="110">
          <cell r="I110">
            <v>220000</v>
          </cell>
        </row>
        <row r="135">
          <cell r="I135">
            <v>2861</v>
          </cell>
          <cell r="J135">
            <v>3623</v>
          </cell>
          <cell r="K135">
            <v>-4677.5000000000009</v>
          </cell>
          <cell r="L135">
            <v>1321.0000000000009</v>
          </cell>
          <cell r="M135">
            <v>904.00000000000182</v>
          </cell>
          <cell r="N135">
            <v>2345.1136853513217</v>
          </cell>
          <cell r="O135">
            <v>1171.7664691155442</v>
          </cell>
          <cell r="P135">
            <v>2287.5906833218014</v>
          </cell>
          <cell r="Q135">
            <v>-4853.6430967268225</v>
          </cell>
          <cell r="R135">
            <v>-105.81591342508545</v>
          </cell>
          <cell r="S135">
            <v>1335.0824959530837</v>
          </cell>
          <cell r="T135">
            <v>2951.5709506603525</v>
          </cell>
          <cell r="U135">
            <v>1928.9065293285094</v>
          </cell>
          <cell r="V135">
            <v>2809.4650724685707</v>
          </cell>
          <cell r="W135">
            <v>-8166.8256269696412</v>
          </cell>
          <cell r="X135">
            <v>-1289.5632054531588</v>
          </cell>
          <cell r="Y135">
            <v>1514.7553814902685</v>
          </cell>
          <cell r="Z135">
            <v>-556.50537065277422</v>
          </cell>
          <cell r="AA135">
            <v>569.37062381413307</v>
          </cell>
          <cell r="AB135">
            <v>1460.9487177173924</v>
          </cell>
          <cell r="AC135">
            <v>-5436.5374573114677</v>
          </cell>
        </row>
        <row r="147">
          <cell r="J147">
            <v>-106.71428571424622</v>
          </cell>
          <cell r="K147">
            <v>-106.71428571430442</v>
          </cell>
          <cell r="L147">
            <v>-106.71428571436263</v>
          </cell>
          <cell r="M147">
            <v>-106.71428571426077</v>
          </cell>
          <cell r="N147">
            <v>-100.15476190473419</v>
          </cell>
          <cell r="O147">
            <v>-100.0000000000291</v>
          </cell>
          <cell r="P147">
            <v>-100.0000000000291</v>
          </cell>
          <cell r="Q147">
            <v>-100</v>
          </cell>
          <cell r="R147">
            <v>-99.999999999970896</v>
          </cell>
          <cell r="S147">
            <v>-100</v>
          </cell>
          <cell r="T147">
            <v>-100</v>
          </cell>
          <cell r="U147">
            <v>-100</v>
          </cell>
          <cell r="V147">
            <v>-100</v>
          </cell>
          <cell r="W147">
            <v>-100</v>
          </cell>
          <cell r="X147">
            <v>-100</v>
          </cell>
          <cell r="Y147">
            <v>-100</v>
          </cell>
          <cell r="Z147">
            <v>-100</v>
          </cell>
          <cell r="AA147">
            <v>-100</v>
          </cell>
          <cell r="AB147">
            <v>-100</v>
          </cell>
          <cell r="AC147">
            <v>-100</v>
          </cell>
        </row>
        <row r="153">
          <cell r="J153">
            <v>-20160</v>
          </cell>
          <cell r="K153">
            <v>-22687.999999999996</v>
          </cell>
          <cell r="L153">
            <v>-23818.000000000029</v>
          </cell>
          <cell r="M153">
            <v>-28563.999999999982</v>
          </cell>
          <cell r="N153">
            <v>-45347.999999999993</v>
          </cell>
          <cell r="O153">
            <v>-52640</v>
          </cell>
          <cell r="P153">
            <v>-54022</v>
          </cell>
          <cell r="Q153">
            <v>-51800</v>
          </cell>
          <cell r="R153">
            <v>-54615.999999999993</v>
          </cell>
          <cell r="S153">
            <v>-65224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-8800</v>
          </cell>
          <cell r="L154">
            <v>-8800</v>
          </cell>
          <cell r="M154">
            <v>-8800</v>
          </cell>
          <cell r="N154">
            <v>-8800</v>
          </cell>
          <cell r="O154">
            <v>-13200</v>
          </cell>
          <cell r="P154">
            <v>-22000</v>
          </cell>
          <cell r="Q154">
            <v>-22000</v>
          </cell>
          <cell r="R154">
            <v>-26400</v>
          </cell>
          <cell r="S154">
            <v>-35200</v>
          </cell>
          <cell r="T154">
            <v>-66000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"/>
      <sheetName val="WYMIV-Assum-Calcs"/>
      <sheetName val="WYM123-Assum-Calcs"/>
      <sheetName val="AVEC"/>
      <sheetName val="MASON"/>
      <sheetName val="Hydro-Assum Calcs"/>
      <sheetName val="WYM IV-EBITDA"/>
      <sheetName val="WYM123-EBITDA"/>
      <sheetName val="AVEC-EBITDA"/>
      <sheetName val="MASON-EBITDA"/>
      <sheetName val="HYDRO-EBITDA"/>
      <sheetName val="FS"/>
      <sheetName val="Tax"/>
      <sheetName val="Returns"/>
      <sheetName val="EPS"/>
      <sheetName val="Rev-Fossil"/>
      <sheetName val="Rev-Hydro"/>
      <sheetName val="Scenarios"/>
      <sheetName val="D&amp;A"/>
    </sheetNames>
    <sheetDataSet>
      <sheetData sheetId="0" refreshError="1"/>
      <sheetData sheetId="1">
        <row r="171">
          <cell r="I171">
            <v>1467</v>
          </cell>
          <cell r="J171">
            <v>2207.52</v>
          </cell>
          <cell r="K171">
            <v>1580.2572800000003</v>
          </cell>
          <cell r="L171">
            <v>1586.0341145600003</v>
          </cell>
          <cell r="M171">
            <v>1046.95933698048</v>
          </cell>
          <cell r="N171">
            <v>2194.6898805109554</v>
          </cell>
          <cell r="O171">
            <v>2207.1283275063834</v>
          </cell>
          <cell r="P171">
            <v>2490.370140366681</v>
          </cell>
          <cell r="Q171">
            <v>2550.1390237354813</v>
          </cell>
          <cell r="R171">
            <v>2611.3423603051328</v>
          </cell>
          <cell r="S171">
            <v>2674.0145769524565</v>
          </cell>
          <cell r="T171">
            <v>2738.1909267993151</v>
          </cell>
          <cell r="U171">
            <v>2803.907509042499</v>
          </cell>
          <cell r="V171">
            <v>2871.2012892595189</v>
          </cell>
          <cell r="W171">
            <v>2940.1101202017476</v>
          </cell>
          <cell r="X171">
            <v>3013.6128732067909</v>
          </cell>
          <cell r="Y171">
            <v>3088.9531950369601</v>
          </cell>
          <cell r="Z171">
            <v>3166.177024912884</v>
          </cell>
          <cell r="AA171">
            <v>3245.3314505357057</v>
          </cell>
          <cell r="AB171">
            <v>3326.4647367990983</v>
          </cell>
          <cell r="AC171">
            <v>3409.6263552190753</v>
          </cell>
        </row>
      </sheetData>
      <sheetData sheetId="2">
        <row r="309">
          <cell r="I309">
            <v>274.66666666666669</v>
          </cell>
          <cell r="J309">
            <v>1293.8520000000001</v>
          </cell>
          <cell r="K309">
            <v>732.56960000000004</v>
          </cell>
          <cell r="L309">
            <v>1194.8838092800002</v>
          </cell>
          <cell r="M309">
            <v>920.88569954303989</v>
          </cell>
          <cell r="N309">
            <v>993.50411470700544</v>
          </cell>
          <cell r="O309">
            <v>1046.0868635577128</v>
          </cell>
          <cell r="P309">
            <v>924.32177786659315</v>
          </cell>
          <cell r="Q309">
            <v>946.50550053539143</v>
          </cell>
          <cell r="R309">
            <v>969.2216325482409</v>
          </cell>
          <cell r="S309">
            <v>992.48295172939868</v>
          </cell>
          <cell r="T309">
            <v>1016.3025425709043</v>
          </cell>
          <cell r="U309">
            <v>1040.6938035926059</v>
          </cell>
          <cell r="V309">
            <v>1065.6704548788287</v>
          </cell>
          <cell r="W309">
            <v>1091.2465457959204</v>
          </cell>
          <cell r="X309">
            <v>1118.5277094408184</v>
          </cell>
          <cell r="Y309">
            <v>1146.4909021768387</v>
          </cell>
          <cell r="Z309">
            <v>1175.1531747312595</v>
          </cell>
          <cell r="AA309">
            <v>1204.5320040995409</v>
          </cell>
          <cell r="AB309">
            <v>1234.6453042020294</v>
          </cell>
          <cell r="AC309">
            <v>1265.5114368070799</v>
          </cell>
        </row>
      </sheetData>
      <sheetData sheetId="3">
        <row r="138">
          <cell r="I138">
            <v>234</v>
          </cell>
          <cell r="J138">
            <v>524.28600000000006</v>
          </cell>
          <cell r="K138">
            <v>535.82233600000006</v>
          </cell>
          <cell r="L138">
            <v>504.74464051200005</v>
          </cell>
          <cell r="M138">
            <v>419.88002729164799</v>
          </cell>
          <cell r="N138">
            <v>599.47027938253211</v>
          </cell>
          <cell r="O138">
            <v>541.43616784140966</v>
          </cell>
          <cell r="P138">
            <v>554.59306671995591</v>
          </cell>
          <cell r="Q138">
            <v>567.90330032123484</v>
          </cell>
          <cell r="R138">
            <v>581.53297952894457</v>
          </cell>
          <cell r="S138">
            <v>595.48977103763923</v>
          </cell>
          <cell r="T138">
            <v>609.78152554254257</v>
          </cell>
          <cell r="U138">
            <v>624.41628215556364</v>
          </cell>
          <cell r="V138">
            <v>639.40227292729708</v>
          </cell>
          <cell r="W138">
            <v>654.74792747755225</v>
          </cell>
          <cell r="X138">
            <v>671.11662566449093</v>
          </cell>
          <cell r="Y138">
            <v>687.89454130610318</v>
          </cell>
          <cell r="Z138">
            <v>705.09190483875568</v>
          </cell>
          <cell r="AA138">
            <v>722.71920245972456</v>
          </cell>
          <cell r="AB138">
            <v>740.78718252121769</v>
          </cell>
          <cell r="AC138">
            <v>759.306862084248</v>
          </cell>
        </row>
      </sheetData>
      <sheetData sheetId="4">
        <row r="166"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</sheetData>
      <sheetData sheetId="5">
        <row r="83">
          <cell r="I83">
            <v>4052</v>
          </cell>
          <cell r="J83">
            <v>4141.1440000000002</v>
          </cell>
          <cell r="K83">
            <v>4240.5314560000006</v>
          </cell>
          <cell r="L83">
            <v>4342.3042109440003</v>
          </cell>
          <cell r="M83">
            <v>4442.1772077957121</v>
          </cell>
          <cell r="N83">
            <v>4548.7894607828093</v>
          </cell>
          <cell r="O83">
            <v>4657.960407841596</v>
          </cell>
          <cell r="P83">
            <v>4771.1488457521464</v>
          </cell>
          <cell r="Q83">
            <v>4885.6564180501991</v>
          </cell>
          <cell r="R83">
            <v>5002.9121720834037</v>
          </cell>
          <cell r="S83">
            <v>5122.9820642134055</v>
          </cell>
          <cell r="T83">
            <v>5245.9336337545274</v>
          </cell>
          <cell r="U83">
            <v>5371.8360409646366</v>
          </cell>
          <cell r="V83">
            <v>5500.7601059477875</v>
          </cell>
          <cell r="W83">
            <v>5632.7783484905349</v>
          </cell>
          <cell r="X83">
            <v>5773.5978072027974</v>
          </cell>
          <cell r="Y83">
            <v>5917.9377523828671</v>
          </cell>
          <cell r="Z83">
            <v>6065.8861961924376</v>
          </cell>
          <cell r="AA83">
            <v>6217.5333510972487</v>
          </cell>
          <cell r="AB83">
            <v>6372.9716848746793</v>
          </cell>
          <cell r="AC83">
            <v>6532.2959769965455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11">
          <cell r="I11">
            <v>78198.166307669104</v>
          </cell>
          <cell r="J11">
            <v>73955.089229707912</v>
          </cell>
          <cell r="K11">
            <v>70753.048020958755</v>
          </cell>
          <cell r="L11">
            <v>69087.468977615339</v>
          </cell>
          <cell r="M11">
            <v>70459.100981363925</v>
          </cell>
          <cell r="N11">
            <v>72480.413235814325</v>
          </cell>
          <cell r="O11">
            <v>73827.647094157903</v>
          </cell>
          <cell r="P11">
            <v>75174.880952501524</v>
          </cell>
          <cell r="Q11">
            <v>76522.114810845131</v>
          </cell>
          <cell r="R11">
            <v>77869.348669188723</v>
          </cell>
          <cell r="S11">
            <v>79216.582527532344</v>
          </cell>
          <cell r="T11">
            <v>79584.468136558819</v>
          </cell>
          <cell r="U11">
            <v>79952.353745585337</v>
          </cell>
          <cell r="V11">
            <v>80320.239354611826</v>
          </cell>
          <cell r="W11">
            <v>80688.124963638315</v>
          </cell>
          <cell r="X11">
            <v>81056.010572664818</v>
          </cell>
          <cell r="Y11">
            <v>83320.56767919632</v>
          </cell>
          <cell r="Z11">
            <v>85585.124785727792</v>
          </cell>
          <cell r="AA11">
            <v>87849.681892259323</v>
          </cell>
          <cell r="AB11">
            <v>90114.238998790825</v>
          </cell>
          <cell r="AC11">
            <v>92378.796105322341</v>
          </cell>
        </row>
        <row r="13">
          <cell r="I13">
            <v>11091.908284931505</v>
          </cell>
          <cell r="J13">
            <v>12053.826168493153</v>
          </cell>
          <cell r="K13">
            <v>8922.6176095890405</v>
          </cell>
          <cell r="L13">
            <v>8882.8141109589051</v>
          </cell>
          <cell r="M13">
            <v>9088.4655205479448</v>
          </cell>
          <cell r="N13">
            <v>9761.8080390410996</v>
          </cell>
          <cell r="O13">
            <v>11129.721608630132</v>
          </cell>
          <cell r="P13">
            <v>12497.63517821918</v>
          </cell>
          <cell r="Q13">
            <v>13865.548747808216</v>
          </cell>
          <cell r="R13">
            <v>15233.462317397256</v>
          </cell>
          <cell r="S13">
            <v>16601.375886986309</v>
          </cell>
          <cell r="T13">
            <v>19263.566553698642</v>
          </cell>
          <cell r="U13">
            <v>21925.757220410971</v>
          </cell>
          <cell r="V13">
            <v>24587.947887123293</v>
          </cell>
          <cell r="W13">
            <v>27250.138553835619</v>
          </cell>
          <cell r="X13">
            <v>29912.329220547952</v>
          </cell>
          <cell r="Y13">
            <v>30273.877666438355</v>
          </cell>
          <cell r="Z13">
            <v>30635.426112328765</v>
          </cell>
          <cell r="AA13">
            <v>30996.974558219172</v>
          </cell>
          <cell r="AB13">
            <v>31358.523004109593</v>
          </cell>
          <cell r="AC13">
            <v>31720.071449999992</v>
          </cell>
        </row>
        <row r="30">
          <cell r="I30">
            <v>6408</v>
          </cell>
        </row>
        <row r="31">
          <cell r="I31">
            <v>10505.999999999998</v>
          </cell>
          <cell r="J31">
            <v>10607.882000000001</v>
          </cell>
          <cell r="K31">
            <v>10721.471167999996</v>
          </cell>
          <cell r="L31">
            <v>10837.786476032001</v>
          </cell>
          <cell r="M31">
            <v>10951.930564980736</v>
          </cell>
          <cell r="N31">
            <v>11073.776898540273</v>
          </cell>
          <cell r="O31">
            <v>11198.54754410524</v>
          </cell>
          <cell r="P31">
            <v>11327.909749426995</v>
          </cell>
          <cell r="Q31">
            <v>11458.779583413243</v>
          </cell>
          <cell r="R31">
            <v>11592.790293415164</v>
          </cell>
          <cell r="S31">
            <v>11730.017260457125</v>
          </cell>
          <cell r="T31">
            <v>11870.537674708099</v>
          </cell>
          <cell r="U31">
            <v>12014.430578901092</v>
          </cell>
          <cell r="V31">
            <v>12161.776912794718</v>
          </cell>
          <cell r="W31">
            <v>12312.659558701791</v>
          </cell>
          <cell r="X31">
            <v>12473.601047669337</v>
          </cell>
          <cell r="Y31">
            <v>12638.566073861068</v>
          </cell>
          <cell r="Z31">
            <v>12807.655225707595</v>
          </cell>
          <cell r="AA31">
            <v>12980.971606350284</v>
          </cell>
          <cell r="AB31">
            <v>13158.620896509041</v>
          </cell>
          <cell r="AC31">
            <v>13340.711418921768</v>
          </cell>
        </row>
        <row r="32">
          <cell r="I32">
            <v>6450.9920000000002</v>
          </cell>
          <cell r="J32">
            <v>6263.2681327999999</v>
          </cell>
          <cell r="K32">
            <v>6092.9072395878402</v>
          </cell>
          <cell r="L32">
            <v>5927.1801626710503</v>
          </cell>
          <cell r="M32">
            <v>5760.3300410918591</v>
          </cell>
          <cell r="N32">
            <v>5603.6490639741596</v>
          </cell>
          <cell r="O32">
            <v>5451.2298094340622</v>
          </cell>
          <cell r="P32">
            <v>5304.5099591131448</v>
          </cell>
          <cell r="Q32">
            <v>5160.2272882252673</v>
          </cell>
          <cell r="R32">
            <v>5019.869105985541</v>
          </cell>
          <cell r="S32">
            <v>4883.3286663027338</v>
          </cell>
          <cell r="T32">
            <v>4750.5021265792993</v>
          </cell>
          <cell r="U32">
            <v>4621.2884687363421</v>
          </cell>
          <cell r="V32">
            <v>4495.5894223867135</v>
          </cell>
          <cell r="W32">
            <v>4373.3093900977947</v>
          </cell>
          <cell r="X32">
            <v>4258.5100186077279</v>
          </cell>
          <cell r="Y32">
            <v>4146.7241306192745</v>
          </cell>
          <cell r="Z32">
            <v>4037.8726221905181</v>
          </cell>
          <cell r="AA32">
            <v>3931.8784658580171</v>
          </cell>
          <cell r="AB32">
            <v>3828.6666561292441</v>
          </cell>
          <cell r="AC32">
            <v>3728.1641564058509</v>
          </cell>
        </row>
        <row r="33">
          <cell r="I33">
            <v>450</v>
          </cell>
          <cell r="J33">
            <v>450</v>
          </cell>
          <cell r="K33">
            <v>450</v>
          </cell>
          <cell r="L33">
            <v>450</v>
          </cell>
          <cell r="M33">
            <v>450</v>
          </cell>
          <cell r="N33">
            <v>450</v>
          </cell>
          <cell r="O33">
            <v>450</v>
          </cell>
          <cell r="P33">
            <v>450</v>
          </cell>
          <cell r="Q33">
            <v>450</v>
          </cell>
          <cell r="R33">
            <v>450</v>
          </cell>
          <cell r="S33">
            <v>450</v>
          </cell>
          <cell r="T33">
            <v>450</v>
          </cell>
          <cell r="U33">
            <v>450</v>
          </cell>
          <cell r="V33">
            <v>450</v>
          </cell>
          <cell r="W33">
            <v>450</v>
          </cell>
          <cell r="X33">
            <v>450</v>
          </cell>
          <cell r="Y33">
            <v>450</v>
          </cell>
          <cell r="Z33">
            <v>450</v>
          </cell>
          <cell r="AA33">
            <v>450</v>
          </cell>
          <cell r="AB33">
            <v>450</v>
          </cell>
          <cell r="AC33">
            <v>450</v>
          </cell>
        </row>
      </sheetData>
      <sheetData sheetId="11">
        <row r="14">
          <cell r="I14">
            <v>143309.22000034794</v>
          </cell>
          <cell r="J14">
            <v>169013.23353207606</v>
          </cell>
          <cell r="K14">
            <v>161045.38227236256</v>
          </cell>
          <cell r="L14">
            <v>152870.44455592346</v>
          </cell>
          <cell r="M14">
            <v>157541.86194480385</v>
          </cell>
          <cell r="N14">
            <v>169085.39633670542</v>
          </cell>
          <cell r="O14">
            <v>170072.18223514911</v>
          </cell>
          <cell r="P14">
            <v>173789.30813756012</v>
          </cell>
          <cell r="Q14">
            <v>178527.82876958535</v>
          </cell>
          <cell r="R14">
            <v>176489.39284338307</v>
          </cell>
          <cell r="S14">
            <v>180061.56692542054</v>
          </cell>
          <cell r="T14">
            <v>185220.65557552368</v>
          </cell>
          <cell r="U14">
            <v>187330.27618516053</v>
          </cell>
          <cell r="V14">
            <v>187759.25180578372</v>
          </cell>
          <cell r="W14">
            <v>191659.03164088441</v>
          </cell>
          <cell r="X14">
            <v>196520.6958601404</v>
          </cell>
          <cell r="Y14">
            <v>197796.61580541701</v>
          </cell>
          <cell r="Z14">
            <v>201209.86866695338</v>
          </cell>
          <cell r="AA14">
            <v>208816.11850724957</v>
          </cell>
          <cell r="AB14">
            <v>207457.56655921563</v>
          </cell>
          <cell r="AC14">
            <v>212790.92058652351</v>
          </cell>
        </row>
        <row r="16">
          <cell r="I16">
            <v>37997.754000000001</v>
          </cell>
          <cell r="J16">
            <v>27766.157298359823</v>
          </cell>
          <cell r="K16">
            <v>20553.374554922375</v>
          </cell>
          <cell r="L16">
            <v>20461.686638692241</v>
          </cell>
          <cell r="M16">
            <v>20935.407539214611</v>
          </cell>
          <cell r="N16">
            <v>22486.461455441102</v>
          </cell>
          <cell r="O16">
            <v>25637.469509883464</v>
          </cell>
          <cell r="P16">
            <v>28788.477564325847</v>
          </cell>
          <cell r="Q16">
            <v>31939.485618768209</v>
          </cell>
          <cell r="R16">
            <v>35090.493673210585</v>
          </cell>
          <cell r="S16">
            <v>38241.501727652976</v>
          </cell>
          <cell r="T16">
            <v>44373.895191511998</v>
          </cell>
          <cell r="U16">
            <v>50506.288655370983</v>
          </cell>
          <cell r="V16">
            <v>56638.682119229969</v>
          </cell>
          <cell r="W16">
            <v>62771.075583088954</v>
          </cell>
          <cell r="X16">
            <v>68903.469046947954</v>
          </cell>
          <cell r="Y16">
            <v>69736.300952705016</v>
          </cell>
          <cell r="Z16">
            <v>70569.132858462108</v>
          </cell>
          <cell r="AA16">
            <v>71401.96476421917</v>
          </cell>
          <cell r="AB16">
            <v>72234.796669976262</v>
          </cell>
          <cell r="AC16">
            <v>73067.628575733324</v>
          </cell>
        </row>
        <row r="24">
          <cell r="I24">
            <v>60233.134763614493</v>
          </cell>
          <cell r="J24">
            <v>58281.420826749731</v>
          </cell>
          <cell r="K24">
            <v>58091.999030227496</v>
          </cell>
          <cell r="L24">
            <v>53402.860669859037</v>
          </cell>
          <cell r="M24">
            <v>55432.302563015306</v>
          </cell>
          <cell r="N24">
            <v>62030.847486102182</v>
          </cell>
          <cell r="O24">
            <v>59802.478372707803</v>
          </cell>
          <cell r="P24">
            <v>62704.814837133345</v>
          </cell>
          <cell r="Q24">
            <v>63257.915614720114</v>
          </cell>
          <cell r="R24">
            <v>59459.363102232128</v>
          </cell>
          <cell r="S24">
            <v>60953.449997543612</v>
          </cell>
          <cell r="T24">
            <v>60062.736159120497</v>
          </cell>
          <cell r="U24">
            <v>59659.225684806253</v>
          </cell>
          <cell r="V24">
            <v>57842.082031597172</v>
          </cell>
          <cell r="W24">
            <v>57125.564575314027</v>
          </cell>
          <cell r="X24">
            <v>56513.914499164857</v>
          </cell>
          <cell r="Y24">
            <v>54889.464173535249</v>
          </cell>
          <cell r="Z24">
            <v>58066.439025729145</v>
          </cell>
          <cell r="AA24">
            <v>60804.209229680979</v>
          </cell>
          <cell r="AB24">
            <v>57029.271844949733</v>
          </cell>
          <cell r="AC24">
            <v>61213.893019905765</v>
          </cell>
        </row>
        <row r="33">
          <cell r="I33">
            <v>9216.5140525000006</v>
          </cell>
          <cell r="J33">
            <v>12665.64849992</v>
          </cell>
          <cell r="K33">
            <v>12857.528839916802</v>
          </cell>
          <cell r="L33">
            <v>13371.829993513475</v>
          </cell>
          <cell r="M33">
            <v>13906.703193254012</v>
          </cell>
          <cell r="N33">
            <v>14462.971320984176</v>
          </cell>
          <cell r="O33">
            <v>15041.490173823542</v>
          </cell>
          <cell r="P33">
            <v>15643.149780776486</v>
          </cell>
          <cell r="Q33">
            <v>16268.875772007545</v>
          </cell>
          <cell r="R33">
            <v>16919.630802887848</v>
          </cell>
          <cell r="S33">
            <v>17596.416035003364</v>
          </cell>
          <cell r="T33">
            <v>18300.272676403496</v>
          </cell>
          <cell r="U33">
            <v>19032.283583459641</v>
          </cell>
          <cell r="V33">
            <v>19793.574926798025</v>
          </cell>
          <cell r="W33">
            <v>20585.317923869945</v>
          </cell>
          <cell r="X33">
            <v>21408.730640824742</v>
          </cell>
          <cell r="Y33">
            <v>22265.079866457731</v>
          </cell>
          <cell r="Z33">
            <v>23155.683061116044</v>
          </cell>
          <cell r="AA33">
            <v>24081.910383560687</v>
          </cell>
          <cell r="AB33">
            <v>25045.186798903116</v>
          </cell>
          <cell r="AC33">
            <v>26046.994270859235</v>
          </cell>
        </row>
        <row r="34">
          <cell r="I34">
            <v>10248.5500808</v>
          </cell>
          <cell r="J34">
            <v>18580.706347710606</v>
          </cell>
          <cell r="K34">
            <v>15712.227936004179</v>
          </cell>
          <cell r="L34">
            <v>17801.490986823261</v>
          </cell>
          <cell r="M34">
            <v>18721.858772818807</v>
          </cell>
          <cell r="N34">
            <v>20666.039845711945</v>
          </cell>
          <cell r="O34">
            <v>20591.845061638902</v>
          </cell>
          <cell r="P34">
            <v>20511.280062439066</v>
          </cell>
          <cell r="Q34">
            <v>20414.430685392501</v>
          </cell>
          <cell r="R34">
            <v>20305.476718252627</v>
          </cell>
          <cell r="S34">
            <v>20471.348035978983</v>
          </cell>
          <cell r="T34">
            <v>20700.488549953821</v>
          </cell>
          <cell r="U34">
            <v>20931.926342296152</v>
          </cell>
          <cell r="V34">
            <v>21165.634845324137</v>
          </cell>
          <cell r="W34">
            <v>21401.584892874867</v>
          </cell>
          <cell r="X34">
            <v>21656.364934152829</v>
          </cell>
          <cell r="Y34">
            <v>21963.317431369513</v>
          </cell>
          <cell r="Z34">
            <v>22275.253518239653</v>
          </cell>
          <cell r="AA34">
            <v>22592.226986942791</v>
          </cell>
          <cell r="AB34">
            <v>22914.291204523928</v>
          </cell>
          <cell r="AC34">
            <v>23241.499058016645</v>
          </cell>
        </row>
        <row r="35">
          <cell r="I35">
            <v>8334.2424941999998</v>
          </cell>
          <cell r="J35">
            <v>10762.316051920894</v>
          </cell>
          <cell r="K35">
            <v>10239.502921036647</v>
          </cell>
          <cell r="L35">
            <v>9960.9884415844499</v>
          </cell>
          <cell r="M35">
            <v>9680.5866169538458</v>
          </cell>
          <cell r="N35">
            <v>9417.2746609727001</v>
          </cell>
          <cell r="O35">
            <v>9161.1247901942425</v>
          </cell>
          <cell r="P35">
            <v>8914.5531164661643</v>
          </cell>
          <cell r="Q35">
            <v>8672.0772716982865</v>
          </cell>
          <cell r="R35">
            <v>8436.1967699080924</v>
          </cell>
          <cell r="S35">
            <v>8206.7322177665919</v>
          </cell>
          <cell r="T35">
            <v>7983.5091014433401</v>
          </cell>
          <cell r="U35">
            <v>7766.3576538840816</v>
          </cell>
          <cell r="V35">
            <v>7555.1127256984346</v>
          </cell>
          <cell r="W35">
            <v>7349.6136595594362</v>
          </cell>
          <cell r="X35">
            <v>7156.6863009960007</v>
          </cell>
          <cell r="Y35">
            <v>6968.8232855948554</v>
          </cell>
          <cell r="Z35">
            <v>6785.8916743479895</v>
          </cell>
          <cell r="AA35">
            <v>6607.7620178963543</v>
          </cell>
          <cell r="AB35">
            <v>6434.3082649265743</v>
          </cell>
          <cell r="AC35">
            <v>6265.407672972251</v>
          </cell>
        </row>
        <row r="36">
          <cell r="I36">
            <v>16311.280260599999</v>
          </cell>
          <cell r="J36">
            <v>1005.199085014</v>
          </cell>
          <cell r="K36">
            <v>982.94191105433606</v>
          </cell>
          <cell r="L36">
            <v>995.73251691964015</v>
          </cell>
          <cell r="M36">
            <v>1008.2843648087918</v>
          </cell>
          <cell r="N36">
            <v>1021.6831895642027</v>
          </cell>
          <cell r="O36">
            <v>1035.4035861137436</v>
          </cell>
          <cell r="P36">
            <v>1049.6288932563075</v>
          </cell>
          <cell r="Q36">
            <v>1064.019986694459</v>
          </cell>
          <cell r="R36">
            <v>1078.7564663751259</v>
          </cell>
          <cell r="S36">
            <v>1093.8466215681292</v>
          </cell>
          <cell r="T36">
            <v>1109.2989404857642</v>
          </cell>
          <cell r="U36">
            <v>1125.1221150574224</v>
          </cell>
          <cell r="V36">
            <v>1141.3250458188008</v>
          </cell>
          <cell r="W36">
            <v>1157.9168469184519</v>
          </cell>
          <cell r="X36">
            <v>1175.6147680914132</v>
          </cell>
          <cell r="Y36">
            <v>1193.7551372936985</v>
          </cell>
          <cell r="Z36">
            <v>1212.3490157260408</v>
          </cell>
          <cell r="AA36">
            <v>1231.4077411191918</v>
          </cell>
          <cell r="AB36">
            <v>1250.9429346471716</v>
          </cell>
          <cell r="AC36">
            <v>1270.9665080133509</v>
          </cell>
        </row>
      </sheetData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MODEL STATUS"/>
      <sheetName val="SUMMARY"/>
      <sheetName val="ASSUME"/>
      <sheetName val="ASSUME 2"/>
      <sheetName val="SOURCES"/>
      <sheetName val="Tax Cap Accts"/>
      <sheetName val="GAAP FINANCIALS"/>
      <sheetName val="TAXABLE INCOME"/>
      <sheetName val="NOLS"/>
      <sheetName val="RETURNS"/>
      <sheetName val="BALANCES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Template"/>
      <sheetName val="TAX1997"/>
      <sheetName val="FERC 1"/>
      <sheetName val="FERC Analysis"/>
      <sheetName val="FERC Summary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>
        <row r="13">
          <cell r="F13">
            <v>3843138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130000</v>
          </cell>
          <cell r="G17">
            <v>132860</v>
          </cell>
          <cell r="H17">
            <v>136048.64000000001</v>
          </cell>
          <cell r="I17">
            <v>139313.80736000001</v>
          </cell>
          <cell r="J17">
            <v>142518.02492927999</v>
          </cell>
          <cell r="K17">
            <v>145938.45752758271</v>
          </cell>
          <cell r="L17">
            <v>149440.98050824468</v>
          </cell>
          <cell r="M17">
            <v>153027.56404044255</v>
          </cell>
          <cell r="N17">
            <v>156700.22557741316</v>
          </cell>
          <cell r="O17">
            <v>160461.03099127108</v>
          </cell>
          <cell r="P17">
            <v>164312.09573506159</v>
          </cell>
          <cell r="Q17">
            <v>168255.58603270308</v>
          </cell>
          <cell r="R17">
            <v>172293.72009748797</v>
          </cell>
          <cell r="S17">
            <v>176428.76937982769</v>
          </cell>
          <cell r="T17">
            <v>180663.05984494355</v>
          </cell>
          <cell r="U17">
            <v>185179.63634106712</v>
          </cell>
          <cell r="V17">
            <v>189809.12724959379</v>
          </cell>
          <cell r="W17">
            <v>194554.35543083362</v>
          </cell>
          <cell r="X17">
            <v>199418.21431660443</v>
          </cell>
          <cell r="Y17">
            <v>204403.66967451951</v>
          </cell>
          <cell r="Z17">
            <v>209513.76141638248</v>
          </cell>
        </row>
        <row r="18">
          <cell r="F18">
            <v>50000</v>
          </cell>
          <cell r="G18">
            <v>51100</v>
          </cell>
          <cell r="H18">
            <v>52326.400000000001</v>
          </cell>
          <cell r="I18">
            <v>53582.2336</v>
          </cell>
          <cell r="J18">
            <v>54814.624972799997</v>
          </cell>
          <cell r="K18">
            <v>56130.175972147197</v>
          </cell>
          <cell r="L18">
            <v>57477.300195478732</v>
          </cell>
          <cell r="M18">
            <v>58856.755400170223</v>
          </cell>
          <cell r="N18">
            <v>60269.317529774307</v>
          </cell>
          <cell r="O18">
            <v>61715.781150488889</v>
          </cell>
          <cell r="P18">
            <v>63196.95989810062</v>
          </cell>
          <cell r="Q18">
            <v>64713.686935655038</v>
          </cell>
          <cell r="R18">
            <v>66266.815422110754</v>
          </cell>
          <cell r="S18">
            <v>67857.218992241411</v>
          </cell>
          <cell r="T18">
            <v>69485.792248055208</v>
          </cell>
          <cell r="U18">
            <v>71222.937054256588</v>
          </cell>
          <cell r="V18">
            <v>73003.510480612997</v>
          </cell>
          <cell r="W18">
            <v>74828.598242628315</v>
          </cell>
          <cell r="X18">
            <v>76699.313198694013</v>
          </cell>
          <cell r="Y18">
            <v>78616.796028661352</v>
          </cell>
          <cell r="Z18">
            <v>80582.215929377882</v>
          </cell>
        </row>
        <row r="19">
          <cell r="F19">
            <v>180000</v>
          </cell>
          <cell r="G19">
            <v>183960</v>
          </cell>
          <cell r="H19">
            <v>188375.04000000001</v>
          </cell>
          <cell r="I19">
            <v>192896.04096000001</v>
          </cell>
          <cell r="J19">
            <v>197332.64990207998</v>
          </cell>
          <cell r="K19">
            <v>202068.63349972991</v>
          </cell>
          <cell r="L19">
            <v>206918.28070372343</v>
          </cell>
          <cell r="M19">
            <v>211884.3194406128</v>
          </cell>
          <cell r="N19">
            <v>216969.54310718752</v>
          </cell>
          <cell r="O19">
            <v>222176.81214176002</v>
          </cell>
          <cell r="P19">
            <v>227509.05563316226</v>
          </cell>
          <cell r="Q19">
            <v>232969.27296835816</v>
          </cell>
          <cell r="R19">
            <v>238560.53551959875</v>
          </cell>
          <cell r="S19">
            <v>244285.98837206911</v>
          </cell>
          <cell r="T19">
            <v>250148.85209299877</v>
          </cell>
          <cell r="U19">
            <v>256402.57339532371</v>
          </cell>
          <cell r="V19">
            <v>262812.63773020677</v>
          </cell>
          <cell r="W19">
            <v>269382.95367346192</v>
          </cell>
          <cell r="X19">
            <v>276117.52751529845</v>
          </cell>
          <cell r="Y19">
            <v>283020.46570318087</v>
          </cell>
          <cell r="Z19">
            <v>290095.97734576039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F24">
            <v>78796</v>
          </cell>
          <cell r="G24">
            <v>80529.512000000002</v>
          </cell>
          <cell r="H24">
            <v>82462.220288000011</v>
          </cell>
          <cell r="I24">
            <v>84441.313574912012</v>
          </cell>
          <cell r="J24">
            <v>86383.463787134984</v>
          </cell>
          <cell r="K24">
            <v>88456.666918026225</v>
          </cell>
          <cell r="L24">
            <v>90579.626924058859</v>
          </cell>
          <cell r="M24">
            <v>92753.53797023627</v>
          </cell>
          <cell r="N24">
            <v>94979.622881521937</v>
          </cell>
          <cell r="O24">
            <v>97259.13383067846</v>
          </cell>
          <cell r="P24">
            <v>99593.353042614748</v>
          </cell>
          <cell r="Q24">
            <v>101983.59351563751</v>
          </cell>
          <cell r="R24">
            <v>104431.19976001281</v>
          </cell>
          <cell r="S24">
            <v>106937.54855425312</v>
          </cell>
          <cell r="T24">
            <v>109504.0497195552</v>
          </cell>
          <cell r="U24">
            <v>112241.65096254407</v>
          </cell>
          <cell r="V24">
            <v>115047.69223660766</v>
          </cell>
          <cell r="W24">
            <v>117923.88454252284</v>
          </cell>
          <cell r="X24">
            <v>120871.98165608589</v>
          </cell>
          <cell r="Y24">
            <v>123893.78119748803</v>
          </cell>
          <cell r="Z24">
            <v>126991.12572742523</v>
          </cell>
        </row>
        <row r="25">
          <cell r="F25">
            <v>1462656</v>
          </cell>
          <cell r="G25">
            <v>1468434.432</v>
          </cell>
          <cell r="H25">
            <v>1474876.858368</v>
          </cell>
          <cell r="I25">
            <v>1481473.9029688321</v>
          </cell>
          <cell r="J25">
            <v>1487947.8027371152</v>
          </cell>
          <cell r="K25">
            <v>1494858.5500028059</v>
          </cell>
          <cell r="L25">
            <v>1501935.1552028733</v>
          </cell>
          <cell r="M25">
            <v>1509181.5989277423</v>
          </cell>
          <cell r="N25">
            <v>1516601.9573020083</v>
          </cell>
          <cell r="O25">
            <v>1524200.4042772565</v>
          </cell>
          <cell r="P25">
            <v>1531981.2139799106</v>
          </cell>
          <cell r="Q25">
            <v>1539948.7631154284</v>
          </cell>
          <cell r="R25">
            <v>1548107.5334301987</v>
          </cell>
          <cell r="S25">
            <v>1556462.1142325234</v>
          </cell>
          <cell r="T25">
            <v>1565017.204974104</v>
          </cell>
          <cell r="U25">
            <v>1574142.6350984564</v>
          </cell>
          <cell r="V25">
            <v>1583496.2009759177</v>
          </cell>
          <cell r="W25">
            <v>1593083.6060003156</v>
          </cell>
          <cell r="X25">
            <v>1602910.6961503234</v>
          </cell>
          <cell r="Y25">
            <v>1612983.4635540815</v>
          </cell>
          <cell r="Z25">
            <v>1623308.0501429336</v>
          </cell>
        </row>
        <row r="31">
          <cell r="G31">
            <v>-5633692.0374074988</v>
          </cell>
          <cell r="H31">
            <v>-5473319.6118149981</v>
          </cell>
          <cell r="I31">
            <v>-5312785.5174074993</v>
          </cell>
          <cell r="J31">
            <v>-5129398.9889999991</v>
          </cell>
          <cell r="K31">
            <v>-4925550.4154999992</v>
          </cell>
          <cell r="L31">
            <v>-4745607.5544074988</v>
          </cell>
          <cell r="M31">
            <v>-4515138.3264074987</v>
          </cell>
          <cell r="N31">
            <v>-4256305.9458149988</v>
          </cell>
          <cell r="O31">
            <v>-3988316.7894074991</v>
          </cell>
          <cell r="P31">
            <v>-3702255.9768149992</v>
          </cell>
          <cell r="Q31">
            <v>-3394234.3398149991</v>
          </cell>
          <cell r="R31">
            <v>-3064413.5472224993</v>
          </cell>
          <cell r="S31">
            <v>-2746343.5248149992</v>
          </cell>
          <cell r="T31">
            <v>-2367617.3079074994</v>
          </cell>
          <cell r="U31">
            <v>-1962756.6584999992</v>
          </cell>
          <cell r="V31">
            <v>-1527425.6919074995</v>
          </cell>
          <cell r="W31">
            <v>-1057208.2968149995</v>
          </cell>
          <cell r="X31">
            <v>-548984.75131499954</v>
          </cell>
          <cell r="Y31">
            <v>0</v>
          </cell>
          <cell r="Z31">
            <v>0</v>
          </cell>
        </row>
        <row r="32">
          <cell r="G32">
            <v>-110446.36045199422</v>
          </cell>
          <cell r="H32">
            <v>-107302.32087618153</v>
          </cell>
          <cell r="I32">
            <v>-104155.11184557852</v>
          </cell>
          <cell r="J32">
            <v>-100559.88965663983</v>
          </cell>
          <cell r="K32">
            <v>-96563.516962337162</v>
          </cell>
          <cell r="L32">
            <v>-93035.806543481696</v>
          </cell>
          <cell r="M32">
            <v>-88517.546180692254</v>
          </cell>
          <cell r="N32">
            <v>-83443.237146092957</v>
          </cell>
          <cell r="O32">
            <v>-78189.413051826516</v>
          </cell>
          <cell r="P32">
            <v>-72581.301105167688</v>
          </cell>
          <cell r="Q32">
            <v>-66542.65566249445</v>
          </cell>
          <cell r="R32">
            <v>-60076.646178597133</v>
          </cell>
          <cell r="S32">
            <v>-53841.006013935505</v>
          </cell>
          <cell r="T32">
            <v>-46416.224540712727</v>
          </cell>
          <cell r="U32">
            <v>-38479.087593861397</v>
          </cell>
          <cell r="V32">
            <v>-29944.591825733474</v>
          </cell>
          <cell r="W32">
            <v>-20726.161076529293</v>
          </cell>
          <cell r="X32">
            <v>-10762.634400989904</v>
          </cell>
          <cell r="Y32">
            <v>0</v>
          </cell>
          <cell r="Z32">
            <v>0</v>
          </cell>
        </row>
        <row r="35">
          <cell r="F35">
            <v>295366.76568323903</v>
          </cell>
          <cell r="G35">
            <v>333816.66058518749</v>
          </cell>
          <cell r="H35">
            <v>334453.22475777497</v>
          </cell>
          <cell r="I35">
            <v>336706.52762468508</v>
          </cell>
          <cell r="J35">
            <v>335194.21607735602</v>
          </cell>
          <cell r="K35">
            <v>334143.60298231256</v>
          </cell>
          <cell r="L35">
            <v>336784.04166547558</v>
          </cell>
          <cell r="M35">
            <v>339258.95630660251</v>
          </cell>
          <cell r="N35">
            <v>335658.80077650398</v>
          </cell>
          <cell r="O35">
            <v>332196.02461526357</v>
          </cell>
          <cell r="P35">
            <v>330853.56807177293</v>
          </cell>
          <cell r="Q35">
            <v>328891.09283880639</v>
          </cell>
          <cell r="R35">
            <v>325138.95700143633</v>
          </cell>
          <cell r="S35">
            <v>322201.03431034979</v>
          </cell>
          <cell r="T35">
            <v>319612.68519602163</v>
          </cell>
          <cell r="U35">
            <v>314965.41173641756</v>
          </cell>
          <cell r="V35">
            <v>308326.71045907785</v>
          </cell>
          <cell r="W35">
            <v>300764.00414580008</v>
          </cell>
          <cell r="X35">
            <v>292789.43019768578</v>
          </cell>
          <cell r="Y35">
            <v>283601.85763705597</v>
          </cell>
          <cell r="Z35">
            <v>285058.6571192324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5535160.1785528064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17124054.559999999</v>
          </cell>
          <cell r="G187">
            <v>17141000</v>
          </cell>
          <cell r="H187">
            <v>17141000</v>
          </cell>
          <cell r="I187">
            <v>17141000</v>
          </cell>
          <cell r="J187">
            <v>17141000</v>
          </cell>
          <cell r="K187">
            <v>17119032.502273262</v>
          </cell>
          <cell r="L187">
            <v>17141344.549628492</v>
          </cell>
          <cell r="M187">
            <v>17141344.549628492</v>
          </cell>
          <cell r="N187">
            <v>17141344.549628492</v>
          </cell>
          <cell r="O187">
            <v>17141344.549628492</v>
          </cell>
          <cell r="P187">
            <v>17141344.549628492</v>
          </cell>
          <cell r="Q187">
            <v>17141344.549628492</v>
          </cell>
          <cell r="R187">
            <v>17119032.502273262</v>
          </cell>
          <cell r="S187">
            <v>17141344.549628492</v>
          </cell>
          <cell r="T187">
            <v>17141344.549628492</v>
          </cell>
          <cell r="U187">
            <v>17141344.549628492</v>
          </cell>
          <cell r="V187">
            <v>17141344.549628492</v>
          </cell>
          <cell r="W187">
            <v>17141344.549628492</v>
          </cell>
          <cell r="X187">
            <v>17141344.549628492</v>
          </cell>
          <cell r="Y187">
            <v>17119032.502273262</v>
          </cell>
          <cell r="Z187">
            <v>17141344.549628492</v>
          </cell>
        </row>
        <row r="193">
          <cell r="F193">
            <v>1346994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3237265.2592548211</v>
          </cell>
          <cell r="H13">
            <v>3085880.0038730749</v>
          </cell>
          <cell r="I13">
            <v>2919356.2229531542</v>
          </cell>
          <cell r="J13">
            <v>2736180.0639412417</v>
          </cell>
          <cell r="K13">
            <v>2534686.2890281375</v>
          </cell>
          <cell r="L13">
            <v>2313043.136623723</v>
          </cell>
          <cell r="M13">
            <v>2069235.6689788667</v>
          </cell>
          <cell r="N13">
            <v>1801047.4545695251</v>
          </cell>
          <cell r="O13">
            <v>1506040.4187192493</v>
          </cell>
          <cell r="P13">
            <v>1181532.6792839458</v>
          </cell>
          <cell r="Q13">
            <v>824574.16590511217</v>
          </cell>
          <cell r="R13">
            <v>431919.80118839513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5">
          <cell r="F15">
            <v>32372652.59254821</v>
          </cell>
        </row>
      </sheetData>
      <sheetData sheetId="18">
        <row r="24">
          <cell r="G24">
            <v>2097742.65</v>
          </cell>
          <cell r="H24">
            <v>2099857.35</v>
          </cell>
          <cell r="I24">
            <v>2398777.35</v>
          </cell>
          <cell r="J24">
            <v>2666430</v>
          </cell>
          <cell r="K24">
            <v>2353732.65</v>
          </cell>
          <cell r="L24">
            <v>3014640</v>
          </cell>
          <cell r="M24">
            <v>3385642.65</v>
          </cell>
          <cell r="N24">
            <v>3505417.35</v>
          </cell>
          <cell r="O24">
            <v>3741802.6500000004</v>
          </cell>
          <cell r="P24">
            <v>4029060</v>
          </cell>
          <cell r="Q24">
            <v>4314202.6500000004</v>
          </cell>
          <cell r="R24">
            <v>4160497.35</v>
          </cell>
          <cell r="S24">
            <v>4953907.3500000006</v>
          </cell>
          <cell r="T24">
            <v>5295757.3499999996</v>
          </cell>
          <cell r="U24">
            <v>5694322.6500000004</v>
          </cell>
          <cell r="V24">
            <v>6150652.6499999994</v>
          </cell>
          <cell r="W24">
            <v>6647790</v>
          </cell>
          <cell r="X24">
            <v>7180964.6499999994</v>
          </cell>
          <cell r="Y24">
            <v>0</v>
          </cell>
          <cell r="Z24">
            <v>0</v>
          </cell>
        </row>
        <row r="51">
          <cell r="F51">
            <v>73691197.349999994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"/>
      <sheetName val="VBA Functions and Subs"/>
      <sheetName val="Loc Table"/>
    </sheetNames>
    <definedNames>
      <definedName name="xirr"/>
      <definedName name="xnpv"/>
    </definedNames>
    <sheetDataSet>
      <sheetData sheetId="0"/>
      <sheetData sheetId="1" refreshError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iance"/>
      <sheetName val="Consol Summary"/>
      <sheetName val="WC Summ"/>
      <sheetName val="WC MO"/>
      <sheetName val="WC YTD"/>
      <sheetName val="WH Summ"/>
      <sheetName val="WH MO"/>
      <sheetName val="WH YTD"/>
      <sheetName val="Gl Summ"/>
      <sheetName val="Gl MO"/>
      <sheetName val="Gl YTD"/>
    </sheetNames>
    <sheetDataSet>
      <sheetData sheetId="0" refreshError="1"/>
      <sheetData sheetId="1">
        <row r="22">
          <cell r="D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D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D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D29">
            <v>0</v>
          </cell>
          <cell r="F29">
            <v>0</v>
          </cell>
          <cell r="G29">
            <v>0</v>
          </cell>
          <cell r="H29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</row>
        <row r="33">
          <cell r="D33">
            <v>0</v>
          </cell>
          <cell r="F33">
            <v>0</v>
          </cell>
          <cell r="G33">
            <v>0</v>
          </cell>
          <cell r="H33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H35">
            <v>0</v>
          </cell>
        </row>
        <row r="38">
          <cell r="D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D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D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D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D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D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D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D45">
            <v>0</v>
          </cell>
          <cell r="F45">
            <v>0</v>
          </cell>
          <cell r="G45">
            <v>0</v>
          </cell>
          <cell r="H45">
            <v>0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apacity Prices"/>
      <sheetName val="Assumptions"/>
      <sheetName val="Spark-Spread"/>
      <sheetName val="99 Acct Sumry"/>
      <sheetName val="00 Acct Sumry"/>
      <sheetName val="Consolidated"/>
      <sheetName val="Brownsville"/>
      <sheetName val="Caledonia"/>
      <sheetName val="New Albany"/>
      <sheetName val="Gleason"/>
      <sheetName val="Wheatland"/>
      <sheetName val="Wilton"/>
      <sheetName val="Depreciation"/>
      <sheetName val="Notes"/>
      <sheetName val="Process"/>
      <sheetName val="Changes"/>
      <sheetName val="Start Charge Matrix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Co_Summary Output"/>
    </sheetNames>
    <sheetDataSet>
      <sheetData sheetId="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NewCo_IS"/>
      <sheetName val="NewCo_BS"/>
      <sheetName val="NewCo_CF"/>
      <sheetName val="NewCo_Tax"/>
      <sheetName val="Devel_Summary"/>
      <sheetName val="Devel_Assumptions"/>
      <sheetName val="Devel_Financials"/>
      <sheetName val="Devel_Schedule"/>
      <sheetName val="FPLE_Valuation Summary"/>
      <sheetName val="FPLE_Annual Summary"/>
      <sheetName val="FPLE_IS"/>
      <sheetName val="FPLE_CF"/>
      <sheetName val="FPLE_Tax"/>
      <sheetName val="FPLE_Debt"/>
      <sheetName val="Maine Hydro"/>
      <sheetName val="Maine Thermal"/>
      <sheetName val="Lamar"/>
      <sheetName val="Marcus Hook 50"/>
      <sheetName val="Doswell"/>
      <sheetName val="Doswell CT"/>
      <sheetName val="Segs VIII"/>
      <sheetName val="Segs IX"/>
      <sheetName val="NELP - Bellingham &amp; Sayreville"/>
      <sheetName val="Cherokee"/>
      <sheetName val="FPLE_Wind Summary"/>
      <sheetName val="FPLE_Wind Annual Summary"/>
      <sheetName val="Cerro Gordo"/>
      <sheetName val="Southwest Mesa"/>
      <sheetName val="Vansycle"/>
      <sheetName val="Cameron"/>
      <sheetName val="Pacific Crest"/>
      <sheetName val="Sky River"/>
      <sheetName val="Ridgetop"/>
      <sheetName val="Green Ridge"/>
      <sheetName val="Mojave 16-18"/>
      <sheetName val="Morwind"/>
      <sheetName val="VG"/>
      <sheetName val="WPP 92"/>
      <sheetName val="WPP 91-2"/>
      <sheetName val="WPP 89"/>
      <sheetName val="WPP 91"/>
      <sheetName val="WPP 90"/>
      <sheetName val="ENA_Summary Output"/>
      <sheetName val="ENA_Assumptions"/>
      <sheetName val="ENA_Power Price Assumption"/>
      <sheetName val="ENA_IS"/>
      <sheetName val="ENA_BS"/>
      <sheetName val="ENA_CF"/>
      <sheetName val="ENA_Tax"/>
      <sheetName val="ENA_Debt"/>
      <sheetName val="ENA_Depreciation"/>
      <sheetName val="Brownsville"/>
      <sheetName val="Caledonia"/>
      <sheetName val="New Albany"/>
      <sheetName val="Gleason"/>
      <sheetName val="Wheatland"/>
      <sheetName val="Wilton"/>
      <sheetName val="Amortization of Power Contract"/>
      <sheetName val="ENA_Al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1">
          <cell r="F31">
            <v>3946.6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104"/>
  <sheetViews>
    <sheetView zoomScale="75" zoomScaleNormal="75" workbookViewId="0"/>
  </sheetViews>
  <sheetFormatPr defaultRowHeight="12.75"/>
  <cols>
    <col min="1" max="1" width="9.140625" style="7"/>
    <col min="2" max="2" width="50.7109375" style="7" customWidth="1"/>
    <col min="3" max="7" width="9.140625" style="7"/>
    <col min="8" max="8" width="50.7109375" style="7" customWidth="1"/>
    <col min="9" max="16384" width="9.140625" style="7"/>
  </cols>
  <sheetData>
    <row r="1" spans="1:16" ht="12.75" customHeight="1"/>
    <row r="2" spans="1:16" ht="20.100000000000001" customHeight="1">
      <c r="A2" s="1354" t="s">
        <v>695</v>
      </c>
      <c r="B2" s="1354"/>
      <c r="C2" s="1354"/>
      <c r="D2" s="1354"/>
      <c r="E2" s="1354"/>
      <c r="F2" s="1354"/>
      <c r="G2" s="1354"/>
      <c r="H2" s="1354"/>
      <c r="I2" s="1354"/>
      <c r="J2" s="1354"/>
      <c r="K2" s="1354"/>
      <c r="L2" s="1258"/>
      <c r="M2" s="1258"/>
      <c r="N2" s="1256"/>
      <c r="O2" s="1256"/>
      <c r="P2" s="1256"/>
    </row>
    <row r="3" spans="1:16" ht="20.100000000000001" customHeight="1">
      <c r="A3" s="1355" t="s">
        <v>698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259"/>
      <c r="M3" s="1259"/>
      <c r="N3" s="1256"/>
      <c r="O3" s="1256"/>
      <c r="P3" s="1256"/>
    </row>
    <row r="4" spans="1:16" s="919" customFormat="1" ht="20.100000000000001" customHeight="1">
      <c r="A4" s="1259"/>
      <c r="E4" s="1259"/>
      <c r="F4" s="1259"/>
      <c r="G4" s="1259"/>
      <c r="H4" s="1259"/>
      <c r="I4" s="1259"/>
      <c r="J4" s="1259"/>
      <c r="K4" s="1259"/>
      <c r="L4" s="1259"/>
      <c r="M4" s="1260"/>
      <c r="N4" s="1260"/>
      <c r="O4" s="1260"/>
    </row>
    <row r="5" spans="1:16" s="919" customFormat="1" ht="20.100000000000001" customHeight="1">
      <c r="A5" s="1257"/>
      <c r="B5" s="1263" t="s">
        <v>712</v>
      </c>
      <c r="C5" s="1260"/>
      <c r="D5" s="1263" t="s">
        <v>697</v>
      </c>
      <c r="E5" s="1260"/>
      <c r="F5" s="1260"/>
      <c r="G5" s="1260"/>
      <c r="H5" s="1263" t="s">
        <v>712</v>
      </c>
      <c r="I5" s="1264"/>
      <c r="J5" s="1263" t="s">
        <v>697</v>
      </c>
    </row>
    <row r="6" spans="1:16" s="919" customFormat="1" ht="5.0999999999999996" customHeight="1">
      <c r="A6" s="1257"/>
      <c r="B6" s="1265"/>
      <c r="C6" s="1260"/>
      <c r="D6" s="1265"/>
      <c r="E6" s="1260"/>
      <c r="F6" s="1260"/>
      <c r="G6" s="1260"/>
      <c r="H6" s="1265"/>
      <c r="I6" s="1264"/>
      <c r="J6" s="1265"/>
    </row>
    <row r="7" spans="1:16" s="919" customFormat="1" ht="20.100000000000001" customHeight="1">
      <c r="B7" s="919" t="s">
        <v>696</v>
      </c>
      <c r="D7" s="1264">
        <v>1</v>
      </c>
      <c r="H7" s="919" t="str">
        <f>Cameron!A1</f>
        <v>Cameron Ridge</v>
      </c>
      <c r="J7" s="1264">
        <f>D36+2</f>
        <v>46</v>
      </c>
    </row>
    <row r="8" spans="1:16" s="919" customFormat="1" ht="20.100000000000001" customHeight="1">
      <c r="B8" s="919" t="str">
        <f>'NewCo_Summary Output'!B3</f>
        <v>NewCo SUMMARY OUTPUT</v>
      </c>
      <c r="D8" s="1264">
        <f t="shared" ref="D8:D14" si="0">D7+1</f>
        <v>2</v>
      </c>
      <c r="H8" s="919" t="str">
        <f>'Pacific Crest'!A1</f>
        <v>Pacific Crest</v>
      </c>
      <c r="J8" s="1264">
        <f>J7+2</f>
        <v>48</v>
      </c>
    </row>
    <row r="9" spans="1:16" s="919" customFormat="1" ht="20.100000000000001" customHeight="1">
      <c r="B9" s="919" t="str">
        <f>NewCo_BS!A2</f>
        <v>NewCo BALANCE SHEET (with Development Pipeline)</v>
      </c>
      <c r="D9" s="1264">
        <f t="shared" si="0"/>
        <v>3</v>
      </c>
      <c r="H9" s="919" t="str">
        <f>'Sky River'!A1</f>
        <v>Sky River</v>
      </c>
      <c r="J9" s="1264">
        <f t="shared" ref="J9:J20" si="1">J8+2</f>
        <v>50</v>
      </c>
    </row>
    <row r="10" spans="1:16" s="919" customFormat="1" ht="20.100000000000001" customHeight="1">
      <c r="B10" s="919" t="str">
        <f>NewCo_IS!A2</f>
        <v>NewCo INCOME STATEMENT</v>
      </c>
      <c r="D10" s="1264">
        <f t="shared" si="0"/>
        <v>4</v>
      </c>
      <c r="H10" s="919" t="str">
        <f>Ridgetop!A1</f>
        <v>Ridgetop</v>
      </c>
      <c r="J10" s="1264">
        <f t="shared" si="1"/>
        <v>52</v>
      </c>
    </row>
    <row r="11" spans="1:16" s="919" customFormat="1" ht="20.100000000000001" customHeight="1">
      <c r="B11" s="919" t="str">
        <f>NewCo_CF!A2</f>
        <v>NewCo ANNUAL CASH FLOW AND IRR</v>
      </c>
      <c r="D11" s="1264">
        <f t="shared" si="0"/>
        <v>5</v>
      </c>
      <c r="H11" s="919" t="str">
        <f>'Green Ridge'!A1</f>
        <v>Green Ridge</v>
      </c>
      <c r="J11" s="1264">
        <f t="shared" si="1"/>
        <v>54</v>
      </c>
    </row>
    <row r="12" spans="1:16" s="919" customFormat="1" ht="20.100000000000001" customHeight="1">
      <c r="B12" s="919" t="str">
        <f>NewCo_Tax!A2</f>
        <v>NewCo FEDERAL TAXES</v>
      </c>
      <c r="D12" s="1264">
        <f t="shared" si="0"/>
        <v>6</v>
      </c>
      <c r="H12" s="919" t="str">
        <f>'Mojave 16-18'!A1</f>
        <v>Mojave 16-18</v>
      </c>
      <c r="J12" s="1264">
        <f t="shared" si="1"/>
        <v>56</v>
      </c>
    </row>
    <row r="13" spans="1:16" s="919" customFormat="1" ht="20.100000000000001" customHeight="1">
      <c r="B13" s="919" t="str">
        <f>Devel_Summary!B2</f>
        <v>NewCo Development - Financial Summary</v>
      </c>
      <c r="D13" s="1264">
        <f t="shared" si="0"/>
        <v>7</v>
      </c>
      <c r="H13" s="919" t="str">
        <f>Morwind!A1</f>
        <v>Morwind</v>
      </c>
      <c r="J13" s="1264">
        <f t="shared" si="1"/>
        <v>58</v>
      </c>
    </row>
    <row r="14" spans="1:16" s="919" customFormat="1" ht="20.100000000000001" customHeight="1">
      <c r="B14" s="919" t="str">
        <f>Devel_Financials!B2</f>
        <v>NewCo Development - FINANCIAL PROFILE</v>
      </c>
      <c r="D14" s="1264">
        <f t="shared" si="0"/>
        <v>8</v>
      </c>
      <c r="H14" s="919" t="str">
        <f>VG!A1</f>
        <v>Victory Garden</v>
      </c>
      <c r="J14" s="1264">
        <f t="shared" si="1"/>
        <v>60</v>
      </c>
    </row>
    <row r="15" spans="1:16" s="919" customFormat="1" ht="20.100000000000001" customHeight="1">
      <c r="B15" s="919" t="str">
        <f>Devel_Schedule!B2</f>
        <v>NewCo Development - Project Schedule</v>
      </c>
      <c r="D15" s="1264">
        <f>D14+2</f>
        <v>10</v>
      </c>
      <c r="H15" s="919" t="str">
        <f>'WPP 92'!A1</f>
        <v>WPP 92</v>
      </c>
      <c r="J15" s="1264">
        <f t="shared" si="1"/>
        <v>62</v>
      </c>
    </row>
    <row r="16" spans="1:16" s="919" customFormat="1" ht="20.100000000000001" customHeight="1">
      <c r="B16" s="919" t="str">
        <f>'FPLE_Valuation Summary'!B2</f>
        <v>FPLE Valuation Summary</v>
      </c>
      <c r="D16" s="1264">
        <f t="shared" ref="D16:D22" si="2">D15+1</f>
        <v>11</v>
      </c>
      <c r="H16" s="919" t="str">
        <f>'WPP 91-2'!A1</f>
        <v>WPP 91-2</v>
      </c>
      <c r="J16" s="1264">
        <f t="shared" si="1"/>
        <v>64</v>
      </c>
    </row>
    <row r="17" spans="2:10" s="919" customFormat="1" ht="20.100000000000001" customHeight="1">
      <c r="B17" s="919" t="str">
        <f>'FPLE_Annual Summary'!B2</f>
        <v>FPLE Financial Summary</v>
      </c>
      <c r="D17" s="1264">
        <f t="shared" si="2"/>
        <v>12</v>
      </c>
      <c r="H17" s="919" t="str">
        <f>'WPP 89'!A1</f>
        <v>WPP 89</v>
      </c>
      <c r="J17" s="1264">
        <f t="shared" si="1"/>
        <v>66</v>
      </c>
    </row>
    <row r="18" spans="2:10" s="919" customFormat="1" ht="20.100000000000001" customHeight="1">
      <c r="B18" s="919" t="str">
        <f>FPLE_IS!A2</f>
        <v>FPLE GenCo INCOME STATEMENT</v>
      </c>
      <c r="D18" s="1264">
        <f t="shared" si="2"/>
        <v>13</v>
      </c>
      <c r="H18" s="919" t="str">
        <f>'WPP 91'!A1</f>
        <v>WPP 91</v>
      </c>
      <c r="J18" s="1264">
        <f t="shared" si="1"/>
        <v>68</v>
      </c>
    </row>
    <row r="19" spans="2:10" s="919" customFormat="1" ht="20.100000000000001" customHeight="1">
      <c r="B19" s="919" t="str">
        <f>FPLE_CF!A2</f>
        <v>FPLE GenCo ANNUAL CASH FLOW AND IRR</v>
      </c>
      <c r="D19" s="1264">
        <f t="shared" si="2"/>
        <v>14</v>
      </c>
      <c r="H19" s="919" t="str">
        <f>'WPP 90'!A1</f>
        <v>WPP 90</v>
      </c>
      <c r="J19" s="1264">
        <f t="shared" si="1"/>
        <v>70</v>
      </c>
    </row>
    <row r="20" spans="2:10" s="919" customFormat="1" ht="20.100000000000001" customHeight="1">
      <c r="B20" s="919" t="str">
        <f>FPLE_Tax!A2</f>
        <v>FPLE GenCo State and FEDERAL TAXES</v>
      </c>
      <c r="D20" s="1264">
        <f t="shared" si="2"/>
        <v>15</v>
      </c>
      <c r="H20" s="919" t="str">
        <f>'ENA_Summary Output'!A3</f>
        <v>ENA GenCo SUMMARY OUTPUT</v>
      </c>
      <c r="J20" s="1264">
        <f t="shared" si="1"/>
        <v>72</v>
      </c>
    </row>
    <row r="21" spans="2:10" s="919" customFormat="1" ht="20.100000000000001" customHeight="1">
      <c r="B21" s="919" t="s">
        <v>711</v>
      </c>
      <c r="D21" s="1264">
        <f t="shared" si="2"/>
        <v>16</v>
      </c>
      <c r="H21" s="919" t="str">
        <f>ENA_Assumptions!A2</f>
        <v>ENA GenCo ASSUMPTIONS</v>
      </c>
      <c r="J21" s="1264">
        <f>J20+1</f>
        <v>73</v>
      </c>
    </row>
    <row r="22" spans="2:10" s="919" customFormat="1" ht="20.100000000000001" customHeight="1">
      <c r="B22" s="919" t="s">
        <v>699</v>
      </c>
      <c r="D22" s="1264">
        <f t="shared" si="2"/>
        <v>17</v>
      </c>
      <c r="H22" s="919" t="str">
        <f>'ENA_Power Price Assumption'!A2</f>
        <v>ENA GenCo POWER PRICE ASSUMPTION</v>
      </c>
      <c r="J22" s="1264">
        <f>J21+1</f>
        <v>74</v>
      </c>
    </row>
    <row r="23" spans="2:10" s="919" customFormat="1" ht="20.100000000000001" customHeight="1">
      <c r="B23" s="919" t="s">
        <v>207</v>
      </c>
      <c r="D23" s="1264">
        <f>D22+2</f>
        <v>19</v>
      </c>
      <c r="H23" s="919" t="str">
        <f>ENA_BS!A2</f>
        <v>ENA GenCo BALANCE SHEET</v>
      </c>
      <c r="J23" s="1264">
        <f>J22+1</f>
        <v>75</v>
      </c>
    </row>
    <row r="24" spans="2:10" s="919" customFormat="1" ht="20.100000000000001" customHeight="1">
      <c r="B24" s="919" t="s">
        <v>97</v>
      </c>
      <c r="D24" s="1264">
        <f t="shared" ref="D24:D32" si="3">D23+2</f>
        <v>21</v>
      </c>
      <c r="H24" s="919" t="str">
        <f>ENA_IS!A2</f>
        <v>ENA GenCo INCOME STATEMENT</v>
      </c>
      <c r="J24" s="1264">
        <f>J23+1</f>
        <v>76</v>
      </c>
    </row>
    <row r="25" spans="2:10" s="919" customFormat="1" ht="20.100000000000001" customHeight="1">
      <c r="B25" s="919" t="s">
        <v>98</v>
      </c>
      <c r="D25" s="1264">
        <f t="shared" si="3"/>
        <v>23</v>
      </c>
      <c r="H25" s="919" t="str">
        <f>ENA_CF!A2</f>
        <v>ENA GenCo ANNUAL CASH FLOW AND IRR</v>
      </c>
      <c r="J25" s="1264">
        <f t="shared" ref="J25:J36" si="4">J24+1</f>
        <v>77</v>
      </c>
    </row>
    <row r="26" spans="2:10" s="919" customFormat="1" ht="20.100000000000001" customHeight="1">
      <c r="B26" s="919" t="s">
        <v>100</v>
      </c>
      <c r="D26" s="1264">
        <f t="shared" si="3"/>
        <v>25</v>
      </c>
      <c r="H26" s="919" t="str">
        <f>ENA_Tax!A2</f>
        <v>ENA GenCo FEDERAL TAXES</v>
      </c>
      <c r="J26" s="1264">
        <f t="shared" si="4"/>
        <v>78</v>
      </c>
    </row>
    <row r="27" spans="2:10" s="919" customFormat="1" ht="20.100000000000001" customHeight="1">
      <c r="B27" s="919" t="s">
        <v>115</v>
      </c>
      <c r="D27" s="1264">
        <f t="shared" si="3"/>
        <v>27</v>
      </c>
      <c r="H27" s="919" t="str">
        <f>ENA_Debt!A2</f>
        <v>ENA GenCo DEBT ISSUANCE</v>
      </c>
      <c r="J27" s="1264">
        <f t="shared" si="4"/>
        <v>79</v>
      </c>
    </row>
    <row r="28" spans="2:10" s="919" customFormat="1" ht="20.100000000000001" customHeight="1">
      <c r="B28" s="919" t="s">
        <v>700</v>
      </c>
      <c r="D28" s="1264">
        <f t="shared" si="3"/>
        <v>29</v>
      </c>
      <c r="H28" s="919" t="str">
        <f>ENA_Depreciation!A2</f>
        <v>ENA GenCo DEPRECIATION</v>
      </c>
      <c r="J28" s="1264">
        <f t="shared" si="4"/>
        <v>80</v>
      </c>
    </row>
    <row r="29" spans="2:10" s="919" customFormat="1" ht="20.100000000000001" customHeight="1">
      <c r="B29" s="919" t="s">
        <v>701</v>
      </c>
      <c r="D29" s="1264">
        <f t="shared" si="3"/>
        <v>31</v>
      </c>
      <c r="H29" s="919" t="s">
        <v>703</v>
      </c>
      <c r="J29" s="1264">
        <f t="shared" si="4"/>
        <v>81</v>
      </c>
    </row>
    <row r="30" spans="2:10" s="919" customFormat="1" ht="20.100000000000001" customHeight="1">
      <c r="B30" s="919" t="s">
        <v>702</v>
      </c>
      <c r="D30" s="1264">
        <f t="shared" si="3"/>
        <v>33</v>
      </c>
      <c r="H30" s="919" t="s">
        <v>704</v>
      </c>
      <c r="J30" s="1264">
        <f t="shared" si="4"/>
        <v>82</v>
      </c>
    </row>
    <row r="31" spans="2:10" s="919" customFormat="1" ht="20.100000000000001" customHeight="1">
      <c r="B31" s="919" t="s">
        <v>104</v>
      </c>
      <c r="D31" s="1264">
        <f t="shared" si="3"/>
        <v>35</v>
      </c>
      <c r="H31" s="919" t="s">
        <v>705</v>
      </c>
      <c r="J31" s="1264">
        <f t="shared" si="4"/>
        <v>83</v>
      </c>
    </row>
    <row r="32" spans="2:10" s="919" customFormat="1" ht="20.100000000000001" customHeight="1">
      <c r="B32" s="919" t="str">
        <f>'FPLE_Wind Summary'!B2</f>
        <v>FPLE Wind Valuation Summary</v>
      </c>
      <c r="D32" s="1264">
        <f t="shared" si="3"/>
        <v>37</v>
      </c>
      <c r="H32" s="919" t="s">
        <v>706</v>
      </c>
      <c r="J32" s="1264">
        <f t="shared" si="4"/>
        <v>84</v>
      </c>
    </row>
    <row r="33" spans="2:14" s="919" customFormat="1" ht="20.100000000000001" customHeight="1">
      <c r="B33" s="919" t="str">
        <f>'FPLE_Wind Annual Summary'!B3</f>
        <v>FPLE Wind Financial Summary</v>
      </c>
      <c r="D33" s="1264">
        <f>D32+1</f>
        <v>38</v>
      </c>
      <c r="H33" s="919" t="s">
        <v>707</v>
      </c>
      <c r="J33" s="1264">
        <f t="shared" si="4"/>
        <v>85</v>
      </c>
      <c r="M33" s="1261"/>
      <c r="N33" s="1262"/>
    </row>
    <row r="34" spans="2:14" s="919" customFormat="1" ht="20.100000000000001" customHeight="1">
      <c r="B34" s="919" t="str">
        <f>'Cerro Gordo'!A1</f>
        <v>Cerro Gordo</v>
      </c>
      <c r="D34" s="1264">
        <f>D33+2</f>
        <v>40</v>
      </c>
      <c r="H34" s="919" t="s">
        <v>708</v>
      </c>
      <c r="J34" s="1264">
        <f t="shared" si="4"/>
        <v>86</v>
      </c>
    </row>
    <row r="35" spans="2:14" s="919" customFormat="1" ht="20.100000000000001" customHeight="1">
      <c r="B35" s="919" t="str">
        <f>'Southwest Mesa'!A1</f>
        <v>Southwest Mesa</v>
      </c>
      <c r="D35" s="1264">
        <f>D34+2</f>
        <v>42</v>
      </c>
      <c r="H35" s="919" t="str">
        <f>'Amortization of Power Contract'!A2</f>
        <v>AMORTIZATION OF POWER CONTRACT</v>
      </c>
      <c r="J35" s="1264">
        <f t="shared" si="4"/>
        <v>87</v>
      </c>
    </row>
    <row r="36" spans="2:14" s="919" customFormat="1" ht="20.100000000000001" customHeight="1">
      <c r="B36" s="919" t="str">
        <f>Vansycle!A1</f>
        <v>Vansycle</v>
      </c>
      <c r="D36" s="1264">
        <f>D35+2</f>
        <v>44</v>
      </c>
      <c r="H36" s="919" t="str">
        <f>ENA_Allocation!A2</f>
        <v>ALLOCATION</v>
      </c>
      <c r="J36" s="1264">
        <f t="shared" si="4"/>
        <v>88</v>
      </c>
    </row>
    <row r="37" spans="2:14" s="919" customFormat="1" ht="20.100000000000001" customHeight="1">
      <c r="J37" s="1264"/>
    </row>
    <row r="38" spans="2:14" s="919" customFormat="1" ht="20.100000000000001" customHeight="1">
      <c r="D38" s="1264"/>
      <c r="J38" s="1264"/>
    </row>
    <row r="39" spans="2:14" s="919" customFormat="1" ht="20.100000000000001" customHeight="1">
      <c r="D39" s="1264"/>
      <c r="J39" s="1264"/>
    </row>
    <row r="40" spans="2:14" s="919" customFormat="1" ht="20.100000000000001" customHeight="1">
      <c r="D40" s="1264"/>
      <c r="J40" s="1264"/>
    </row>
    <row r="41" spans="2:14" s="919" customFormat="1" ht="20.100000000000001" customHeight="1">
      <c r="D41" s="1264"/>
      <c r="J41" s="1264"/>
    </row>
    <row r="42" spans="2:14" s="919" customFormat="1" ht="20.100000000000001" customHeight="1">
      <c r="D42" s="1264"/>
      <c r="J42" s="1264"/>
    </row>
    <row r="43" spans="2:14" s="919" customFormat="1" ht="20.100000000000001" customHeight="1">
      <c r="D43" s="1264"/>
      <c r="J43" s="1264"/>
    </row>
    <row r="44" spans="2:14" s="919" customFormat="1" ht="20.100000000000001" customHeight="1">
      <c r="D44" s="1264"/>
      <c r="J44" s="1264"/>
    </row>
    <row r="45" spans="2:14" s="919" customFormat="1" ht="20.100000000000001" customHeight="1">
      <c r="D45" s="1264"/>
      <c r="J45" s="1264"/>
    </row>
    <row r="46" spans="2:14" s="919" customFormat="1" ht="20.100000000000001" customHeight="1">
      <c r="D46" s="1264"/>
      <c r="J46" s="1264"/>
    </row>
    <row r="47" spans="2:14" s="919" customFormat="1" ht="20.100000000000001" customHeight="1">
      <c r="D47" s="1264"/>
      <c r="J47" s="1264"/>
    </row>
    <row r="48" spans="2:14" s="919" customFormat="1" ht="20.100000000000001" customHeight="1">
      <c r="D48" s="1264"/>
      <c r="J48" s="1264"/>
    </row>
    <row r="49" spans="10:10" s="919" customFormat="1" ht="20.100000000000001" customHeight="1">
      <c r="J49" s="1264"/>
    </row>
    <row r="50" spans="10:10" s="919" customFormat="1" ht="20.100000000000001" customHeight="1"/>
    <row r="51" spans="10:10" s="919" customFormat="1" ht="20.100000000000001" customHeight="1"/>
    <row r="52" spans="10:10" s="919" customFormat="1" ht="20.100000000000001" customHeight="1"/>
    <row r="53" spans="10:10" s="919" customFormat="1" ht="20.100000000000001" customHeight="1"/>
    <row r="54" spans="10:10" s="919" customFormat="1" ht="20.100000000000001" customHeight="1"/>
    <row r="55" spans="10:10" s="919" customFormat="1" ht="20.100000000000001" customHeight="1"/>
    <row r="56" spans="10:10" s="919" customFormat="1" ht="20.100000000000001" customHeight="1"/>
    <row r="57" spans="10:10" s="919" customFormat="1" ht="20.100000000000001" customHeight="1"/>
    <row r="58" spans="10:10" s="919" customFormat="1" ht="20.100000000000001" customHeight="1"/>
    <row r="59" spans="10:10" s="919" customFormat="1" ht="20.100000000000001" customHeight="1"/>
    <row r="60" spans="10:10" s="919" customFormat="1" ht="20.100000000000001" customHeight="1"/>
    <row r="61" spans="10:10" s="919" customFormat="1" ht="20.100000000000001" customHeight="1"/>
    <row r="62" spans="10:10" s="919" customFormat="1" ht="20.100000000000001" customHeight="1"/>
    <row r="63" spans="10:10" s="919" customFormat="1" ht="20.100000000000001" customHeight="1"/>
    <row r="64" spans="10:10" s="919" customFormat="1" ht="20.100000000000001" customHeight="1"/>
    <row r="65" s="919" customFormat="1" ht="20.100000000000001" customHeight="1"/>
    <row r="66" s="919" customFormat="1" ht="20.100000000000001" customHeight="1"/>
    <row r="67" s="919" customFormat="1" ht="20.100000000000001" customHeight="1"/>
    <row r="68" s="919" customFormat="1" ht="20.100000000000001" customHeight="1"/>
    <row r="69" s="919" customFormat="1" ht="20.100000000000001" customHeight="1"/>
    <row r="70" s="919" customFormat="1" ht="20.100000000000001" customHeight="1"/>
    <row r="71" s="919" customFormat="1" ht="20.100000000000001" customHeight="1"/>
    <row r="72" s="919" customFormat="1" ht="20.100000000000001" customHeight="1"/>
    <row r="73" s="919" customFormat="1" ht="20.100000000000001" customHeight="1"/>
    <row r="74" s="919" customFormat="1" ht="20.100000000000001" customHeight="1"/>
    <row r="75" s="919" customFormat="1" ht="20.100000000000001" customHeight="1"/>
    <row r="76" s="919" customFormat="1" ht="20.100000000000001" customHeight="1"/>
    <row r="77" s="919" customFormat="1" ht="20.100000000000001" customHeight="1"/>
    <row r="78" s="919" customFormat="1" ht="20.100000000000001" customHeight="1"/>
    <row r="79" s="919" customFormat="1" ht="20.100000000000001" customHeight="1"/>
    <row r="80" s="919" customFormat="1" ht="20.100000000000001" customHeight="1"/>
    <row r="81" s="919" customFormat="1" ht="20.100000000000001" customHeight="1"/>
    <row r="82" s="919" customFormat="1" ht="20.100000000000001" customHeight="1"/>
    <row r="83" s="919" customFormat="1" ht="20.100000000000001" customHeight="1"/>
    <row r="84" s="919" customFormat="1" ht="20.100000000000001" customHeight="1"/>
    <row r="85" s="919" customFormat="1" ht="20.100000000000001" customHeight="1"/>
    <row r="86" s="919" customFormat="1" ht="20.100000000000001" customHeight="1"/>
    <row r="87" s="919" customFormat="1" ht="20.100000000000001" customHeight="1"/>
    <row r="88" s="919" customFormat="1" ht="20.100000000000001" customHeight="1"/>
    <row r="89" s="919" customFormat="1" ht="20.100000000000001" customHeight="1"/>
    <row r="90" s="919" customFormat="1" ht="20.100000000000001" customHeight="1"/>
    <row r="91" s="919" customFormat="1" ht="20.100000000000001" customHeight="1"/>
    <row r="92" s="919" customFormat="1" ht="20.100000000000001" customHeight="1"/>
    <row r="93" s="919" customFormat="1" ht="20.100000000000001" customHeight="1"/>
    <row r="94" s="919" customFormat="1" ht="20.100000000000001" customHeight="1"/>
    <row r="95" s="919" customFormat="1" ht="20.100000000000001" customHeight="1"/>
    <row r="96" s="919" customFormat="1" ht="20.100000000000001" customHeight="1"/>
    <row r="97" spans="8:10" s="919" customFormat="1" ht="20.100000000000001" customHeight="1"/>
    <row r="98" spans="8:10" s="919" customFormat="1" ht="20.100000000000001" customHeight="1"/>
    <row r="99" spans="8:10" s="919" customFormat="1" ht="20.100000000000001" customHeight="1"/>
    <row r="100" spans="8:10" s="919" customFormat="1" ht="20.100000000000001" customHeight="1"/>
    <row r="101" spans="8:10" s="919" customFormat="1" ht="20.100000000000001" customHeight="1"/>
    <row r="102" spans="8:10" s="919" customFormat="1" ht="20.100000000000001" customHeight="1"/>
    <row r="103" spans="8:10" s="919" customFormat="1" ht="20.100000000000001" customHeight="1"/>
    <row r="104" spans="8:10" s="919" customFormat="1" ht="20.100000000000001" customHeight="1">
      <c r="H104" s="7"/>
      <c r="I104" s="7"/>
      <c r="J104" s="7"/>
    </row>
  </sheetData>
  <mergeCells count="2">
    <mergeCell ref="A2:K2"/>
    <mergeCell ref="A3:K3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B1:AH85"/>
  <sheetViews>
    <sheetView tabSelected="1" topLeftCell="A2" zoomScale="75" zoomScaleNormal="75" workbookViewId="0">
      <selection activeCell="A2" sqref="A2"/>
    </sheetView>
  </sheetViews>
  <sheetFormatPr defaultRowHeight="15"/>
  <cols>
    <col min="1" max="1" width="1.7109375" style="648" customWidth="1"/>
    <col min="2" max="2" width="45.7109375" style="648" customWidth="1"/>
    <col min="3" max="15" width="17.7109375" style="648" customWidth="1"/>
    <col min="16" max="16" width="23" style="648" bestFit="1" customWidth="1"/>
    <col min="17" max="29" width="17.7109375" style="648" customWidth="1"/>
    <col min="30" max="30" width="9.140625" style="648"/>
    <col min="31" max="33" width="10" style="648" customWidth="1"/>
    <col min="34" max="34" width="12" style="648" customWidth="1"/>
    <col min="35" max="35" width="17.5703125" style="648" customWidth="1"/>
    <col min="36" max="36" width="22.42578125" style="648" customWidth="1"/>
    <col min="37" max="37" width="19" style="648" customWidth="1"/>
    <col min="38" max="38" width="10.28515625" style="648" customWidth="1"/>
    <col min="39" max="58" width="13.140625" style="648" customWidth="1"/>
    <col min="59" max="59" width="9.140625" style="648"/>
    <col min="60" max="69" width="10" style="648" customWidth="1"/>
    <col min="70" max="70" width="9.140625" style="648"/>
    <col min="71" max="76" width="10" style="648" customWidth="1"/>
    <col min="77" max="77" width="9.140625" style="648"/>
    <col min="78" max="83" width="10" style="648" customWidth="1"/>
    <col min="84" max="16384" width="9.140625" style="648"/>
  </cols>
  <sheetData>
    <row r="1" spans="2:34" hidden="1">
      <c r="B1" s="547" t="s">
        <v>286</v>
      </c>
      <c r="T1" s="547"/>
      <c r="AH1" s="547"/>
    </row>
    <row r="2" spans="2:34" ht="12.75" customHeight="1">
      <c r="B2" s="1296"/>
      <c r="T2" s="547"/>
      <c r="AH2" s="547"/>
    </row>
    <row r="3" spans="2:34" ht="18.75">
      <c r="B3" s="710" t="s">
        <v>287</v>
      </c>
      <c r="C3" s="631"/>
      <c r="D3" s="631"/>
      <c r="E3" s="631"/>
    </row>
    <row r="4" spans="2:34" ht="15.75" thickBot="1"/>
    <row r="5" spans="2:34">
      <c r="P5" s="1311" t="s">
        <v>743</v>
      </c>
    </row>
    <row r="6" spans="2:34" ht="16.5" thickBot="1">
      <c r="B6" s="623" t="s">
        <v>729</v>
      </c>
      <c r="P6" s="1312" t="s">
        <v>744</v>
      </c>
    </row>
    <row r="7" spans="2:34">
      <c r="B7" s="747"/>
      <c r="C7" s="624"/>
      <c r="D7" s="624"/>
      <c r="E7" s="624"/>
      <c r="F7" s="624"/>
      <c r="G7" s="624"/>
      <c r="H7" s="624"/>
      <c r="I7" s="624"/>
      <c r="J7" s="673"/>
      <c r="P7" s="1312"/>
      <c r="S7" s="649"/>
    </row>
    <row r="8" spans="2:34" ht="15.75" thickBot="1">
      <c r="B8" s="657"/>
      <c r="C8" s="742"/>
      <c r="D8" s="650"/>
      <c r="E8" s="650"/>
      <c r="F8" s="742"/>
      <c r="G8" s="742"/>
      <c r="H8" s="650"/>
      <c r="I8" s="742" t="s">
        <v>289</v>
      </c>
      <c r="J8" s="749" t="s">
        <v>723</v>
      </c>
      <c r="P8" s="1313">
        <v>1</v>
      </c>
      <c r="S8" s="649"/>
    </row>
    <row r="9" spans="2:34">
      <c r="B9" s="652" t="s">
        <v>5</v>
      </c>
      <c r="C9" s="626" t="s">
        <v>291</v>
      </c>
      <c r="D9" s="626" t="s">
        <v>129</v>
      </c>
      <c r="E9" s="1294" t="s">
        <v>293</v>
      </c>
      <c r="F9" s="626" t="s">
        <v>749</v>
      </c>
      <c r="G9" s="626" t="s">
        <v>278</v>
      </c>
      <c r="H9" s="626" t="s">
        <v>292</v>
      </c>
      <c r="I9" s="626" t="s">
        <v>268</v>
      </c>
      <c r="J9" s="625" t="s">
        <v>724</v>
      </c>
      <c r="S9" s="649"/>
    </row>
    <row r="10" spans="2:34">
      <c r="B10" s="652"/>
      <c r="C10" s="650"/>
      <c r="D10" s="650"/>
      <c r="E10" s="650"/>
      <c r="F10" s="650"/>
      <c r="G10" s="650"/>
      <c r="H10" s="650"/>
      <c r="I10" s="626"/>
      <c r="J10" s="656"/>
      <c r="S10" s="649"/>
    </row>
    <row r="11" spans="2:34">
      <c r="B11" s="651" t="s">
        <v>290</v>
      </c>
      <c r="C11" s="753">
        <f>D11/D17</f>
        <v>0.27234406821970025</v>
      </c>
      <c r="D11" s="654">
        <f>'ENA_Summary Output'!$B$33</f>
        <v>577000</v>
      </c>
      <c r="E11" s="654">
        <f>F27</f>
        <v>735000</v>
      </c>
      <c r="F11" s="659">
        <f>D11+E11</f>
        <v>1312000</v>
      </c>
      <c r="G11" s="746">
        <f>'ENA_Summary Output'!D58</f>
        <v>0.13966240286827084</v>
      </c>
      <c r="H11" s="754">
        <v>0.11363207697868349</v>
      </c>
      <c r="I11" s="748">
        <f>ENA_Debt!C121</f>
        <v>189937.15809522252</v>
      </c>
      <c r="J11" s="1297">
        <f>'ENA_Summary Output'!C12</f>
        <v>162168.80666220296</v>
      </c>
      <c r="S11" s="649"/>
    </row>
    <row r="12" spans="2:34">
      <c r="B12" s="755"/>
      <c r="C12" s="676"/>
      <c r="D12" s="653">
        <f>D11/F11</f>
        <v>0.43978658536585363</v>
      </c>
      <c r="E12" s="653">
        <f>E11/F11</f>
        <v>0.56021341463414631</v>
      </c>
      <c r="F12" s="653">
        <f>(D11+E11)/F11</f>
        <v>1</v>
      </c>
      <c r="G12" s="1315"/>
      <c r="H12" s="653"/>
      <c r="I12" s="650"/>
      <c r="J12" s="656"/>
      <c r="S12" s="649"/>
    </row>
    <row r="13" spans="2:34">
      <c r="B13" s="756"/>
      <c r="C13" s="676"/>
      <c r="D13" s="654"/>
      <c r="E13" s="654"/>
      <c r="F13" s="654"/>
      <c r="G13" s="1317"/>
      <c r="H13" s="650"/>
      <c r="I13" s="748"/>
      <c r="J13" s="656"/>
      <c r="S13" s="649"/>
    </row>
    <row r="14" spans="2:34">
      <c r="B14" s="651" t="s">
        <v>294</v>
      </c>
      <c r="C14" s="753">
        <f>D14/D17</f>
        <v>0.72765593178029975</v>
      </c>
      <c r="D14" s="654">
        <f>'FPLE_Valuation Summary'!$J$31</f>
        <v>1541643.5370956324</v>
      </c>
      <c r="E14" s="654">
        <f>M27</f>
        <v>1533593.6792649406</v>
      </c>
      <c r="F14" s="659">
        <f>D14+E14</f>
        <v>3075237.2163605727</v>
      </c>
      <c r="G14" s="754">
        <f>FPLE_CF!B58</f>
        <v>9.95901048183441E-2</v>
      </c>
      <c r="H14" s="746" t="s">
        <v>728</v>
      </c>
      <c r="I14" s="748">
        <f>FPLE_Debt!E74</f>
        <v>400364.71070747136</v>
      </c>
      <c r="J14" s="749">
        <v>0</v>
      </c>
      <c r="K14" s="650"/>
      <c r="S14" s="649"/>
    </row>
    <row r="15" spans="2:34">
      <c r="B15" s="756"/>
      <c r="C15" s="753"/>
      <c r="D15" s="653">
        <f>D14/F14</f>
        <v>0.50130881900554958</v>
      </c>
      <c r="E15" s="653">
        <f>E14/F14</f>
        <v>0.49869118099445053</v>
      </c>
      <c r="F15" s="653">
        <f>(D14+E14)/F14</f>
        <v>1</v>
      </c>
      <c r="G15" s="1315"/>
      <c r="H15" s="654"/>
      <c r="I15" s="650"/>
      <c r="J15" s="656"/>
      <c r="S15" s="649"/>
    </row>
    <row r="16" spans="2:34">
      <c r="B16" s="652"/>
      <c r="C16" s="753"/>
      <c r="D16" s="626"/>
      <c r="E16" s="1294"/>
      <c r="F16" s="626"/>
      <c r="G16" s="1316"/>
      <c r="H16" s="650"/>
      <c r="I16" s="650"/>
      <c r="J16" s="656"/>
      <c r="S16" s="649"/>
    </row>
    <row r="17" spans="2:20">
      <c r="B17" s="651" t="s">
        <v>295</v>
      </c>
      <c r="C17" s="753">
        <f>(D11+D14)/D17</f>
        <v>1</v>
      </c>
      <c r="D17" s="654">
        <f>D11+D14</f>
        <v>2118643.5370956324</v>
      </c>
      <c r="E17" s="654">
        <f>E11+E14</f>
        <v>2268593.6792649403</v>
      </c>
      <c r="F17" s="659">
        <f>F11+F14</f>
        <v>4387237.2163605727</v>
      </c>
      <c r="G17" s="754">
        <f>NewCo_CF!B48</f>
        <v>9.7489172220230097E-2</v>
      </c>
      <c r="H17" s="650"/>
      <c r="I17" s="1300"/>
      <c r="J17" s="656"/>
      <c r="N17" s="650"/>
      <c r="O17" s="650"/>
      <c r="P17" s="650"/>
      <c r="S17" s="649"/>
    </row>
    <row r="18" spans="2:20">
      <c r="B18" s="755"/>
      <c r="C18" s="653"/>
      <c r="D18" s="653">
        <f>D17/$F$17</f>
        <v>0.48291064116499965</v>
      </c>
      <c r="E18" s="653">
        <f>E17/$F$17</f>
        <v>0.5170893588350004</v>
      </c>
      <c r="F18" s="653">
        <f>(D17+E17)/$F$17</f>
        <v>1</v>
      </c>
      <c r="G18" s="746"/>
      <c r="H18" s="650"/>
      <c r="I18" s="1300"/>
      <c r="J18" s="656"/>
      <c r="N18" s="650"/>
      <c r="O18" s="650"/>
      <c r="P18" s="650"/>
      <c r="S18" s="649"/>
    </row>
    <row r="19" spans="2:20" ht="15.75" thickBot="1">
      <c r="B19" s="750"/>
      <c r="C19" s="662"/>
      <c r="D19" s="751"/>
      <c r="E19" s="751"/>
      <c r="F19" s="751"/>
      <c r="G19" s="752"/>
      <c r="H19" s="662"/>
      <c r="I19" s="1301"/>
      <c r="J19" s="663"/>
      <c r="N19" s="650"/>
      <c r="O19" s="650"/>
      <c r="P19" s="650"/>
      <c r="S19" s="649"/>
    </row>
    <row r="20" spans="2:20">
      <c r="B20" s="743" t="s">
        <v>662</v>
      </c>
      <c r="C20" s="650"/>
      <c r="D20" s="654"/>
      <c r="E20" s="654"/>
      <c r="F20" s="654"/>
      <c r="G20" s="654"/>
      <c r="H20" s="746"/>
      <c r="J20" s="631"/>
      <c r="O20" s="650"/>
      <c r="P20" s="650"/>
      <c r="Q20" s="650"/>
      <c r="T20" s="649"/>
    </row>
    <row r="21" spans="2:20">
      <c r="B21" s="666"/>
      <c r="C21" s="660"/>
      <c r="D21" s="661"/>
      <c r="E21" s="650"/>
      <c r="F21" s="665"/>
      <c r="G21" s="658"/>
      <c r="H21" s="658"/>
      <c r="I21" s="667"/>
      <c r="J21" s="631"/>
      <c r="O21" s="650"/>
      <c r="P21" s="650"/>
      <c r="Q21" s="650"/>
      <c r="T21" s="649"/>
    </row>
    <row r="22" spans="2:20" ht="16.5" thickBot="1">
      <c r="B22" s="623" t="s">
        <v>296</v>
      </c>
      <c r="C22" s="668"/>
      <c r="D22" s="655"/>
      <c r="E22" s="650"/>
      <c r="F22" s="650"/>
      <c r="G22" s="669"/>
      <c r="H22" s="669"/>
      <c r="I22" s="670"/>
      <c r="J22" s="631"/>
      <c r="O22" s="650"/>
      <c r="P22" s="650"/>
      <c r="Q22" s="650"/>
      <c r="T22" s="649"/>
    </row>
    <row r="23" spans="2:20">
      <c r="B23" s="671" t="s">
        <v>290</v>
      </c>
      <c r="C23" s="624"/>
      <c r="D23" s="624"/>
      <c r="E23" s="672"/>
      <c r="F23" s="673"/>
      <c r="G23" s="650"/>
      <c r="I23" s="671" t="s">
        <v>294</v>
      </c>
      <c r="J23" s="624"/>
      <c r="K23" s="624"/>
      <c r="L23" s="624"/>
      <c r="M23" s="624"/>
      <c r="N23" s="673"/>
      <c r="O23" s="650"/>
      <c r="P23" s="650"/>
      <c r="Q23" s="650"/>
      <c r="T23" s="649"/>
    </row>
    <row r="24" spans="2:20">
      <c r="B24" s="652"/>
      <c r="C24" s="674" t="s">
        <v>297</v>
      </c>
      <c r="D24" s="674" t="s">
        <v>298</v>
      </c>
      <c r="E24" s="674" t="s">
        <v>299</v>
      </c>
      <c r="F24" s="675" t="s">
        <v>128</v>
      </c>
      <c r="G24" s="676"/>
      <c r="I24" s="652"/>
      <c r="J24" s="650"/>
      <c r="K24" s="674" t="s">
        <v>300</v>
      </c>
      <c r="L24" s="674" t="s">
        <v>301</v>
      </c>
      <c r="M24" s="674" t="s">
        <v>128</v>
      </c>
      <c r="N24" s="744" t="s">
        <v>760</v>
      </c>
      <c r="O24" s="650"/>
      <c r="P24" s="650"/>
      <c r="Q24" s="650"/>
      <c r="T24" s="649"/>
    </row>
    <row r="25" spans="2:20">
      <c r="B25" s="677"/>
      <c r="C25" s="664"/>
      <c r="D25" s="664"/>
      <c r="E25" s="664"/>
      <c r="F25" s="656"/>
      <c r="G25" s="650"/>
      <c r="I25" s="677"/>
      <c r="J25" s="650"/>
      <c r="K25" s="664"/>
      <c r="L25" s="664"/>
      <c r="M25" s="650"/>
      <c r="N25" s="656"/>
      <c r="O25" s="650"/>
      <c r="P25" s="650"/>
      <c r="Q25" s="650"/>
      <c r="T25" s="649"/>
    </row>
    <row r="26" spans="2:20">
      <c r="B26" s="678" t="s">
        <v>303</v>
      </c>
      <c r="C26" s="713">
        <f>'ENA_Summary Output'!$B$19</f>
        <v>36892</v>
      </c>
      <c r="D26" s="650"/>
      <c r="E26" s="650"/>
      <c r="F26" s="656"/>
      <c r="G26" s="650"/>
      <c r="I26" s="678" t="s">
        <v>303</v>
      </c>
      <c r="J26" s="650"/>
      <c r="K26" s="679">
        <v>36892</v>
      </c>
      <c r="L26" s="650"/>
      <c r="M26" s="650"/>
      <c r="N26" s="656"/>
      <c r="O26" s="650"/>
      <c r="P26" s="650"/>
      <c r="Q26" s="650"/>
      <c r="T26" s="649"/>
    </row>
    <row r="27" spans="2:20">
      <c r="B27" s="678" t="s">
        <v>304</v>
      </c>
      <c r="C27" s="683">
        <f>'ENA_Summary Output'!B20</f>
        <v>50000</v>
      </c>
      <c r="D27" s="683">
        <f>'ENA_Summary Output'!C20</f>
        <v>210000</v>
      </c>
      <c r="E27" s="683">
        <f>'ENA_Summary Output'!D20</f>
        <v>475000</v>
      </c>
      <c r="F27" s="680">
        <f>SUM(C27:E27)</f>
        <v>735000</v>
      </c>
      <c r="G27" s="681"/>
      <c r="I27" s="678" t="s">
        <v>304</v>
      </c>
      <c r="J27" s="650"/>
      <c r="K27" s="683">
        <f>FPLE_Debt!$E$23</f>
        <v>658933.0679990059</v>
      </c>
      <c r="L27" s="683">
        <f>FPLE_Debt!$E$60</f>
        <v>874660.61126593465</v>
      </c>
      <c r="M27" s="682">
        <f>SUM(K27:L27)</f>
        <v>1533593.6792649406</v>
      </c>
      <c r="N27" s="745">
        <f>'Segs VIII'!D160+'Segs IX'!D160+'Southwest Mesa'!D161+Cameron!D161+'Pacific Crest'!D161+'Sky River'!D161</f>
        <v>207613.57346023375</v>
      </c>
      <c r="O27" s="650"/>
      <c r="P27" s="650"/>
      <c r="Q27" s="650"/>
      <c r="T27" s="649"/>
    </row>
    <row r="28" spans="2:20">
      <c r="B28" s="678" t="s">
        <v>305</v>
      </c>
      <c r="C28" s="684">
        <f>'ENA_Summary Output'!B21</f>
        <v>2.9952087611225187</v>
      </c>
      <c r="D28" s="684">
        <f>'ENA_Summary Output'!C21</f>
        <v>9.9958932238193015</v>
      </c>
      <c r="E28" s="684">
        <f>'ENA_Summary Output'!D21</f>
        <v>19.997262149212869</v>
      </c>
      <c r="F28" s="685"/>
      <c r="G28" s="681"/>
      <c r="I28" s="678" t="s">
        <v>305</v>
      </c>
      <c r="J28" s="650"/>
      <c r="K28" s="686">
        <v>20</v>
      </c>
      <c r="L28" s="686">
        <v>20</v>
      </c>
      <c r="M28" s="687"/>
      <c r="N28" s="656"/>
      <c r="O28" s="650"/>
      <c r="P28" s="650"/>
      <c r="Q28" s="650"/>
      <c r="T28" s="649"/>
    </row>
    <row r="29" spans="2:20">
      <c r="B29" s="678" t="s">
        <v>306</v>
      </c>
      <c r="C29" s="713">
        <f>'ENA_Summary Output'!B22</f>
        <v>37986</v>
      </c>
      <c r="D29" s="713">
        <f>'ENA_Summary Output'!C22</f>
        <v>40543</v>
      </c>
      <c r="E29" s="713">
        <f>'ENA_Summary Output'!D22</f>
        <v>44196</v>
      </c>
      <c r="F29" s="680"/>
      <c r="G29" s="650"/>
      <c r="I29" s="678" t="s">
        <v>306</v>
      </c>
      <c r="J29" s="650"/>
      <c r="K29" s="679">
        <v>44196</v>
      </c>
      <c r="L29" s="679">
        <v>44196</v>
      </c>
      <c r="M29" s="682"/>
      <c r="N29" s="656"/>
      <c r="O29" s="650"/>
      <c r="P29" s="650"/>
      <c r="Q29" s="650"/>
      <c r="T29" s="649"/>
    </row>
    <row r="30" spans="2:20">
      <c r="B30" s="678" t="s">
        <v>360</v>
      </c>
      <c r="C30" s="736">
        <f>'ENA_Summary Output'!$B$23</f>
        <v>1.7562149212867901</v>
      </c>
      <c r="D30" s="736">
        <f>'ENA_Summary Output'!$C$23</f>
        <v>7.1548336755646815</v>
      </c>
      <c r="E30" s="736">
        <f>'ENA_Summary Output'!$D$23</f>
        <v>15.030609171800139</v>
      </c>
      <c r="F30" s="680"/>
      <c r="G30" s="650"/>
      <c r="I30" s="678" t="s">
        <v>360</v>
      </c>
      <c r="J30" s="650"/>
      <c r="K30" s="736">
        <f>FPLE_Debt!J75</f>
        <v>15.562371991659916</v>
      </c>
      <c r="L30" s="736">
        <f>FPLE_Debt!J76</f>
        <v>10.033384640887389</v>
      </c>
      <c r="M30" s="682"/>
      <c r="N30" s="656"/>
      <c r="O30" s="650"/>
      <c r="P30" s="650"/>
      <c r="Q30" s="650"/>
      <c r="T30" s="649"/>
    </row>
    <row r="31" spans="2:20">
      <c r="B31" s="678"/>
      <c r="C31" s="650"/>
      <c r="D31" s="650"/>
      <c r="E31" s="650"/>
      <c r="F31" s="680"/>
      <c r="G31" s="650"/>
      <c r="I31" s="678"/>
      <c r="J31" s="650"/>
      <c r="K31" s="650"/>
      <c r="L31" s="650"/>
      <c r="M31" s="682"/>
      <c r="N31" s="656"/>
      <c r="O31" s="650"/>
      <c r="P31" s="650"/>
      <c r="Q31" s="650"/>
      <c r="T31" s="649"/>
    </row>
    <row r="32" spans="2:20">
      <c r="B32" s="652" t="s">
        <v>307</v>
      </c>
      <c r="C32" s="711">
        <f>'ENA_Summary Output'!B25</f>
        <v>6.8000000000000005E-2</v>
      </c>
      <c r="D32" s="711">
        <f>'ENA_Summary Output'!C25</f>
        <v>6.5000000000000002E-2</v>
      </c>
      <c r="E32" s="711">
        <f>'ENA_Summary Output'!D25</f>
        <v>6.2E-2</v>
      </c>
      <c r="F32" s="688">
        <f>SUMPRODUCT(C32:E32,$C$27:$E$27)/F27</f>
        <v>6.3265306122448975E-2</v>
      </c>
      <c r="G32" s="650"/>
      <c r="I32" s="652" t="s">
        <v>307</v>
      </c>
      <c r="J32" s="650"/>
      <c r="K32" s="711">
        <f>FPLE_Debt!$E$5</f>
        <v>6.5000000000000002E-2</v>
      </c>
      <c r="L32" s="711">
        <f>FPLE_Debt!$E$41</f>
        <v>6.2E-2</v>
      </c>
      <c r="M32" s="689">
        <f>SUMPRODUCT(K27:L27,K32:L32)/M27</f>
        <v>6.3288998012136125E-2</v>
      </c>
      <c r="N32" s="656"/>
      <c r="O32" s="650"/>
      <c r="P32" s="742" t="s">
        <v>764</v>
      </c>
      <c r="Q32" s="650"/>
      <c r="T32" s="649"/>
    </row>
    <row r="33" spans="2:24">
      <c r="B33" s="690" t="s">
        <v>173</v>
      </c>
      <c r="C33" s="712">
        <f>'ENA_Summary Output'!B26</f>
        <v>2.2499999999999999E-2</v>
      </c>
      <c r="D33" s="712">
        <f>'ENA_Summary Output'!C26</f>
        <v>4.4999999999999998E-2</v>
      </c>
      <c r="E33" s="712">
        <f>'ENA_Summary Output'!D26</f>
        <v>0.05</v>
      </c>
      <c r="F33" s="691">
        <f>SUMPRODUCT(C33:E33,$C$27:$E$27)/F27</f>
        <v>4.6700680272108844E-2</v>
      </c>
      <c r="G33" s="650"/>
      <c r="I33" s="690" t="s">
        <v>173</v>
      </c>
      <c r="J33" s="650"/>
      <c r="K33" s="712">
        <f>FPLE_Debt!$E$6</f>
        <v>0.03</v>
      </c>
      <c r="L33" s="712">
        <f>FPLE_Debt!$E$42</f>
        <v>2.5000000000000001E-2</v>
      </c>
      <c r="M33" s="692">
        <f>SUMPRODUCT(K27:L27,K33:L33)/M27</f>
        <v>2.7148330020226857E-2</v>
      </c>
      <c r="N33" s="656"/>
      <c r="O33" s="650"/>
      <c r="P33" s="1335" t="s">
        <v>765</v>
      </c>
      <c r="Q33" s="650"/>
      <c r="T33" s="649"/>
    </row>
    <row r="34" spans="2:24" ht="15.75" thickBot="1">
      <c r="B34" s="693" t="s">
        <v>308</v>
      </c>
      <c r="C34" s="694">
        <f>SUM(C32:C33)</f>
        <v>9.0499999999999997E-2</v>
      </c>
      <c r="D34" s="694">
        <f>SUM(D32:D33)</f>
        <v>0.11</v>
      </c>
      <c r="E34" s="694">
        <f>SUM(E32:E33)</f>
        <v>0.112</v>
      </c>
      <c r="F34" s="695">
        <f>SUMPRODUCT(C34:E34,$C$27:$E$27)/F27</f>
        <v>0.10996598639455782</v>
      </c>
      <c r="G34" s="650"/>
      <c r="I34" s="693" t="s">
        <v>308</v>
      </c>
      <c r="J34" s="662"/>
      <c r="K34" s="694">
        <f>SUM(K32:K33)</f>
        <v>9.5000000000000001E-2</v>
      </c>
      <c r="L34" s="694">
        <f>SUM(L32:L33)</f>
        <v>8.6999999999999994E-2</v>
      </c>
      <c r="M34" s="696">
        <f>SUMPRODUCT(K27:L27,K34:L34)/M27</f>
        <v>9.0437328032362971E-2</v>
      </c>
      <c r="N34" s="663"/>
      <c r="O34" s="650"/>
      <c r="P34" s="1334">
        <f>(SUMPRODUCT(C27:E27,C34:E34)+SUMPRODUCT(K27:L27,K34:L34))/(F27+M27)</f>
        <v>9.6764403712510327E-2</v>
      </c>
      <c r="Q34" s="650"/>
      <c r="T34" s="649"/>
    </row>
    <row r="35" spans="2:24">
      <c r="B35" s="650"/>
      <c r="C35" s="650"/>
      <c r="D35" s="650"/>
      <c r="E35" s="650"/>
      <c r="F35" s="697"/>
      <c r="G35" s="650"/>
      <c r="H35" s="650"/>
      <c r="I35" s="650"/>
      <c r="J35" s="650"/>
      <c r="O35" s="650"/>
      <c r="P35" s="650"/>
      <c r="Q35" s="650"/>
      <c r="T35" s="649"/>
    </row>
    <row r="36" spans="2:24">
      <c r="B36" s="650"/>
      <c r="C36" s="650"/>
      <c r="D36" s="650"/>
      <c r="E36" s="650"/>
      <c r="F36" s="650"/>
      <c r="G36" s="650"/>
      <c r="H36" s="650"/>
      <c r="I36" s="650"/>
      <c r="J36" s="650"/>
      <c r="T36" s="649"/>
    </row>
    <row r="37" spans="2:24" ht="16.5" thickBot="1">
      <c r="B37" s="623" t="s">
        <v>309</v>
      </c>
      <c r="T37" s="649"/>
    </row>
    <row r="38" spans="2:24">
      <c r="B38" s="698" t="s">
        <v>310</v>
      </c>
      <c r="C38" s="699"/>
      <c r="D38" s="624"/>
      <c r="E38" s="700" t="s">
        <v>311</v>
      </c>
      <c r="F38" s="700" t="s">
        <v>312</v>
      </c>
      <c r="G38" s="624"/>
      <c r="H38" s="624"/>
      <c r="I38" s="699" t="s">
        <v>313</v>
      </c>
      <c r="J38" s="624"/>
      <c r="K38" s="624"/>
      <c r="L38" s="700" t="s">
        <v>311</v>
      </c>
      <c r="M38" s="700" t="s">
        <v>312</v>
      </c>
      <c r="N38" s="673"/>
      <c r="O38" s="650"/>
      <c r="P38" s="650"/>
      <c r="T38" s="649"/>
    </row>
    <row r="39" spans="2:24">
      <c r="B39" s="652" t="s">
        <v>314</v>
      </c>
      <c r="C39" s="650"/>
      <c r="D39" s="650"/>
      <c r="E39" s="701">
        <f>'ENA_Summary Output'!D48</f>
        <v>1.2868053405518789</v>
      </c>
      <c r="F39" s="701">
        <f>'ENA_Summary Output'!E48</f>
        <v>1.2887131558040943</v>
      </c>
      <c r="G39" s="650"/>
      <c r="H39" s="650"/>
      <c r="I39" s="650" t="s">
        <v>315</v>
      </c>
      <c r="J39" s="650"/>
      <c r="K39" s="650"/>
      <c r="L39" s="701">
        <f>MIN(FPLE_Debt!E19:X19)</f>
        <v>2.2000000000000002</v>
      </c>
      <c r="M39" s="701">
        <f>AVERAGE(FPLE_Debt!E19:X19)</f>
        <v>2.5</v>
      </c>
      <c r="N39" s="656"/>
      <c r="O39" s="650"/>
      <c r="P39" s="650"/>
      <c r="T39" s="649"/>
    </row>
    <row r="40" spans="2:24">
      <c r="B40" s="652" t="s">
        <v>316</v>
      </c>
      <c r="C40" s="650"/>
      <c r="D40" s="650"/>
      <c r="E40" s="701">
        <f>'ENA_Summary Output'!D49</f>
        <v>2.2267734556179191</v>
      </c>
      <c r="F40" s="701">
        <f>'ENA_Summary Output'!E49</f>
        <v>3.2060863386116569</v>
      </c>
      <c r="G40" s="650"/>
      <c r="H40" s="650"/>
      <c r="I40" s="650" t="s">
        <v>317</v>
      </c>
      <c r="J40" s="650"/>
      <c r="K40" s="650"/>
      <c r="L40" s="701">
        <f>MIN(FPLE_Debt!E56:X56)</f>
        <v>1.75</v>
      </c>
      <c r="M40" s="701">
        <f>AVERAGE(FPLE_Debt!E56:X56)</f>
        <v>1.75</v>
      </c>
      <c r="N40" s="656"/>
      <c r="O40" s="650"/>
      <c r="P40" s="650"/>
      <c r="T40" s="649"/>
    </row>
    <row r="41" spans="2:24">
      <c r="B41" s="652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6"/>
      <c r="O41" s="650"/>
      <c r="P41" s="650"/>
      <c r="T41" s="649"/>
    </row>
    <row r="42" spans="2:24">
      <c r="B42" s="652" t="s">
        <v>318</v>
      </c>
      <c r="C42" s="650"/>
      <c r="D42" s="650"/>
      <c r="E42" s="702">
        <f>'ENA_Summary Output'!$D$56</f>
        <v>191.87914163090016</v>
      </c>
      <c r="F42" s="650"/>
      <c r="G42" s="650"/>
      <c r="H42" s="650"/>
      <c r="I42" s="650" t="s">
        <v>357</v>
      </c>
      <c r="J42" s="650"/>
      <c r="K42" s="650"/>
      <c r="L42" s="702">
        <f>SUM(FPLE_CF!$C$56:$V$56)/'FPLE_Valuation Summary'!$F$31</f>
        <v>364.63087808306585</v>
      </c>
      <c r="M42" s="650"/>
      <c r="N42" s="656"/>
      <c r="O42" s="650"/>
      <c r="P42" s="650"/>
      <c r="T42" s="649"/>
    </row>
    <row r="43" spans="2:24">
      <c r="B43" s="652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6"/>
      <c r="O43" s="650"/>
      <c r="P43" s="650"/>
      <c r="T43" s="703"/>
      <c r="U43" s="703"/>
      <c r="V43" s="703"/>
      <c r="W43" s="703"/>
      <c r="X43" s="703"/>
    </row>
    <row r="44" spans="2:24">
      <c r="B44" s="652"/>
      <c r="C44" s="1134">
        <v>2001</v>
      </c>
      <c r="D44" s="1134">
        <v>2002</v>
      </c>
      <c r="E44" s="1134">
        <v>2003</v>
      </c>
      <c r="F44" s="1134">
        <v>2004</v>
      </c>
      <c r="G44" s="1134">
        <v>2005</v>
      </c>
      <c r="H44" s="626"/>
      <c r="I44" s="650"/>
      <c r="J44" s="626"/>
      <c r="K44" s="626"/>
      <c r="L44" s="626"/>
      <c r="M44" s="626"/>
      <c r="N44" s="656"/>
      <c r="O44" s="650"/>
      <c r="P44" s="650"/>
      <c r="T44" s="703"/>
      <c r="U44" s="703"/>
      <c r="V44" s="703"/>
      <c r="W44" s="703"/>
      <c r="X44" s="703"/>
    </row>
    <row r="45" spans="2:24">
      <c r="B45" s="652" t="s">
        <v>319</v>
      </c>
      <c r="C45" s="670">
        <f>'ENA_Summary Output'!B61</f>
        <v>177680.30256335178</v>
      </c>
      <c r="D45" s="670">
        <f>'ENA_Summary Output'!C61</f>
        <v>177096.43303075299</v>
      </c>
      <c r="E45" s="670">
        <f>'ENA_Summary Output'!D61</f>
        <v>176585.08990364039</v>
      </c>
      <c r="F45" s="670">
        <f>'ENA_Summary Output'!E61</f>
        <v>208898.30003993292</v>
      </c>
      <c r="G45" s="670">
        <f>'ENA_Summary Output'!F61</f>
        <v>219835.48571459821</v>
      </c>
      <c r="H45" s="670"/>
      <c r="I45" s="650"/>
      <c r="J45" s="670"/>
      <c r="K45" s="670"/>
      <c r="L45" s="670"/>
      <c r="M45" s="670"/>
      <c r="N45" s="656"/>
      <c r="O45" s="650"/>
      <c r="P45" s="650"/>
      <c r="T45" s="703"/>
      <c r="U45" s="703"/>
      <c r="V45" s="703"/>
      <c r="W45" s="703"/>
      <c r="X45" s="703"/>
    </row>
    <row r="46" spans="2:24">
      <c r="B46" s="652" t="s">
        <v>320</v>
      </c>
      <c r="C46" s="670">
        <f>'ENA_Summary Output'!B62</f>
        <v>32647.552142934972</v>
      </c>
      <c r="D46" s="670">
        <f>'ENA_Summary Output'!C62</f>
        <v>33025.692048995639</v>
      </c>
      <c r="E46" s="670">
        <f>'ENA_Summary Output'!D62</f>
        <v>33751.572936501405</v>
      </c>
      <c r="F46" s="670">
        <f>'ENA_Summary Output'!E62</f>
        <v>54372.655927693078</v>
      </c>
      <c r="G46" s="670">
        <f>'ENA_Summary Output'!F62</f>
        <v>62521.778918915821</v>
      </c>
      <c r="H46" s="670"/>
      <c r="I46" s="650"/>
      <c r="J46" s="670"/>
      <c r="K46" s="670"/>
      <c r="L46" s="670"/>
      <c r="M46" s="670"/>
      <c r="N46" s="656"/>
      <c r="O46" s="650"/>
      <c r="P46" s="650"/>
      <c r="T46" s="703"/>
      <c r="U46" s="703"/>
      <c r="V46" s="703"/>
      <c r="W46" s="703"/>
      <c r="X46" s="703"/>
    </row>
    <row r="47" spans="2:24">
      <c r="B47" s="652" t="s">
        <v>321</v>
      </c>
      <c r="C47" s="670">
        <f>'ENA_Summary Output'!B63</f>
        <v>28108.531919519999</v>
      </c>
      <c r="D47" s="670">
        <f>'ENA_Summary Output'!C63</f>
        <v>27770.045914057016</v>
      </c>
      <c r="E47" s="670">
        <f>'ENA_Summary Output'!D63</f>
        <v>27549.434908094307</v>
      </c>
      <c r="F47" s="670">
        <f>'ENA_Summary Output'!E63</f>
        <v>115163.4393705284</v>
      </c>
      <c r="G47" s="670">
        <f>'ENA_Summary Output'!F63</f>
        <v>121708.29449351679</v>
      </c>
      <c r="H47" s="670"/>
      <c r="I47" s="650"/>
      <c r="J47" s="670"/>
      <c r="K47" s="670"/>
      <c r="L47" s="670"/>
      <c r="M47" s="670"/>
      <c r="N47" s="656"/>
      <c r="O47" s="650"/>
      <c r="P47" s="650"/>
      <c r="T47" s="703"/>
      <c r="U47" s="703"/>
      <c r="V47" s="703"/>
      <c r="W47" s="703"/>
      <c r="X47" s="703"/>
    </row>
    <row r="48" spans="2:24">
      <c r="B48" s="652" t="s">
        <v>322</v>
      </c>
      <c r="C48" s="670">
        <f>'ENA_Summary Output'!B64</f>
        <v>27812.041951754571</v>
      </c>
      <c r="D48" s="670">
        <f>'ENA_Summary Output'!C64</f>
        <v>27472.902065308626</v>
      </c>
      <c r="E48" s="670">
        <f>'ENA_Summary Output'!D64</f>
        <v>27251.614161341964</v>
      </c>
      <c r="F48" s="670">
        <f>'ENA_Summary Output'!E64</f>
        <v>114623.24919670008</v>
      </c>
      <c r="G48" s="670">
        <f>'ENA_Summary Output'!F64</f>
        <v>120920.16934931693</v>
      </c>
      <c r="H48" s="670"/>
      <c r="I48" s="650"/>
      <c r="J48" s="670"/>
      <c r="K48" s="670"/>
      <c r="L48" s="670"/>
      <c r="M48" s="670"/>
      <c r="N48" s="705"/>
      <c r="O48" s="704"/>
      <c r="P48" s="704"/>
      <c r="Q48" s="706"/>
      <c r="R48" s="706"/>
      <c r="S48" s="703"/>
      <c r="T48" s="703"/>
      <c r="U48" s="703"/>
      <c r="V48" s="703"/>
      <c r="W48" s="703"/>
      <c r="X48" s="703"/>
    </row>
    <row r="49" spans="2:24">
      <c r="B49" s="652"/>
      <c r="C49" s="650"/>
      <c r="D49" s="650"/>
      <c r="E49" s="650"/>
      <c r="F49" s="650"/>
      <c r="G49" s="650"/>
      <c r="H49" s="650"/>
      <c r="I49" s="650"/>
      <c r="J49" s="650"/>
      <c r="K49" s="650"/>
      <c r="L49" s="704"/>
      <c r="M49" s="704"/>
      <c r="N49" s="705"/>
      <c r="O49" s="704"/>
      <c r="P49" s="704"/>
      <c r="Q49" s="706"/>
      <c r="R49" s="706"/>
      <c r="S49" s="703"/>
      <c r="T49" s="703"/>
      <c r="U49" s="703"/>
      <c r="V49" s="703"/>
      <c r="W49" s="703"/>
      <c r="X49" s="703"/>
    </row>
    <row r="50" spans="2:24">
      <c r="B50" s="652" t="s">
        <v>323</v>
      </c>
      <c r="C50" s="670">
        <f>FPLE_CF!C10</f>
        <v>370873.13121855934</v>
      </c>
      <c r="D50" s="670">
        <f>FPLE_CF!D10</f>
        <v>333116.63689174165</v>
      </c>
      <c r="E50" s="670">
        <f>FPLE_CF!E10</f>
        <v>341215.56702612643</v>
      </c>
      <c r="F50" s="670">
        <f>FPLE_CF!F10</f>
        <v>365553.57617057109</v>
      </c>
      <c r="G50" s="670">
        <f>FPLE_CF!G10</f>
        <v>367143.13220870157</v>
      </c>
      <c r="H50" s="670"/>
      <c r="I50" s="650"/>
      <c r="J50" s="650"/>
      <c r="K50" s="650"/>
      <c r="L50" s="704"/>
      <c r="M50" s="704"/>
      <c r="N50" s="705"/>
      <c r="O50" s="704"/>
      <c r="P50" s="704"/>
      <c r="Q50" s="706"/>
      <c r="R50" s="706"/>
      <c r="S50" s="703"/>
      <c r="T50" s="703"/>
      <c r="U50" s="703"/>
      <c r="V50" s="703"/>
      <c r="W50" s="703"/>
      <c r="X50" s="703"/>
    </row>
    <row r="51" spans="2:24">
      <c r="B51" s="652" t="s">
        <v>324</v>
      </c>
      <c r="C51" s="670">
        <f>FPLE_IS!C49</f>
        <v>82380.980333179119</v>
      </c>
      <c r="D51" s="670">
        <f>FPLE_IS!D49</f>
        <v>62841.047828815172</v>
      </c>
      <c r="E51" s="670">
        <f>FPLE_IS!E49</f>
        <v>70308.901244600245</v>
      </c>
      <c r="F51" s="670">
        <f>FPLE_IS!F49</f>
        <v>87221.725780707609</v>
      </c>
      <c r="G51" s="670">
        <f>FPLE_IS!G49</f>
        <v>91696.198225093714</v>
      </c>
      <c r="H51" s="670"/>
      <c r="I51" s="650"/>
      <c r="J51" s="650"/>
      <c r="K51" s="650"/>
      <c r="L51" s="707"/>
      <c r="M51" s="707"/>
      <c r="N51" s="708"/>
      <c r="O51" s="707"/>
      <c r="P51" s="707"/>
      <c r="Q51" s="703"/>
      <c r="R51" s="703"/>
      <c r="S51" s="703"/>
      <c r="T51" s="703"/>
      <c r="U51" s="703"/>
      <c r="V51" s="703"/>
      <c r="W51" s="703"/>
      <c r="X51" s="703"/>
    </row>
    <row r="52" spans="2:24">
      <c r="B52" s="652" t="s">
        <v>325</v>
      </c>
      <c r="C52" s="670">
        <f>FPLE_CF!C40</f>
        <v>175297.95656972105</v>
      </c>
      <c r="D52" s="670">
        <f>FPLE_CF!D40</f>
        <v>145803.59839637479</v>
      </c>
      <c r="E52" s="670">
        <f>FPLE_CF!E40</f>
        <v>149249.02537135445</v>
      </c>
      <c r="F52" s="670">
        <f>FPLE_CF!F40</f>
        <v>169950.27598629668</v>
      </c>
      <c r="G52" s="670">
        <f>FPLE_CF!G40</f>
        <v>169083.85265962585</v>
      </c>
      <c r="H52" s="670"/>
      <c r="I52" s="650"/>
      <c r="J52" s="650"/>
      <c r="K52" s="650"/>
      <c r="L52" s="707"/>
      <c r="M52" s="707"/>
      <c r="N52" s="708"/>
      <c r="O52" s="707"/>
      <c r="P52" s="707"/>
      <c r="Q52" s="703"/>
      <c r="R52" s="703"/>
      <c r="S52" s="703"/>
      <c r="T52" s="703"/>
      <c r="U52" s="703"/>
      <c r="V52" s="703"/>
      <c r="W52" s="703"/>
      <c r="X52" s="703"/>
    </row>
    <row r="53" spans="2:24">
      <c r="B53" s="652" t="s">
        <v>326</v>
      </c>
      <c r="C53" s="670">
        <f>FPLE_CF!C45</f>
        <v>175297.95656972105</v>
      </c>
      <c r="D53" s="670">
        <f>FPLE_CF!D45</f>
        <v>145803.59839637479</v>
      </c>
      <c r="E53" s="670">
        <f>FPLE_CF!E45</f>
        <v>149249.02537135445</v>
      </c>
      <c r="F53" s="670">
        <f>FPLE_CF!F45</f>
        <v>169950.27598629668</v>
      </c>
      <c r="G53" s="670">
        <f>FPLE_CF!G45</f>
        <v>169083.85265962585</v>
      </c>
      <c r="H53" s="670"/>
      <c r="I53" s="650"/>
      <c r="J53" s="650"/>
      <c r="K53" s="650"/>
      <c r="L53" s="707"/>
      <c r="M53" s="707"/>
      <c r="N53" s="708"/>
      <c r="O53" s="707"/>
      <c r="P53" s="707"/>
      <c r="Q53" s="703"/>
      <c r="R53" s="703"/>
      <c r="S53" s="703"/>
      <c r="T53" s="703"/>
      <c r="U53" s="703"/>
      <c r="V53" s="703"/>
      <c r="W53" s="703"/>
      <c r="X53" s="703"/>
    </row>
    <row r="54" spans="2:24">
      <c r="B54" s="652"/>
      <c r="C54" s="670"/>
      <c r="D54" s="670"/>
      <c r="E54" s="670"/>
      <c r="F54" s="670"/>
      <c r="G54" s="670"/>
      <c r="H54" s="670"/>
      <c r="I54" s="650"/>
      <c r="J54" s="650"/>
      <c r="K54" s="650"/>
      <c r="L54" s="707"/>
      <c r="M54" s="707"/>
      <c r="N54" s="708"/>
      <c r="O54" s="707"/>
      <c r="P54" s="707"/>
      <c r="Q54" s="703"/>
      <c r="R54" s="703"/>
      <c r="S54" s="703"/>
      <c r="T54" s="703"/>
      <c r="U54" s="703"/>
      <c r="V54" s="703"/>
      <c r="W54" s="703"/>
      <c r="X54" s="703"/>
    </row>
    <row r="55" spans="2:24">
      <c r="B55" s="1304" t="s">
        <v>777</v>
      </c>
      <c r="C55" s="670"/>
      <c r="D55" s="670"/>
      <c r="E55" s="670"/>
      <c r="F55" s="670"/>
      <c r="G55" s="670"/>
      <c r="H55" s="666" t="s">
        <v>778</v>
      </c>
      <c r="I55" s="650"/>
      <c r="J55" s="1134">
        <v>2001</v>
      </c>
      <c r="K55" s="1134">
        <v>2002</v>
      </c>
      <c r="L55" s="1134">
        <v>2003</v>
      </c>
      <c r="M55" s="1134">
        <v>2004</v>
      </c>
      <c r="N55" s="1135">
        <v>2005</v>
      </c>
      <c r="O55" s="707"/>
      <c r="P55" s="707"/>
      <c r="Q55" s="703"/>
      <c r="R55" s="703"/>
      <c r="S55" s="703"/>
      <c r="T55" s="703"/>
      <c r="U55" s="703"/>
      <c r="V55" s="703"/>
      <c r="W55" s="703"/>
      <c r="X55" s="703"/>
    </row>
    <row r="56" spans="2:24">
      <c r="B56" s="652" t="s">
        <v>640</v>
      </c>
      <c r="C56" s="670">
        <f>NewCo_IS!B15</f>
        <v>536415.27458462049</v>
      </c>
      <c r="D56" s="670">
        <f>NewCo_IS!C15</f>
        <v>497315.25125635974</v>
      </c>
      <c r="E56" s="670">
        <f>NewCo_IS!D15</f>
        <v>503187.15824683389</v>
      </c>
      <c r="F56" s="670">
        <f>NewCo_IS!E15</f>
        <v>558131.429730759</v>
      </c>
      <c r="G56" s="670">
        <f>NewCo_IS!F15</f>
        <v>569450.39170173428</v>
      </c>
      <c r="H56" s="650" t="s">
        <v>640</v>
      </c>
      <c r="I56" s="650"/>
      <c r="J56" s="670">
        <f>NewCo_IS!B45</f>
        <v>556040.30263340101</v>
      </c>
      <c r="K56" s="670">
        <f>NewCo_IS!C45</f>
        <v>716303.2020530845</v>
      </c>
      <c r="L56" s="670">
        <f>NewCo_IS!D45</f>
        <v>1008520.8426631668</v>
      </c>
      <c r="M56" s="670">
        <f>NewCo_IS!E45</f>
        <v>1336268.7199100824</v>
      </c>
      <c r="N56" s="1136">
        <f>NewCo_IS!F45</f>
        <v>1595556.8817384196</v>
      </c>
      <c r="O56" s="707"/>
      <c r="P56" s="707"/>
      <c r="Q56" s="703"/>
      <c r="R56" s="703"/>
      <c r="S56" s="703"/>
      <c r="T56" s="703"/>
      <c r="U56" s="703"/>
      <c r="V56" s="703"/>
      <c r="W56" s="703"/>
      <c r="X56" s="703"/>
    </row>
    <row r="57" spans="2:24">
      <c r="B57" s="652" t="s">
        <v>327</v>
      </c>
      <c r="C57" s="670">
        <f>NewCo_IS!B40</f>
        <v>102497.73359536167</v>
      </c>
      <c r="D57" s="670">
        <f>NewCo_IS!C40</f>
        <v>92512.539419081237</v>
      </c>
      <c r="E57" s="670">
        <f>NewCo_IS!D40</f>
        <v>110991.55979019866</v>
      </c>
      <c r="F57" s="670">
        <f>NewCo_IS!E40</f>
        <v>166898.7440839769</v>
      </c>
      <c r="G57" s="670">
        <f>NewCo_IS!F40</f>
        <v>200085.07068451721</v>
      </c>
      <c r="H57" s="650" t="s">
        <v>327</v>
      </c>
      <c r="I57" s="650"/>
      <c r="J57" s="670">
        <f>NewCo_IS!B42</f>
        <v>129177.8861268405</v>
      </c>
      <c r="K57" s="670">
        <f>NewCo_IS!C42</f>
        <v>156741.11110953268</v>
      </c>
      <c r="L57" s="670">
        <f>NewCo_IS!D42</f>
        <v>198720.24572619441</v>
      </c>
      <c r="M57" s="670">
        <f>NewCo_IS!E42</f>
        <v>302364.89160030126</v>
      </c>
      <c r="N57" s="1136">
        <f>NewCo_IS!F42</f>
        <v>386322.47491326119</v>
      </c>
      <c r="O57" s="707"/>
      <c r="P57" s="707"/>
      <c r="Q57" s="703"/>
      <c r="R57" s="703"/>
      <c r="S57" s="703"/>
      <c r="T57" s="703"/>
      <c r="U57" s="703"/>
      <c r="V57" s="703"/>
      <c r="W57" s="703"/>
      <c r="X57" s="703"/>
    </row>
    <row r="58" spans="2:24">
      <c r="B58" s="652" t="s">
        <v>328</v>
      </c>
      <c r="C58" s="670">
        <f>NewCo_CF!C28</f>
        <v>182993.41250896361</v>
      </c>
      <c r="D58" s="670">
        <f>NewCo_CF!D28</f>
        <v>168080.73277992546</v>
      </c>
      <c r="E58" s="670">
        <f>NewCo_CF!E28</f>
        <v>188028.42332430941</v>
      </c>
      <c r="F58" s="670">
        <f>NewCo_CF!F28</f>
        <v>326217.72233076516</v>
      </c>
      <c r="G58" s="670">
        <f>NewCo_CF!G28</f>
        <v>365330.2504235598</v>
      </c>
      <c r="H58" s="1250" t="s">
        <v>685</v>
      </c>
      <c r="I58" s="650"/>
      <c r="J58" s="742"/>
      <c r="K58" s="1214">
        <f>(K57/$J$57)^(1/(K55-2001))-1</f>
        <v>0.21337417579064333</v>
      </c>
      <c r="L58" s="1214">
        <f>(L57/$J$57)^(1/(L55-2001))-1</f>
        <v>0.24030064924818717</v>
      </c>
      <c r="M58" s="1214">
        <f>(M57/$J$57)^(1/(M55-2001))-1</f>
        <v>0.32774414937496865</v>
      </c>
      <c r="N58" s="1215">
        <f>(N57/$J$57)^(1/(N55-2001))-1</f>
        <v>0.31504450321884114</v>
      </c>
      <c r="O58" s="707"/>
      <c r="P58" s="707"/>
      <c r="Q58" s="703"/>
      <c r="R58" s="703"/>
      <c r="S58" s="703"/>
      <c r="T58" s="703"/>
      <c r="U58" s="703"/>
      <c r="V58" s="703"/>
      <c r="W58" s="703"/>
      <c r="X58" s="703"/>
    </row>
    <row r="59" spans="2:24">
      <c r="B59" s="652" t="s">
        <v>329</v>
      </c>
      <c r="C59" s="670">
        <f>NewCo_CF!C33</f>
        <v>181749.93432475158</v>
      </c>
      <c r="D59" s="670">
        <f>NewCo_CF!D33</f>
        <v>165971.82262897355</v>
      </c>
      <c r="E59" s="670">
        <f>NewCo_CF!E33</f>
        <v>184955.14764437225</v>
      </c>
      <c r="F59" s="670">
        <f>NewCo_CF!F33</f>
        <v>321228.35191987851</v>
      </c>
      <c r="G59" s="670">
        <f>NewCo_CF!G33</f>
        <v>358394.24153856299</v>
      </c>
      <c r="H59" s="650" t="s">
        <v>329</v>
      </c>
      <c r="I59" s="650"/>
      <c r="J59" s="670">
        <f>NewCo_CF!C35</f>
        <v>201450.95932508382</v>
      </c>
      <c r="K59" s="670">
        <f>NewCo_CF!D35</f>
        <v>250738.84626140649</v>
      </c>
      <c r="L59" s="670">
        <f>NewCo_CF!E35</f>
        <v>297844.63348239654</v>
      </c>
      <c r="M59" s="670">
        <f>NewCo_CF!F35</f>
        <v>485441.01475893089</v>
      </c>
      <c r="N59" s="1136">
        <f>NewCo_CF!G35</f>
        <v>544998.19614176534</v>
      </c>
      <c r="O59" s="707"/>
      <c r="P59" s="707"/>
      <c r="Q59" s="703"/>
      <c r="R59" s="703"/>
      <c r="S59" s="703"/>
      <c r="T59" s="703"/>
      <c r="U59" s="703"/>
      <c r="V59" s="703"/>
      <c r="W59" s="703"/>
      <c r="X59" s="703"/>
    </row>
    <row r="60" spans="2:24">
      <c r="B60" s="652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6"/>
      <c r="O60" s="650"/>
      <c r="P60" s="650"/>
      <c r="S60" s="703"/>
      <c r="T60" s="703"/>
      <c r="U60" s="703"/>
      <c r="V60" s="703"/>
      <c r="W60" s="703"/>
      <c r="X60" s="703"/>
    </row>
    <row r="61" spans="2:24" ht="15.75" thickBot="1">
      <c r="B61" s="709" t="s">
        <v>634</v>
      </c>
      <c r="C61" s="1137">
        <f>'FPLE_Valuation Summary'!F31+ENA_Assumptions!K12+Devel_Summary!D9</f>
        <v>7493.6</v>
      </c>
      <c r="D61" s="1137">
        <f>C61+Devel_Summary!E9</f>
        <v>9698.6</v>
      </c>
      <c r="E61" s="1137">
        <f>D61+Devel_Summary!F9</f>
        <v>13948.6</v>
      </c>
      <c r="F61" s="1137">
        <f>E61+Devel_Summary!G9</f>
        <v>16948.599999999999</v>
      </c>
      <c r="G61" s="1137">
        <f>F61+Devel_Summary!H9</f>
        <v>19948.599999999999</v>
      </c>
      <c r="H61" s="662"/>
      <c r="I61" s="662"/>
      <c r="J61" s="662"/>
      <c r="K61" s="662"/>
      <c r="L61" s="662"/>
      <c r="M61" s="662"/>
      <c r="N61" s="663"/>
      <c r="S61" s="703"/>
      <c r="T61" s="703"/>
      <c r="U61" s="703"/>
      <c r="V61" s="703"/>
      <c r="W61" s="703"/>
      <c r="X61" s="703"/>
    </row>
    <row r="62" spans="2:24">
      <c r="S62" s="703"/>
      <c r="T62" s="703"/>
      <c r="U62" s="703"/>
      <c r="V62" s="703"/>
      <c r="W62" s="703"/>
      <c r="X62" s="703"/>
    </row>
    <row r="63" spans="2:24">
      <c r="S63" s="703"/>
      <c r="T63" s="703"/>
      <c r="U63" s="703"/>
      <c r="V63" s="703"/>
      <c r="W63" s="703"/>
      <c r="X63" s="703"/>
    </row>
    <row r="64" spans="2:24">
      <c r="S64" s="703"/>
      <c r="T64" s="703"/>
      <c r="U64" s="703"/>
      <c r="V64" s="703"/>
      <c r="W64" s="703"/>
      <c r="X64" s="703"/>
    </row>
    <row r="65" spans="2:24">
      <c r="S65" s="703"/>
      <c r="T65" s="703"/>
      <c r="U65" s="703"/>
      <c r="V65" s="703"/>
      <c r="W65" s="703"/>
      <c r="X65" s="703"/>
    </row>
    <row r="66" spans="2:24" ht="15.75" thickBot="1">
      <c r="E66" s="1247"/>
      <c r="S66" s="703"/>
      <c r="T66" s="703"/>
      <c r="U66" s="703"/>
      <c r="V66" s="703"/>
      <c r="W66" s="703"/>
      <c r="X66" s="703"/>
    </row>
    <row r="67" spans="2:24" ht="15.75">
      <c r="B67" s="1248" t="s">
        <v>573</v>
      </c>
      <c r="C67" s="1241"/>
      <c r="D67" s="1241"/>
      <c r="E67" s="1242"/>
      <c r="F67" s="762"/>
      <c r="G67" s="762"/>
      <c r="H67" s="763"/>
      <c r="I67" s="313"/>
      <c r="J67" s="313"/>
      <c r="K67" s="313"/>
      <c r="L67" s="313"/>
      <c r="M67" s="271"/>
      <c r="N67" s="271"/>
      <c r="S67" s="703"/>
      <c r="T67" s="703"/>
      <c r="U67" s="703"/>
      <c r="V67" s="703"/>
      <c r="W67" s="703"/>
      <c r="X67" s="703"/>
    </row>
    <row r="68" spans="2:24">
      <c r="B68" s="652"/>
      <c r="C68" s="650"/>
      <c r="D68" s="650"/>
      <c r="E68" s="1243"/>
      <c r="F68" s="650"/>
      <c r="G68" s="650"/>
      <c r="H68" s="656"/>
      <c r="I68" s="650"/>
      <c r="J68" s="650"/>
      <c r="K68" s="650"/>
      <c r="L68" s="650"/>
      <c r="S68" s="703"/>
      <c r="T68" s="703"/>
      <c r="U68" s="703"/>
      <c r="V68" s="703"/>
      <c r="W68" s="703"/>
      <c r="X68" s="703"/>
    </row>
    <row r="69" spans="2:24">
      <c r="B69" s="677" t="s">
        <v>646</v>
      </c>
      <c r="C69" s="650"/>
      <c r="D69" s="1243"/>
      <c r="E69" s="1134" t="s">
        <v>647</v>
      </c>
      <c r="F69" s="650"/>
      <c r="G69" s="650"/>
      <c r="H69" s="656"/>
      <c r="I69" s="650"/>
      <c r="J69" s="650"/>
      <c r="K69" s="650"/>
      <c r="L69" s="650"/>
      <c r="S69" s="703"/>
      <c r="T69" s="703"/>
      <c r="U69" s="703"/>
      <c r="V69" s="703"/>
      <c r="W69" s="703"/>
      <c r="X69" s="703"/>
    </row>
    <row r="70" spans="2:24">
      <c r="B70" s="652"/>
      <c r="C70" s="650"/>
      <c r="D70" s="1243"/>
      <c r="E70" s="1223"/>
      <c r="F70" s="650"/>
      <c r="G70" s="650"/>
      <c r="H70" s="656"/>
      <c r="I70" s="650"/>
      <c r="J70" s="650"/>
      <c r="K70" s="650"/>
      <c r="L70" s="650"/>
      <c r="S70" s="703"/>
      <c r="T70" s="703"/>
      <c r="U70" s="703"/>
      <c r="V70" s="703"/>
      <c r="W70" s="703"/>
      <c r="X70" s="703"/>
    </row>
    <row r="71" spans="2:24">
      <c r="B71" s="652" t="s">
        <v>648</v>
      </c>
      <c r="C71" s="650"/>
      <c r="D71" s="1224">
        <v>12000</v>
      </c>
      <c r="E71" s="1223" t="s">
        <v>649</v>
      </c>
      <c r="F71" s="650"/>
      <c r="G71" s="650"/>
      <c r="H71" s="656"/>
      <c r="I71" s="650"/>
      <c r="J71" s="650"/>
      <c r="K71" s="650"/>
      <c r="L71" s="650"/>
      <c r="S71" s="703"/>
      <c r="T71" s="703"/>
      <c r="U71" s="703"/>
      <c r="V71" s="703"/>
      <c r="W71" s="703"/>
      <c r="X71" s="703"/>
    </row>
    <row r="72" spans="2:24">
      <c r="B72" s="652" t="s">
        <v>650</v>
      </c>
      <c r="C72" s="650"/>
      <c r="D72" s="1243">
        <v>2000</v>
      </c>
      <c r="E72" s="1223"/>
      <c r="F72" s="650"/>
      <c r="G72" s="650"/>
      <c r="H72" s="656"/>
      <c r="I72" s="650"/>
      <c r="J72" s="650"/>
      <c r="K72" s="650"/>
      <c r="L72" s="650"/>
      <c r="O72" s="703"/>
      <c r="P72" s="703"/>
      <c r="Q72" s="703"/>
      <c r="R72" s="703"/>
      <c r="S72" s="703"/>
      <c r="T72" s="703"/>
      <c r="U72" s="703"/>
      <c r="V72" s="703"/>
      <c r="W72" s="703"/>
      <c r="X72" s="703"/>
    </row>
    <row r="73" spans="2:24">
      <c r="B73" s="652" t="s">
        <v>651</v>
      </c>
      <c r="C73" s="650"/>
      <c r="D73" s="1243">
        <v>7000</v>
      </c>
      <c r="E73" s="1223"/>
      <c r="F73" s="650"/>
      <c r="G73" s="650"/>
      <c r="H73" s="656"/>
      <c r="I73" s="650"/>
      <c r="J73" s="650"/>
      <c r="K73" s="650"/>
      <c r="L73" s="650"/>
      <c r="O73" s="703"/>
      <c r="P73" s="703"/>
      <c r="Q73" s="703"/>
      <c r="R73" s="703"/>
      <c r="S73" s="703"/>
      <c r="T73" s="703"/>
      <c r="U73" s="703"/>
      <c r="V73" s="703"/>
      <c r="W73" s="703"/>
      <c r="X73" s="703"/>
    </row>
    <row r="74" spans="2:24">
      <c r="B74" s="652" t="s">
        <v>652</v>
      </c>
      <c r="C74" s="650"/>
      <c r="D74" s="1243">
        <v>5000</v>
      </c>
      <c r="E74" s="1223"/>
      <c r="F74" s="650"/>
      <c r="G74" s="650"/>
      <c r="H74" s="656"/>
      <c r="I74" s="650"/>
      <c r="J74" s="650"/>
      <c r="K74" s="650"/>
      <c r="L74" s="650"/>
    </row>
    <row r="75" spans="2:24">
      <c r="B75" s="652" t="s">
        <v>653</v>
      </c>
      <c r="C75" s="650"/>
      <c r="D75" s="1243">
        <v>2000</v>
      </c>
      <c r="E75" s="1223"/>
      <c r="F75" s="650"/>
      <c r="G75" s="650"/>
      <c r="H75" s="656"/>
      <c r="I75" s="650"/>
      <c r="J75" s="650"/>
      <c r="K75" s="650"/>
      <c r="L75" s="650"/>
    </row>
    <row r="76" spans="2:24">
      <c r="B76" s="652" t="s">
        <v>654</v>
      </c>
      <c r="C76" s="650"/>
      <c r="D76" s="1243">
        <v>1000</v>
      </c>
      <c r="E76" s="1223"/>
      <c r="F76" s="650"/>
      <c r="G76" s="650"/>
      <c r="H76" s="656"/>
      <c r="I76" s="650"/>
      <c r="J76" s="650"/>
      <c r="K76" s="650"/>
      <c r="L76" s="650"/>
    </row>
    <row r="77" spans="2:24">
      <c r="B77" s="652" t="s">
        <v>655</v>
      </c>
      <c r="C77" s="650"/>
      <c r="D77" s="1243">
        <v>9000</v>
      </c>
      <c r="E77" s="1223" t="s">
        <v>656</v>
      </c>
      <c r="F77" s="650"/>
      <c r="G77" s="650"/>
      <c r="H77" s="656"/>
      <c r="I77" s="650"/>
      <c r="J77" s="650"/>
      <c r="K77" s="650"/>
      <c r="L77" s="650"/>
    </row>
    <row r="78" spans="2:24">
      <c r="B78" s="1225" t="s">
        <v>657</v>
      </c>
      <c r="C78" s="650"/>
      <c r="D78" s="1244">
        <f>SUM(D71:D77)</f>
        <v>38000</v>
      </c>
      <c r="E78" s="650"/>
      <c r="F78" s="650"/>
      <c r="G78" s="650"/>
      <c r="H78" s="656"/>
      <c r="I78" s="650"/>
      <c r="J78" s="650"/>
      <c r="K78" s="650"/>
      <c r="L78" s="650"/>
      <c r="Q78" s="631"/>
    </row>
    <row r="79" spans="2:24">
      <c r="B79" s="652"/>
      <c r="C79" s="650"/>
      <c r="D79" s="1245"/>
      <c r="E79" s="650"/>
      <c r="F79" s="650"/>
      <c r="G79" s="650"/>
      <c r="H79" s="656"/>
      <c r="I79" s="650"/>
      <c r="J79" s="650"/>
      <c r="K79" s="650"/>
      <c r="L79" s="650"/>
    </row>
    <row r="80" spans="2:24">
      <c r="B80" s="652" t="s">
        <v>658</v>
      </c>
      <c r="C80" s="650"/>
      <c r="D80" s="1243">
        <f>+D78*(1-0.385)</f>
        <v>23370</v>
      </c>
      <c r="E80" s="650"/>
      <c r="F80" s="650"/>
      <c r="G80" s="650"/>
      <c r="H80" s="656"/>
      <c r="I80" s="650"/>
      <c r="J80" s="650"/>
      <c r="K80" s="650"/>
      <c r="L80" s="650"/>
    </row>
    <row r="81" spans="2:12">
      <c r="B81" s="652"/>
      <c r="C81" s="650"/>
      <c r="D81" s="650"/>
      <c r="E81" s="1243"/>
      <c r="F81" s="650"/>
      <c r="G81" s="650"/>
      <c r="H81" s="656"/>
      <c r="I81" s="650"/>
      <c r="J81" s="650"/>
      <c r="K81" s="650"/>
      <c r="L81" s="650"/>
    </row>
    <row r="82" spans="2:12">
      <c r="B82" s="652"/>
      <c r="C82" s="650"/>
      <c r="D82" s="650"/>
      <c r="E82" s="1243"/>
      <c r="F82" s="650"/>
      <c r="G82" s="650"/>
      <c r="H82" s="656"/>
      <c r="I82" s="650"/>
      <c r="J82" s="650"/>
      <c r="K82" s="650"/>
      <c r="L82" s="650"/>
    </row>
    <row r="83" spans="2:12">
      <c r="B83" s="652" t="s">
        <v>659</v>
      </c>
      <c r="C83" s="650"/>
      <c r="D83" s="650"/>
      <c r="E83" s="1243"/>
      <c r="F83" s="650"/>
      <c r="G83" s="650"/>
      <c r="H83" s="656"/>
      <c r="I83" s="650"/>
      <c r="J83" s="650"/>
      <c r="K83" s="650"/>
      <c r="L83" s="650"/>
    </row>
    <row r="84" spans="2:12">
      <c r="B84" s="652" t="s">
        <v>660</v>
      </c>
      <c r="C84" s="650"/>
      <c r="D84" s="650"/>
      <c r="E84" s="1243"/>
      <c r="F84" s="650"/>
      <c r="G84" s="650"/>
      <c r="H84" s="656"/>
      <c r="I84" s="650"/>
      <c r="J84" s="650"/>
      <c r="K84" s="650"/>
      <c r="L84" s="650"/>
    </row>
    <row r="85" spans="2:12" ht="15.75" thickBot="1">
      <c r="B85" s="709" t="s">
        <v>661</v>
      </c>
      <c r="C85" s="662"/>
      <c r="D85" s="662"/>
      <c r="E85" s="1246"/>
      <c r="F85" s="662"/>
      <c r="G85" s="662"/>
      <c r="H85" s="663"/>
      <c r="I85" s="650"/>
      <c r="J85" s="650"/>
      <c r="K85" s="650"/>
      <c r="L85" s="650"/>
    </row>
  </sheetData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826" r:id="rId4" name="Button 58">
              <controlPr defaultSize="0" print="0" autoFill="0" autoPict="0" macro="[0]!Print_All">
                <anchor moveWithCells="1" sizeWithCells="1">
                  <from>
                    <xdr:col>2</xdr:col>
                    <xdr:colOff>1171575</xdr:colOff>
                    <xdr:row>2</xdr:row>
                    <xdr:rowOff>9525</xdr:rowOff>
                  </from>
                  <to>
                    <xdr:col>3</xdr:col>
                    <xdr:colOff>962025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7" r:id="rId5" name="Button 59">
              <controlPr defaultSize="0" print="0" autoFill="0" autoPict="0" macro="[0]!Print_Summary">
                <anchor moveWithCells="1" sizeWithCells="1">
                  <from>
                    <xdr:col>4</xdr:col>
                    <xdr:colOff>409575</xdr:colOff>
                    <xdr:row>2</xdr:row>
                    <xdr:rowOff>9525</xdr:rowOff>
                  </from>
                  <to>
                    <xdr:col>5</xdr:col>
                    <xdr:colOff>628650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8" r:id="rId6" name="Drop Down 70">
              <controlPr defaultSize="0" autoFill="0" autoLine="0" autoPict="0">
                <anchor moveWithCells="1">
                  <from>
                    <xdr:col>6</xdr:col>
                    <xdr:colOff>9525</xdr:colOff>
                    <xdr:row>2</xdr:row>
                    <xdr:rowOff>28575</xdr:rowOff>
                  </from>
                  <to>
                    <xdr:col>7</xdr:col>
                    <xdr:colOff>333375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O35"/>
  <sheetViews>
    <sheetView zoomScale="75" zoomScaleNormal="75" workbookViewId="0"/>
  </sheetViews>
  <sheetFormatPr defaultRowHeight="12.75" outlineLevelRow="1"/>
  <cols>
    <col min="1" max="1" width="43.140625" style="271" customWidth="1"/>
    <col min="2" max="20" width="12.7109375" style="334" customWidth="1"/>
    <col min="21" max="21" width="13.42578125" style="334" bestFit="1" customWidth="1"/>
    <col min="22" max="22" width="10.7109375" style="334" customWidth="1"/>
    <col min="23" max="16384" width="9.140625" style="271"/>
  </cols>
  <sheetData>
    <row r="1" spans="1:41">
      <c r="A1" s="1281"/>
    </row>
    <row r="2" spans="1:41" ht="18.75">
      <c r="A2" s="270" t="s">
        <v>776</v>
      </c>
      <c r="B2" s="590"/>
      <c r="C2" s="590"/>
    </row>
    <row r="5" spans="1:41" s="8" customFormat="1" ht="13.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</row>
    <row r="7" spans="1:41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</row>
    <row r="8" spans="1:41" s="313" customFormat="1">
      <c r="A8" s="1188" t="s">
        <v>665</v>
      </c>
      <c r="B8" s="295">
        <f>NewCo_CF!C60</f>
        <v>643693.45932508458</v>
      </c>
      <c r="C8" s="295">
        <f>NewCo_CF!D60</f>
        <v>330682.30558650696</v>
      </c>
      <c r="D8" s="295">
        <f>NewCo_CF!E60</f>
        <v>8.7046530097723007E-5</v>
      </c>
      <c r="E8" s="295">
        <f>NewCo_CF!F60</f>
        <v>1.4845977537333965E-2</v>
      </c>
      <c r="F8" s="295">
        <f>NewCo_CF!G60</f>
        <v>49998.210987743922</v>
      </c>
      <c r="G8" s="295">
        <f>NewCo_CF!H60</f>
        <v>674009.38867618237</v>
      </c>
      <c r="H8" s="295">
        <f>NewCo_CF!I60</f>
        <v>1323656.3381620029</v>
      </c>
      <c r="I8" s="295">
        <f>NewCo_CF!J60</f>
        <v>2006058.701989918</v>
      </c>
      <c r="J8" s="295">
        <f>NewCo_CF!K60</f>
        <v>2742171.6462671207</v>
      </c>
      <c r="K8" s="295">
        <f>NewCo_CF!L60</f>
        <v>3555350.8391880225</v>
      </c>
      <c r="L8" s="295">
        <f>NewCo_CF!M60</f>
        <v>4387036.3377278438</v>
      </c>
      <c r="M8" s="295">
        <f>NewCo_CF!N60</f>
        <v>5220430.0136126466</v>
      </c>
      <c r="N8" s="295">
        <f>NewCo_CF!O60</f>
        <v>6073382.8794916365</v>
      </c>
      <c r="O8" s="295">
        <f>NewCo_CF!P60</f>
        <v>6974047.8143799445</v>
      </c>
      <c r="P8" s="295">
        <f>NewCo_CF!Q60</f>
        <v>7916889.7206419408</v>
      </c>
      <c r="Q8" s="295">
        <f>NewCo_CF!R60</f>
        <v>8942140.1999054849</v>
      </c>
      <c r="R8" s="295">
        <f>NewCo_CF!S60</f>
        <v>10139504.742463658</v>
      </c>
      <c r="S8" s="295">
        <f>NewCo_CF!T60</f>
        <v>11704633.310549939</v>
      </c>
      <c r="T8" s="295">
        <f>NewCo_CF!U60</f>
        <v>13562246.635741683</v>
      </c>
      <c r="U8" s="295">
        <f>NewCo_CF!V60</f>
        <v>15695019.888770847</v>
      </c>
      <c r="V8" s="723"/>
    </row>
    <row r="9" spans="1:41" s="313" customFormat="1">
      <c r="A9" s="1188" t="s">
        <v>714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</row>
    <row r="10" spans="1:41" s="313" customFormat="1">
      <c r="A10" s="1188" t="s">
        <v>667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723"/>
    </row>
    <row r="11" spans="1:41" s="313" customFormat="1">
      <c r="A11" s="1238" t="s">
        <v>668</v>
      </c>
      <c r="B11" s="295">
        <f>'NewCo_Summary Output'!F17+Devel_Summary!D18</f>
        <v>4579762.2163605727</v>
      </c>
      <c r="C11" s="295">
        <f>B11+Devel_Summary!E18</f>
        <v>6103262.2163605727</v>
      </c>
      <c r="D11" s="295">
        <f>C11+Devel_Summary!F18</f>
        <v>8590762.2163605727</v>
      </c>
      <c r="E11" s="295">
        <f>D11+Devel_Summary!G18</f>
        <v>10240762.216360573</v>
      </c>
      <c r="F11" s="295">
        <f>E11+Devel_Summary!H18</f>
        <v>11890762.216360573</v>
      </c>
      <c r="G11" s="295">
        <f>F11+Devel_Summary!I18</f>
        <v>11890762.216360573</v>
      </c>
      <c r="H11" s="295">
        <f>G11+Devel_Summary!J18</f>
        <v>11890762.216360573</v>
      </c>
      <c r="I11" s="295">
        <f>H11+Devel_Summary!K18</f>
        <v>11890762.216360573</v>
      </c>
      <c r="J11" s="295">
        <f>I11+Devel_Summary!L18</f>
        <v>11890762.216360573</v>
      </c>
      <c r="K11" s="295">
        <f>J11+Devel_Summary!M18</f>
        <v>11890762.216360573</v>
      </c>
      <c r="L11" s="295">
        <f>K11+Devel_Summary!N18</f>
        <v>11890762.216360573</v>
      </c>
      <c r="M11" s="295">
        <f>L11+Devel_Summary!O18</f>
        <v>11890762.216360573</v>
      </c>
      <c r="N11" s="295">
        <f>M11+Devel_Summary!P18</f>
        <v>11890762.216360573</v>
      </c>
      <c r="O11" s="295">
        <f>N11+Devel_Summary!Q18</f>
        <v>11890762.216360573</v>
      </c>
      <c r="P11" s="295">
        <f>O11+Devel_Summary!R18</f>
        <v>11890762.216360573</v>
      </c>
      <c r="Q11" s="295">
        <f>P11+Devel_Summary!S18</f>
        <v>11890762.216360573</v>
      </c>
      <c r="R11" s="295">
        <f>Q11+Devel_Summary!T18</f>
        <v>11890762.216360573</v>
      </c>
      <c r="S11" s="295">
        <f>R11+Devel_Summary!U18</f>
        <v>11890762.216360573</v>
      </c>
      <c r="T11" s="295">
        <f>S11+Devel_Summary!V18</f>
        <v>11890762.216360573</v>
      </c>
      <c r="U11" s="295">
        <f>T11+Devel_Summary!W18</f>
        <v>11890762.216360573</v>
      </c>
      <c r="V11" s="723"/>
    </row>
    <row r="12" spans="1:41" s="313" customFormat="1">
      <c r="A12" s="1238" t="s">
        <v>669</v>
      </c>
      <c r="B12" s="297">
        <f>NewCo_IS!B19+Devel_Summary!D112</f>
        <v>149737.8241998661</v>
      </c>
      <c r="C12" s="297">
        <f>B12+NewCo_IS!C19+Devel_Summary!E112</f>
        <v>345180.64839973219</v>
      </c>
      <c r="D12" s="297">
        <f>C12+NewCo_IS!D19+Devel_Summary!F112</f>
        <v>615248.47259959835</v>
      </c>
      <c r="E12" s="297">
        <f>D12+NewCo_IS!E19+Devel_Summary!G112</f>
        <v>934816.29679946438</v>
      </c>
      <c r="F12" s="297">
        <f>E12+NewCo_IS!F19+Devel_Summary!H112</f>
        <v>1303884.1209993304</v>
      </c>
      <c r="G12" s="297">
        <f>F12+NewCo_IS!G19+Devel_Summary!I112</f>
        <v>1672951.9451991965</v>
      </c>
      <c r="H12" s="297">
        <f>G12+NewCo_IS!H19+Devel_Summary!J112</f>
        <v>2042019.7693990625</v>
      </c>
      <c r="I12" s="297">
        <f>H12+NewCo_IS!I19+Devel_Summary!K112</f>
        <v>2411087.5935989288</v>
      </c>
      <c r="J12" s="297">
        <f>I12+NewCo_IS!J19+Devel_Summary!L112</f>
        <v>2780155.4177987948</v>
      </c>
      <c r="K12" s="297">
        <f>J12+NewCo_IS!K19+Devel_Summary!M112</f>
        <v>3149223.2419986608</v>
      </c>
      <c r="L12" s="297">
        <f>K12+NewCo_IS!L19+Devel_Summary!N112</f>
        <v>3518291.0661985269</v>
      </c>
      <c r="M12" s="297">
        <f>L12+NewCo_IS!M19+Devel_Summary!O112</f>
        <v>3887358.8903983929</v>
      </c>
      <c r="N12" s="297">
        <f>M12+NewCo_IS!N19+Devel_Summary!P112</f>
        <v>4256426.714598259</v>
      </c>
      <c r="O12" s="297">
        <f>N12+NewCo_IS!O19+Devel_Summary!Q112</f>
        <v>4624712.0387981255</v>
      </c>
      <c r="P12" s="297">
        <f>O12+NewCo_IS!P19+Devel_Summary!R112</f>
        <v>4992603.862997992</v>
      </c>
      <c r="Q12" s="297">
        <f>P12+NewCo_IS!Q19+Devel_Summary!S112</f>
        <v>5360384.1871978585</v>
      </c>
      <c r="R12" s="297">
        <f>Q12+NewCo_IS!R19+Devel_Summary!T112</f>
        <v>5727500.011397725</v>
      </c>
      <c r="S12" s="297">
        <f>R12+NewCo_IS!S19+Devel_Summary!U112</f>
        <v>6085073.8355975915</v>
      </c>
      <c r="T12" s="297">
        <f>S12+NewCo_IS!T19+Devel_Summary!V112</f>
        <v>6439517.159797458</v>
      </c>
      <c r="U12" s="297">
        <f>T12+NewCo_IS!U19+Devel_Summary!W112</f>
        <v>6787590.9839973245</v>
      </c>
      <c r="V12" s="723"/>
    </row>
    <row r="13" spans="1:41" s="313" customFormat="1">
      <c r="A13" s="1238" t="s">
        <v>670</v>
      </c>
      <c r="B13" s="295">
        <f>B11-B12</f>
        <v>4430024.3921607062</v>
      </c>
      <c r="C13" s="295">
        <f t="shared" ref="C13:U13" si="1">C11-C12</f>
        <v>5758081.5679608406</v>
      </c>
      <c r="D13" s="295">
        <f t="shared" si="1"/>
        <v>7975513.7437609741</v>
      </c>
      <c r="E13" s="295">
        <f t="shared" si="1"/>
        <v>9305945.9195611086</v>
      </c>
      <c r="F13" s="295">
        <f t="shared" si="1"/>
        <v>10586878.095361242</v>
      </c>
      <c r="G13" s="295">
        <f t="shared" si="1"/>
        <v>10217810.271161376</v>
      </c>
      <c r="H13" s="295">
        <f t="shared" si="1"/>
        <v>9848742.4469615109</v>
      </c>
      <c r="I13" s="295">
        <f t="shared" si="1"/>
        <v>9479674.6227616444</v>
      </c>
      <c r="J13" s="295">
        <f t="shared" si="1"/>
        <v>9110606.7985617779</v>
      </c>
      <c r="K13" s="295">
        <f t="shared" si="1"/>
        <v>8741538.9743619114</v>
      </c>
      <c r="L13" s="295">
        <f t="shared" si="1"/>
        <v>8372471.1501620458</v>
      </c>
      <c r="M13" s="295">
        <f t="shared" si="1"/>
        <v>8003403.3259621803</v>
      </c>
      <c r="N13" s="295">
        <f t="shared" si="1"/>
        <v>7634335.5017623138</v>
      </c>
      <c r="O13" s="295">
        <f t="shared" si="1"/>
        <v>7266050.1775624473</v>
      </c>
      <c r="P13" s="295">
        <f t="shared" si="1"/>
        <v>6898158.3533625808</v>
      </c>
      <c r="Q13" s="295">
        <f t="shared" si="1"/>
        <v>6530378.0291627143</v>
      </c>
      <c r="R13" s="295">
        <f t="shared" si="1"/>
        <v>6163262.2049628478</v>
      </c>
      <c r="S13" s="295">
        <f t="shared" si="1"/>
        <v>5805688.3807629813</v>
      </c>
      <c r="T13" s="295">
        <f t="shared" si="1"/>
        <v>5451245.0565631147</v>
      </c>
      <c r="U13" s="295">
        <f t="shared" si="1"/>
        <v>5103171.2323632482</v>
      </c>
      <c r="V13" s="723"/>
    </row>
    <row r="14" spans="1:41" s="313" customFormat="1"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723"/>
    </row>
    <row r="15" spans="1:41" s="313" customFormat="1">
      <c r="A15" s="1217" t="s">
        <v>671</v>
      </c>
      <c r="B15" s="553">
        <f t="shared" ref="B15:U15" si="2">SUM(B8:B9)+B13</f>
        <v>5073717.8514857907</v>
      </c>
      <c r="C15" s="553">
        <f t="shared" si="2"/>
        <v>6088763.8735473473</v>
      </c>
      <c r="D15" s="553">
        <f t="shared" si="2"/>
        <v>7975513.7438480202</v>
      </c>
      <c r="E15" s="553">
        <f t="shared" si="2"/>
        <v>9305945.9344070852</v>
      </c>
      <c r="F15" s="553">
        <f t="shared" si="2"/>
        <v>10636876.306348987</v>
      </c>
      <c r="G15" s="553">
        <f t="shared" si="2"/>
        <v>10891819.659837559</v>
      </c>
      <c r="H15" s="553">
        <f t="shared" si="2"/>
        <v>11172398.785123514</v>
      </c>
      <c r="I15" s="553">
        <f t="shared" si="2"/>
        <v>11485733.324751563</v>
      </c>
      <c r="J15" s="553">
        <f t="shared" si="2"/>
        <v>11852778.444828898</v>
      </c>
      <c r="K15" s="553">
        <f t="shared" si="2"/>
        <v>12296889.813549934</v>
      </c>
      <c r="L15" s="553">
        <f t="shared" si="2"/>
        <v>12759507.48788989</v>
      </c>
      <c r="M15" s="553">
        <f t="shared" si="2"/>
        <v>13223833.339574827</v>
      </c>
      <c r="N15" s="553">
        <f t="shared" si="2"/>
        <v>13707718.38125395</v>
      </c>
      <c r="O15" s="553">
        <f t="shared" si="2"/>
        <v>14240097.991942391</v>
      </c>
      <c r="P15" s="553">
        <f t="shared" si="2"/>
        <v>14815048.074004522</v>
      </c>
      <c r="Q15" s="553">
        <f t="shared" si="2"/>
        <v>15472518.229068199</v>
      </c>
      <c r="R15" s="553">
        <f t="shared" si="2"/>
        <v>16302766.947426505</v>
      </c>
      <c r="S15" s="553">
        <f t="shared" si="2"/>
        <v>17510321.69131292</v>
      </c>
      <c r="T15" s="553">
        <f t="shared" si="2"/>
        <v>19013491.692304797</v>
      </c>
      <c r="U15" s="553">
        <f t="shared" si="2"/>
        <v>20798191.121134095</v>
      </c>
      <c r="V15" s="723"/>
    </row>
    <row r="16" spans="1:41" s="313" customFormat="1"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723"/>
    </row>
    <row r="17" spans="1:22" s="313" customFormat="1">
      <c r="A17" s="314" t="s">
        <v>672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</row>
    <row r="18" spans="1:22" s="313" customFormat="1" hidden="1" outlineLevel="1">
      <c r="A18" s="1188" t="s">
        <v>766</v>
      </c>
      <c r="B18" s="295">
        <v>0</v>
      </c>
      <c r="C18" s="295">
        <v>0</v>
      </c>
      <c r="D18" s="295">
        <v>0</v>
      </c>
      <c r="E18" s="295">
        <v>0</v>
      </c>
      <c r="F18" s="295">
        <v>0</v>
      </c>
      <c r="G18" s="295">
        <v>0</v>
      </c>
      <c r="H18" s="295">
        <v>0</v>
      </c>
      <c r="I18" s="295">
        <v>0</v>
      </c>
      <c r="J18" s="295">
        <v>0</v>
      </c>
      <c r="K18" s="295">
        <v>0</v>
      </c>
      <c r="L18" s="295">
        <v>0</v>
      </c>
      <c r="M18" s="295">
        <v>0</v>
      </c>
      <c r="N18" s="295">
        <v>0</v>
      </c>
      <c r="O18" s="295">
        <v>0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723"/>
    </row>
    <row r="19" spans="1:22" s="313" customFormat="1" hidden="1" outlineLevel="1">
      <c r="A19" s="1188" t="s">
        <v>767</v>
      </c>
      <c r="B19" s="295">
        <v>0</v>
      </c>
      <c r="C19" s="295">
        <v>0</v>
      </c>
      <c r="D19" s="295">
        <v>0</v>
      </c>
      <c r="E19" s="295">
        <v>0</v>
      </c>
      <c r="F19" s="295">
        <v>0</v>
      </c>
      <c r="G19" s="295">
        <v>0</v>
      </c>
      <c r="H19" s="295">
        <v>0</v>
      </c>
      <c r="I19" s="295">
        <v>0</v>
      </c>
      <c r="J19" s="295">
        <v>0</v>
      </c>
      <c r="K19" s="295">
        <v>0</v>
      </c>
      <c r="L19" s="295">
        <v>0</v>
      </c>
      <c r="M19" s="295">
        <v>0</v>
      </c>
      <c r="N19" s="295">
        <v>0</v>
      </c>
      <c r="O19" s="295">
        <v>0</v>
      </c>
      <c r="P19" s="295">
        <v>0</v>
      </c>
      <c r="Q19" s="295">
        <v>0</v>
      </c>
      <c r="R19" s="295">
        <v>0</v>
      </c>
      <c r="S19" s="295">
        <v>0</v>
      </c>
      <c r="T19" s="295">
        <v>0</v>
      </c>
      <c r="U19" s="295">
        <v>0</v>
      </c>
      <c r="V19" s="723"/>
    </row>
    <row r="20" spans="1:22" s="313" customFormat="1" hidden="1" outlineLevel="1">
      <c r="A20" s="1188" t="s">
        <v>677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723"/>
    </row>
    <row r="21" spans="1:22" s="313" customFormat="1" collapsed="1">
      <c r="A21" s="1239" t="s">
        <v>678</v>
      </c>
      <c r="B21" s="295">
        <f t="shared" ref="B21:U21" si="3">B15-B26</f>
        <v>2325896.4282633178</v>
      </c>
      <c r="C21" s="295">
        <f t="shared" si="3"/>
        <v>3184201.3392153415</v>
      </c>
      <c r="D21" s="295">
        <f t="shared" si="3"/>
        <v>4872230.9637898207</v>
      </c>
      <c r="E21" s="295">
        <f t="shared" si="3"/>
        <v>5900298.2627485842</v>
      </c>
      <c r="F21" s="295">
        <f t="shared" si="3"/>
        <v>6844906.1597772241</v>
      </c>
      <c r="G21" s="295">
        <f t="shared" si="3"/>
        <v>6627717.6234931974</v>
      </c>
      <c r="H21" s="295">
        <f t="shared" si="3"/>
        <v>6371059.4150042161</v>
      </c>
      <c r="I21" s="295">
        <f t="shared" si="3"/>
        <v>6073278.5914827874</v>
      </c>
      <c r="J21" s="295">
        <f t="shared" si="3"/>
        <v>5751116.4600741845</v>
      </c>
      <c r="K21" s="295">
        <f t="shared" si="3"/>
        <v>5400266.1109370319</v>
      </c>
      <c r="L21" s="295">
        <f t="shared" si="3"/>
        <v>4991102.382978539</v>
      </c>
      <c r="M21" s="295">
        <f t="shared" si="3"/>
        <v>4565543.0614929385</v>
      </c>
      <c r="N21" s="295">
        <f t="shared" si="3"/>
        <v>4066052.9089660645</v>
      </c>
      <c r="O21" s="295">
        <f t="shared" si="3"/>
        <v>3498008.570267465</v>
      </c>
      <c r="P21" s="295">
        <f t="shared" si="3"/>
        <v>2873137.3631483559</v>
      </c>
      <c r="Q21" s="295">
        <f t="shared" si="3"/>
        <v>2193303.7454481088</v>
      </c>
      <c r="R21" s="295">
        <f t="shared" si="3"/>
        <v>1559503.6574721765</v>
      </c>
      <c r="S21" s="295">
        <f t="shared" si="3"/>
        <v>1089011.0067783277</v>
      </c>
      <c r="T21" s="295">
        <f t="shared" si="3"/>
        <v>722997.48727653176</v>
      </c>
      <c r="U21" s="295">
        <f t="shared" si="3"/>
        <v>481882.50084334612</v>
      </c>
      <c r="V21" s="723"/>
    </row>
    <row r="22" spans="1:22" s="313" customFormat="1"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723"/>
    </row>
    <row r="23" spans="1:22" s="313" customFormat="1">
      <c r="A23" s="314" t="s">
        <v>679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723"/>
    </row>
    <row r="24" spans="1:22" s="313" customFormat="1">
      <c r="A24" s="1188" t="s">
        <v>680</v>
      </c>
      <c r="B24" s="295">
        <f>'NewCo_Summary Output'!D17+NewCo_CF!$B$57</f>
        <v>2618643.5370956324</v>
      </c>
      <c r="C24" s="295">
        <f>B24</f>
        <v>2618643.5370956324</v>
      </c>
      <c r="D24" s="295">
        <f t="shared" ref="D24:U24" si="4">C24</f>
        <v>2618643.5370956324</v>
      </c>
      <c r="E24" s="295">
        <f t="shared" si="4"/>
        <v>2618643.5370956324</v>
      </c>
      <c r="F24" s="295">
        <f t="shared" si="4"/>
        <v>2618643.5370956324</v>
      </c>
      <c r="G24" s="295">
        <f t="shared" si="4"/>
        <v>2618643.5370956324</v>
      </c>
      <c r="H24" s="295">
        <f t="shared" si="4"/>
        <v>2618643.5370956324</v>
      </c>
      <c r="I24" s="295">
        <f t="shared" si="4"/>
        <v>2618643.5370956324</v>
      </c>
      <c r="J24" s="295">
        <f t="shared" si="4"/>
        <v>2618643.5370956324</v>
      </c>
      <c r="K24" s="295">
        <f t="shared" si="4"/>
        <v>2618643.5370956324</v>
      </c>
      <c r="L24" s="295">
        <f t="shared" si="4"/>
        <v>2618643.5370956324</v>
      </c>
      <c r="M24" s="295">
        <f t="shared" si="4"/>
        <v>2618643.5370956324</v>
      </c>
      <c r="N24" s="295">
        <f t="shared" si="4"/>
        <v>2618643.5370956324</v>
      </c>
      <c r="O24" s="295">
        <f t="shared" si="4"/>
        <v>2618643.5370956324</v>
      </c>
      <c r="P24" s="295">
        <f t="shared" si="4"/>
        <v>2618643.5370956324</v>
      </c>
      <c r="Q24" s="295">
        <f t="shared" si="4"/>
        <v>2618643.5370956324</v>
      </c>
      <c r="R24" s="295">
        <f t="shared" si="4"/>
        <v>2618643.5370956324</v>
      </c>
      <c r="S24" s="295">
        <f t="shared" si="4"/>
        <v>2618643.5370956324</v>
      </c>
      <c r="T24" s="295">
        <f t="shared" si="4"/>
        <v>2618643.5370956324</v>
      </c>
      <c r="U24" s="295">
        <f t="shared" si="4"/>
        <v>2618643.5370956324</v>
      </c>
      <c r="V24" s="723"/>
    </row>
    <row r="25" spans="1:22" s="313" customFormat="1">
      <c r="A25" s="1188" t="s">
        <v>681</v>
      </c>
      <c r="B25" s="297">
        <f>NewCo_IS!B42</f>
        <v>129177.8861268405</v>
      </c>
      <c r="C25" s="297">
        <f>B25+NewCo_IS!C42</f>
        <v>285918.99723637319</v>
      </c>
      <c r="D25" s="297">
        <f>C25+NewCo_IS!D42</f>
        <v>484639.2429625676</v>
      </c>
      <c r="E25" s="297">
        <f>D25+NewCo_IS!E42</f>
        <v>787004.13456286886</v>
      </c>
      <c r="F25" s="297">
        <f>E25+NewCo_IS!F42</f>
        <v>1173326.60947613</v>
      </c>
      <c r="G25" s="297">
        <f>F25+NewCo_IS!G42</f>
        <v>1645458.4992487293</v>
      </c>
      <c r="H25" s="297">
        <f>G25+NewCo_IS!H42</f>
        <v>2182695.8330236655</v>
      </c>
      <c r="I25" s="297">
        <f>H25+NewCo_IS!I42</f>
        <v>2793811.1961731436</v>
      </c>
      <c r="J25" s="297">
        <f>I25+NewCo_IS!J42</f>
        <v>3483018.4476590808</v>
      </c>
      <c r="K25" s="297">
        <f>J25+NewCo_IS!K42</f>
        <v>4277980.1655172696</v>
      </c>
      <c r="L25" s="297">
        <f>K25+NewCo_IS!L42</f>
        <v>5149761.5678157182</v>
      </c>
      <c r="M25" s="297">
        <f>L25+NewCo_IS!M42</f>
        <v>6039646.7409862559</v>
      </c>
      <c r="N25" s="297">
        <f>M25+NewCo_IS!N42</f>
        <v>7023021.9351922525</v>
      </c>
      <c r="O25" s="297">
        <f>N25+NewCo_IS!O42</f>
        <v>8123445.8845792934</v>
      </c>
      <c r="P25" s="297">
        <f>O25+NewCo_IS!P42</f>
        <v>9323267.1737605333</v>
      </c>
      <c r="Q25" s="297">
        <f>P25+NewCo_IS!Q42</f>
        <v>10660570.946524458</v>
      </c>
      <c r="R25" s="297">
        <f>Q25+NewCo_IS!R42</f>
        <v>12124619.752858697</v>
      </c>
      <c r="S25" s="297">
        <f>R25+NewCo_IS!S42</f>
        <v>13802667.14743896</v>
      </c>
      <c r="T25" s="297">
        <f>S25+NewCo_IS!T42</f>
        <v>15671850.667932633</v>
      </c>
      <c r="U25" s="297">
        <f>T25+NewCo_IS!U42</f>
        <v>17697665.083195116</v>
      </c>
      <c r="V25" s="723"/>
    </row>
    <row r="26" spans="1:22" s="313" customFormat="1">
      <c r="A26" s="1239" t="s">
        <v>682</v>
      </c>
      <c r="B26" s="295">
        <f t="shared" ref="B26:U26" si="5">SUM(B24:B25)</f>
        <v>2747821.4232224729</v>
      </c>
      <c r="C26" s="295">
        <f t="shared" si="5"/>
        <v>2904562.5343320058</v>
      </c>
      <c r="D26" s="295">
        <f t="shared" si="5"/>
        <v>3103282.7800582</v>
      </c>
      <c r="E26" s="295">
        <f t="shared" si="5"/>
        <v>3405647.671658501</v>
      </c>
      <c r="F26" s="295">
        <f t="shared" si="5"/>
        <v>3791970.1465717624</v>
      </c>
      <c r="G26" s="295">
        <f t="shared" si="5"/>
        <v>4264102.0363443615</v>
      </c>
      <c r="H26" s="295">
        <f t="shared" si="5"/>
        <v>4801339.3701192979</v>
      </c>
      <c r="I26" s="295">
        <f t="shared" si="5"/>
        <v>5412454.733268776</v>
      </c>
      <c r="J26" s="295">
        <f t="shared" si="5"/>
        <v>6101661.9847547133</v>
      </c>
      <c r="K26" s="295">
        <f t="shared" si="5"/>
        <v>6896623.702612902</v>
      </c>
      <c r="L26" s="295">
        <f t="shared" si="5"/>
        <v>7768405.1049113506</v>
      </c>
      <c r="M26" s="295">
        <f t="shared" si="5"/>
        <v>8658290.2780818883</v>
      </c>
      <c r="N26" s="295">
        <f t="shared" si="5"/>
        <v>9641665.4722878858</v>
      </c>
      <c r="O26" s="295">
        <f t="shared" si="5"/>
        <v>10742089.421674926</v>
      </c>
      <c r="P26" s="295">
        <f t="shared" si="5"/>
        <v>11941910.710856166</v>
      </c>
      <c r="Q26" s="295">
        <f t="shared" si="5"/>
        <v>13279214.48362009</v>
      </c>
      <c r="R26" s="295">
        <f t="shared" si="5"/>
        <v>14743263.289954329</v>
      </c>
      <c r="S26" s="295">
        <f t="shared" si="5"/>
        <v>16421310.684534593</v>
      </c>
      <c r="T26" s="295">
        <f t="shared" si="5"/>
        <v>18290494.205028266</v>
      </c>
      <c r="U26" s="295">
        <f t="shared" si="5"/>
        <v>20316308.620290749</v>
      </c>
      <c r="V26" s="723"/>
    </row>
    <row r="27" spans="1:22" s="313" customFormat="1"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723"/>
    </row>
    <row r="28" spans="1:22" s="313" customFormat="1">
      <c r="A28" s="1217" t="s">
        <v>683</v>
      </c>
      <c r="B28" s="553">
        <f t="shared" ref="B28:U28" si="6">B21+B26</f>
        <v>5073717.8514857907</v>
      </c>
      <c r="C28" s="553">
        <f t="shared" si="6"/>
        <v>6088763.8735473473</v>
      </c>
      <c r="D28" s="553">
        <f t="shared" si="6"/>
        <v>7975513.7438480202</v>
      </c>
      <c r="E28" s="553">
        <f t="shared" si="6"/>
        <v>9305945.9344070852</v>
      </c>
      <c r="F28" s="553">
        <f t="shared" si="6"/>
        <v>10636876.306348987</v>
      </c>
      <c r="G28" s="553">
        <f t="shared" si="6"/>
        <v>10891819.659837559</v>
      </c>
      <c r="H28" s="553">
        <f t="shared" si="6"/>
        <v>11172398.785123514</v>
      </c>
      <c r="I28" s="553">
        <f t="shared" si="6"/>
        <v>11485733.324751563</v>
      </c>
      <c r="J28" s="553">
        <f t="shared" si="6"/>
        <v>11852778.444828898</v>
      </c>
      <c r="K28" s="553">
        <f t="shared" si="6"/>
        <v>12296889.813549934</v>
      </c>
      <c r="L28" s="553">
        <f t="shared" si="6"/>
        <v>12759507.48788989</v>
      </c>
      <c r="M28" s="553">
        <f t="shared" si="6"/>
        <v>13223833.339574827</v>
      </c>
      <c r="N28" s="553">
        <f t="shared" si="6"/>
        <v>13707718.38125395</v>
      </c>
      <c r="O28" s="553">
        <f t="shared" si="6"/>
        <v>14240097.991942391</v>
      </c>
      <c r="P28" s="553">
        <f t="shared" si="6"/>
        <v>14815048.074004522</v>
      </c>
      <c r="Q28" s="553">
        <f t="shared" si="6"/>
        <v>15472518.229068199</v>
      </c>
      <c r="R28" s="553">
        <f t="shared" si="6"/>
        <v>16302766.947426505</v>
      </c>
      <c r="S28" s="553">
        <f t="shared" si="6"/>
        <v>17510321.69131292</v>
      </c>
      <c r="T28" s="553">
        <f t="shared" si="6"/>
        <v>19013491.692304797</v>
      </c>
      <c r="U28" s="553">
        <f t="shared" si="6"/>
        <v>20798191.121134095</v>
      </c>
      <c r="V28" s="723"/>
    </row>
    <row r="29" spans="1:22" s="313" customFormat="1"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</row>
    <row r="30" spans="1:22" s="313" customFormat="1">
      <c r="A30" s="1240" t="s">
        <v>684</v>
      </c>
      <c r="B30" s="1295">
        <f t="shared" ref="B30:U30" si="7">B15-B28</f>
        <v>0</v>
      </c>
      <c r="C30" s="1295">
        <f t="shared" si="7"/>
        <v>0</v>
      </c>
      <c r="D30" s="1295">
        <f t="shared" si="7"/>
        <v>0</v>
      </c>
      <c r="E30" s="1295">
        <f t="shared" si="7"/>
        <v>0</v>
      </c>
      <c r="F30" s="1295">
        <f t="shared" si="7"/>
        <v>0</v>
      </c>
      <c r="G30" s="1295">
        <f t="shared" si="7"/>
        <v>0</v>
      </c>
      <c r="H30" s="1295">
        <f t="shared" si="7"/>
        <v>0</v>
      </c>
      <c r="I30" s="1295">
        <f t="shared" si="7"/>
        <v>0</v>
      </c>
      <c r="J30" s="1295">
        <f t="shared" si="7"/>
        <v>0</v>
      </c>
      <c r="K30" s="1295">
        <f t="shared" si="7"/>
        <v>0</v>
      </c>
      <c r="L30" s="1295">
        <f t="shared" si="7"/>
        <v>0</v>
      </c>
      <c r="M30" s="1295">
        <f t="shared" si="7"/>
        <v>0</v>
      </c>
      <c r="N30" s="1295">
        <f t="shared" si="7"/>
        <v>0</v>
      </c>
      <c r="O30" s="1295">
        <f t="shared" si="7"/>
        <v>0</v>
      </c>
      <c r="P30" s="1295">
        <f t="shared" si="7"/>
        <v>0</v>
      </c>
      <c r="Q30" s="1295">
        <f t="shared" si="7"/>
        <v>0</v>
      </c>
      <c r="R30" s="1295">
        <f t="shared" si="7"/>
        <v>0</v>
      </c>
      <c r="S30" s="1295">
        <f t="shared" si="7"/>
        <v>0</v>
      </c>
      <c r="T30" s="1295">
        <f t="shared" si="7"/>
        <v>0</v>
      </c>
      <c r="U30" s="1295">
        <f t="shared" si="7"/>
        <v>0</v>
      </c>
      <c r="V30" s="723"/>
    </row>
    <row r="31" spans="1:22"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</row>
    <row r="32" spans="1:22">
      <c r="A32" s="299"/>
    </row>
    <row r="35" spans="1:1" ht="13.5">
      <c r="A35" s="1280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2:AS68"/>
  <sheetViews>
    <sheetView zoomScale="75" zoomScaleNormal="75" workbookViewId="0"/>
  </sheetViews>
  <sheetFormatPr defaultRowHeight="12.75" outlineLevelRow="1"/>
  <cols>
    <col min="1" max="1" width="41.7109375" style="271" customWidth="1"/>
    <col min="2" max="21" width="11.7109375" style="271" customWidth="1"/>
    <col min="22" max="22" width="11.7109375" style="8" customWidth="1"/>
    <col min="23" max="23" width="11.7109375" style="35" customWidth="1"/>
    <col min="24" max="25" width="11.7109375" style="334" customWidth="1"/>
    <col min="26" max="16384" width="9.140625" style="271"/>
  </cols>
  <sheetData>
    <row r="2" spans="1:45" ht="18.75">
      <c r="A2" s="270" t="s">
        <v>330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W6" s="716"/>
      <c r="X6" s="612"/>
      <c r="Y6" s="717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</row>
    <row r="7" spans="1:45" outlineLevel="1">
      <c r="A7" s="277" t="s">
        <v>331</v>
      </c>
      <c r="B7" s="283">
        <f>ENA_IS!B32</f>
        <v>177680.30256335178</v>
      </c>
      <c r="C7" s="283">
        <f>ENA_IS!C32</f>
        <v>177096.43303075299</v>
      </c>
      <c r="D7" s="283">
        <f>ENA_IS!D32</f>
        <v>176585.08990364039</v>
      </c>
      <c r="E7" s="283">
        <f>ENA_IS!E32</f>
        <v>208898.30003993292</v>
      </c>
      <c r="F7" s="283">
        <f>ENA_IS!F32</f>
        <v>219835.48571459821</v>
      </c>
      <c r="G7" s="283">
        <f>ENA_IS!G32</f>
        <v>223020.10910985898</v>
      </c>
      <c r="H7" s="283">
        <f>ENA_IS!H32</f>
        <v>226306.69628506326</v>
      </c>
      <c r="I7" s="283">
        <f>ENA_IS!I32</f>
        <v>229700.32015338406</v>
      </c>
      <c r="J7" s="283">
        <f>ENA_IS!J32</f>
        <v>233268.60972890729</v>
      </c>
      <c r="K7" s="283">
        <f>ENA_IS!K32</f>
        <v>235988.5932867979</v>
      </c>
      <c r="L7" s="283">
        <f>ENA_IS!L32</f>
        <v>240410.20860099664</v>
      </c>
      <c r="M7" s="283">
        <f>ENA_IS!M32</f>
        <v>245095.57628469079</v>
      </c>
      <c r="N7" s="283">
        <f>ENA_IS!N32</f>
        <v>249350.73879004439</v>
      </c>
      <c r="O7" s="283">
        <f>ENA_IS!O32</f>
        <v>253772.3489547327</v>
      </c>
      <c r="P7" s="283">
        <f>ENA_IS!P32</f>
        <v>257772.04886117522</v>
      </c>
      <c r="Q7" s="283">
        <f>ENA_IS!Q32</f>
        <v>261928.1366757263</v>
      </c>
      <c r="R7" s="283">
        <f>ENA_IS!R32</f>
        <v>265529.08366466878</v>
      </c>
      <c r="S7" s="283">
        <f>ENA_IS!S32</f>
        <v>269171.90668593551</v>
      </c>
      <c r="T7" s="283">
        <f>ENA_IS!T32</f>
        <v>272856.91380543611</v>
      </c>
      <c r="U7" s="283">
        <f>ENA_IS!U32</f>
        <v>276593.78266094258</v>
      </c>
      <c r="W7" s="716">
        <f>SUM(B7:U7)</f>
        <v>4700860.684800636</v>
      </c>
      <c r="X7" s="716">
        <f>ENA_IS!$X$32</f>
        <v>4700860.684800637</v>
      </c>
      <c r="Y7" s="718">
        <f>W7-X7</f>
        <v>0</v>
      </c>
    </row>
    <row r="8" spans="1:45" outlineLevel="1">
      <c r="A8" s="277" t="s">
        <v>332</v>
      </c>
      <c r="B8" s="600">
        <f>FPLE_IS!C8</f>
        <v>370873.13121855934</v>
      </c>
      <c r="C8" s="600">
        <f>FPLE_IS!D8</f>
        <v>333116.63689174165</v>
      </c>
      <c r="D8" s="600">
        <f>FPLE_IS!E8</f>
        <v>341215.56702612643</v>
      </c>
      <c r="E8" s="600">
        <f>FPLE_IS!F8</f>
        <v>365553.57617057109</v>
      </c>
      <c r="F8" s="600">
        <f>FPLE_IS!G8</f>
        <v>367143.13220870157</v>
      </c>
      <c r="G8" s="600">
        <f>FPLE_IS!H8</f>
        <v>385859.70640254871</v>
      </c>
      <c r="H8" s="600">
        <f>FPLE_IS!I8</f>
        <v>373673.76139679283</v>
      </c>
      <c r="I8" s="600">
        <f>FPLE_IS!J8</f>
        <v>358774.72067538439</v>
      </c>
      <c r="J8" s="600">
        <f>FPLE_IS!K8</f>
        <v>362094.20073048549</v>
      </c>
      <c r="K8" s="600">
        <f>FPLE_IS!L8</f>
        <v>399575.78911545442</v>
      </c>
      <c r="L8" s="600">
        <f>FPLE_IS!M8</f>
        <v>383122.79129371274</v>
      </c>
      <c r="M8" s="600">
        <f>FPLE_IS!N8</f>
        <v>346174.69962349755</v>
      </c>
      <c r="N8" s="600">
        <f>FPLE_IS!O8</f>
        <v>373463.8910567367</v>
      </c>
      <c r="O8" s="600">
        <f>FPLE_IS!P8</f>
        <v>409477.33307518705</v>
      </c>
      <c r="P8" s="600">
        <f>FPLE_IS!Q8</f>
        <v>399795.47358727804</v>
      </c>
      <c r="Q8" s="600">
        <f>FPLE_IS!R8</f>
        <v>419435.93160907994</v>
      </c>
      <c r="R8" s="600">
        <f>FPLE_IS!S8</f>
        <v>362242.12176054216</v>
      </c>
      <c r="S8" s="600">
        <f>FPLE_IS!T8</f>
        <v>353966.10588849382</v>
      </c>
      <c r="T8" s="600">
        <f>FPLE_IS!U8</f>
        <v>385448.88802843948</v>
      </c>
      <c r="U8" s="600">
        <f>FPLE_IS!V8</f>
        <v>366682.21336082846</v>
      </c>
      <c r="W8" s="716">
        <f>SUM(B8:U8)</f>
        <v>7457689.6711201621</v>
      </c>
      <c r="X8" s="716">
        <f>FPLE_IS!X8</f>
        <v>7457689.6711201621</v>
      </c>
      <c r="Y8" s="718">
        <f>W8-X8</f>
        <v>0</v>
      </c>
    </row>
    <row r="9" spans="1:45">
      <c r="A9" s="1" t="s">
        <v>265</v>
      </c>
      <c r="B9" s="276">
        <f>B7+B8</f>
        <v>548553.43378191115</v>
      </c>
      <c r="C9" s="276">
        <f t="shared" ref="C9:U9" si="1">C7+C8</f>
        <v>510213.06992249464</v>
      </c>
      <c r="D9" s="276">
        <f t="shared" si="1"/>
        <v>517800.65692976682</v>
      </c>
      <c r="E9" s="276">
        <f t="shared" si="1"/>
        <v>574451.87621050398</v>
      </c>
      <c r="F9" s="276">
        <f t="shared" si="1"/>
        <v>586978.61792329978</v>
      </c>
      <c r="G9" s="276">
        <f t="shared" si="1"/>
        <v>608879.81551240769</v>
      </c>
      <c r="H9" s="276">
        <f t="shared" si="1"/>
        <v>599980.45768185612</v>
      </c>
      <c r="I9" s="276">
        <f t="shared" si="1"/>
        <v>588475.0408287684</v>
      </c>
      <c r="J9" s="276">
        <f t="shared" si="1"/>
        <v>595362.81045939284</v>
      </c>
      <c r="K9" s="276">
        <f t="shared" si="1"/>
        <v>635564.38240225229</v>
      </c>
      <c r="L9" s="276">
        <f t="shared" si="1"/>
        <v>623532.99989470933</v>
      </c>
      <c r="M9" s="276">
        <f t="shared" si="1"/>
        <v>591270.27590818831</v>
      </c>
      <c r="N9" s="276">
        <f t="shared" si="1"/>
        <v>622814.62984678103</v>
      </c>
      <c r="O9" s="276">
        <f t="shared" si="1"/>
        <v>663249.6820299197</v>
      </c>
      <c r="P9" s="276">
        <f t="shared" si="1"/>
        <v>657567.52244845324</v>
      </c>
      <c r="Q9" s="276">
        <f t="shared" si="1"/>
        <v>681364.06828480621</v>
      </c>
      <c r="R9" s="276">
        <f t="shared" si="1"/>
        <v>627771.205425211</v>
      </c>
      <c r="S9" s="276">
        <f t="shared" si="1"/>
        <v>623138.01257442939</v>
      </c>
      <c r="T9" s="276">
        <f t="shared" si="1"/>
        <v>658305.80183387559</v>
      </c>
      <c r="U9" s="276">
        <f t="shared" si="1"/>
        <v>643275.99602177111</v>
      </c>
      <c r="W9" s="716">
        <f>SUM(B9:U9)</f>
        <v>12158550.355920797</v>
      </c>
      <c r="X9" s="716">
        <f>X7+X8</f>
        <v>12158550.355920799</v>
      </c>
      <c r="Y9" s="718">
        <f>W9-X9</f>
        <v>0</v>
      </c>
    </row>
    <row r="10" spans="1:45">
      <c r="A10" s="1"/>
      <c r="B10" s="276"/>
      <c r="C10" s="276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W10" s="716"/>
      <c r="X10" s="716"/>
      <c r="Y10" s="718"/>
    </row>
    <row r="11" spans="1:45">
      <c r="A11" s="4" t="s">
        <v>264</v>
      </c>
      <c r="B11" s="283">
        <f>FPLE_IS!C10</f>
        <v>25861.840802709379</v>
      </c>
      <c r="C11" s="283">
        <f>FPLE_IS!D10</f>
        <v>26242.181333865115</v>
      </c>
      <c r="D11" s="283">
        <f>FPLE_IS!E10</f>
        <v>25700.701317067131</v>
      </c>
      <c r="E11" s="283">
        <f>FPLE_IS!F10</f>
        <v>25203.179520255075</v>
      </c>
      <c r="F11" s="283">
        <f>FPLE_IS!G10</f>
        <v>25241.108558434502</v>
      </c>
      <c r="G11" s="283">
        <f>FPLE_IS!H10</f>
        <v>25357.684644168701</v>
      </c>
      <c r="H11" s="283">
        <f>FPLE_IS!I10</f>
        <v>24537.558009302829</v>
      </c>
      <c r="I11" s="283">
        <f>FPLE_IS!J10</f>
        <v>23715.818635935801</v>
      </c>
      <c r="J11" s="283">
        <f>FPLE_IS!K10</f>
        <v>22396.536552243011</v>
      </c>
      <c r="K11" s="283">
        <f>FPLE_IS!L10</f>
        <v>21455.242143802039</v>
      </c>
      <c r="L11" s="283">
        <f>FPLE_IS!M10</f>
        <v>20207.867562188327</v>
      </c>
      <c r="M11" s="283">
        <f>FPLE_IS!N10</f>
        <v>18865.326678486977</v>
      </c>
      <c r="N11" s="283">
        <f>FPLE_IS!O10</f>
        <v>17523.392600423122</v>
      </c>
      <c r="O11" s="283">
        <f>FPLE_IS!P10</f>
        <v>17699.438125699147</v>
      </c>
      <c r="P11" s="283">
        <f>FPLE_IS!Q10</f>
        <v>15925.631503276634</v>
      </c>
      <c r="Q11" s="283">
        <f>FPLE_IS!R10</f>
        <v>15752.951751480348</v>
      </c>
      <c r="R11" s="283">
        <f>FPLE_IS!S10</f>
        <v>16217.008757022881</v>
      </c>
      <c r="S11" s="283">
        <f>FPLE_IS!T10</f>
        <v>15669.799678290547</v>
      </c>
      <c r="T11" s="283">
        <f>FPLE_IS!U10</f>
        <v>15229.828951736323</v>
      </c>
      <c r="U11" s="283">
        <f>FPLE_IS!V10</f>
        <v>15135.193160610284</v>
      </c>
      <c r="W11" s="716">
        <f>SUM(B11:U11)</f>
        <v>413938.29028699821</v>
      </c>
      <c r="X11" s="716">
        <f>FPLE_IS!X10</f>
        <v>413938.29028699821</v>
      </c>
      <c r="Y11" s="718">
        <f>W11-X11</f>
        <v>0</v>
      </c>
    </row>
    <row r="12" spans="1:45">
      <c r="A12" s="4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W12" s="716"/>
      <c r="X12" s="716"/>
      <c r="Y12" s="718"/>
    </row>
    <row r="13" spans="1:45">
      <c r="A13" s="4" t="s">
        <v>573</v>
      </c>
      <c r="B13" s="283">
        <f>'NewCo_Summary Output'!D78</f>
        <v>38000</v>
      </c>
      <c r="C13" s="283">
        <f>B13*(1+ENA_Assumptions!$C$26)</f>
        <v>39140</v>
      </c>
      <c r="D13" s="283">
        <f>C13*(1+ENA_Assumptions!$C$26)</f>
        <v>40314.200000000004</v>
      </c>
      <c r="E13" s="283">
        <f>D13*(1+ENA_Assumptions!$C$26)</f>
        <v>41523.626000000004</v>
      </c>
      <c r="F13" s="283">
        <f>E13*(1+ENA_Assumptions!$C$26)</f>
        <v>42769.334780000005</v>
      </c>
      <c r="G13" s="283">
        <f>F13*(1+ENA_Assumptions!$C$26)</f>
        <v>44052.414823400009</v>
      </c>
      <c r="H13" s="283">
        <f>G13*(1+ENA_Assumptions!$C$26)</f>
        <v>45373.987268102013</v>
      </c>
      <c r="I13" s="283">
        <f>H13*(1+ENA_Assumptions!$C$26)</f>
        <v>46735.206886145075</v>
      </c>
      <c r="J13" s="283">
        <f>I13*(1+ENA_Assumptions!$C$26)</f>
        <v>48137.26309272943</v>
      </c>
      <c r="K13" s="283">
        <f>J13*(1+ENA_Assumptions!$C$26)</f>
        <v>49581.380985511314</v>
      </c>
      <c r="L13" s="283">
        <f>K13*(1+ENA_Assumptions!$C$26)</f>
        <v>51068.822415076655</v>
      </c>
      <c r="M13" s="283">
        <f>L13*(1+ENA_Assumptions!$C$26)</f>
        <v>52600.887087528958</v>
      </c>
      <c r="N13" s="283">
        <f>M13*(1+ENA_Assumptions!$C$26)</f>
        <v>54178.91370015483</v>
      </c>
      <c r="O13" s="283">
        <f>N13*(1+ENA_Assumptions!$C$26)</f>
        <v>55804.281111159478</v>
      </c>
      <c r="P13" s="283">
        <f>O13*(1+ENA_Assumptions!$C$26)</f>
        <v>57478.409544494265</v>
      </c>
      <c r="Q13" s="283">
        <f>P13*(1+ENA_Assumptions!$C$26)</f>
        <v>59202.761830829091</v>
      </c>
      <c r="R13" s="283">
        <f>Q13*(1+ENA_Assumptions!$C$26)</f>
        <v>60978.844685753967</v>
      </c>
      <c r="S13" s="283">
        <f>R13*(1+ENA_Assumptions!$C$26)</f>
        <v>62808.210026326589</v>
      </c>
      <c r="T13" s="283">
        <f>S13*(1+ENA_Assumptions!$C$26)</f>
        <v>64692.456327116386</v>
      </c>
      <c r="U13" s="283">
        <f>T13*(1+ENA_Assumptions!$C$26)</f>
        <v>66633.230016929883</v>
      </c>
      <c r="W13" s="716">
        <f>SUM(B13:U13)</f>
        <v>1021074.2305812578</v>
      </c>
      <c r="X13" s="716">
        <f>FPLE_Tax!X59+Brownsville!W113+Caledonia!W110+'New Albany'!W110+Gleason!W113+Wheatland!W116+Wilton!W107</f>
        <v>1021074.230581258</v>
      </c>
      <c r="Y13" s="718">
        <f>W13-X13</f>
        <v>0</v>
      </c>
    </row>
    <row r="14" spans="1:45">
      <c r="A14" s="4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716"/>
      <c r="X14" s="716"/>
      <c r="Y14" s="718"/>
    </row>
    <row r="15" spans="1:45">
      <c r="A15" s="1" t="s">
        <v>574</v>
      </c>
      <c r="B15" s="276">
        <f>B9+B11-B13</f>
        <v>536415.27458462049</v>
      </c>
      <c r="C15" s="276">
        <f t="shared" ref="C15:U15" si="2">C9+C11-C13</f>
        <v>497315.25125635974</v>
      </c>
      <c r="D15" s="276">
        <f t="shared" si="2"/>
        <v>503187.15824683389</v>
      </c>
      <c r="E15" s="276">
        <f t="shared" si="2"/>
        <v>558131.429730759</v>
      </c>
      <c r="F15" s="276">
        <f t="shared" si="2"/>
        <v>569450.39170173428</v>
      </c>
      <c r="G15" s="276">
        <f t="shared" si="2"/>
        <v>590185.08533317642</v>
      </c>
      <c r="H15" s="276">
        <f t="shared" si="2"/>
        <v>579144.02842305694</v>
      </c>
      <c r="I15" s="276">
        <f t="shared" si="2"/>
        <v>565455.65257855912</v>
      </c>
      <c r="J15" s="276">
        <f t="shared" si="2"/>
        <v>569622.08391890652</v>
      </c>
      <c r="K15" s="276">
        <f t="shared" si="2"/>
        <v>607438.24356054293</v>
      </c>
      <c r="L15" s="276">
        <f t="shared" si="2"/>
        <v>592672.04504182097</v>
      </c>
      <c r="M15" s="276">
        <f t="shared" si="2"/>
        <v>557534.71549914638</v>
      </c>
      <c r="N15" s="276">
        <f t="shared" si="2"/>
        <v>586159.10874704923</v>
      </c>
      <c r="O15" s="276">
        <f t="shared" si="2"/>
        <v>625144.8390444594</v>
      </c>
      <c r="P15" s="276">
        <f t="shared" si="2"/>
        <v>616014.74440723564</v>
      </c>
      <c r="Q15" s="276">
        <f t="shared" si="2"/>
        <v>637914.25820545747</v>
      </c>
      <c r="R15" s="276">
        <f t="shared" si="2"/>
        <v>583009.36949647998</v>
      </c>
      <c r="S15" s="276">
        <f t="shared" si="2"/>
        <v>575999.6022263933</v>
      </c>
      <c r="T15" s="276">
        <f t="shared" si="2"/>
        <v>608843.17445849557</v>
      </c>
      <c r="U15" s="276">
        <f t="shared" si="2"/>
        <v>591777.95916545147</v>
      </c>
      <c r="W15" s="716"/>
      <c r="X15" s="716"/>
      <c r="Y15" s="718"/>
    </row>
    <row r="16" spans="1:45">
      <c r="A16" s="1"/>
      <c r="B16" s="282"/>
      <c r="C16" s="282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282"/>
      <c r="W16" s="719"/>
      <c r="X16" s="716"/>
      <c r="Y16" s="720"/>
    </row>
    <row r="17" spans="1:25" outlineLevel="1">
      <c r="A17" s="277" t="s">
        <v>331</v>
      </c>
      <c r="B17" s="283">
        <f>ENA_IS!B34</f>
        <v>44225.064199866087</v>
      </c>
      <c r="C17" s="283">
        <f>ENA_IS!C34</f>
        <v>44225.064199866087</v>
      </c>
      <c r="D17" s="283">
        <f>ENA_IS!D34</f>
        <v>44225.064199866087</v>
      </c>
      <c r="E17" s="283">
        <f>ENA_IS!E34</f>
        <v>44225.064199866087</v>
      </c>
      <c r="F17" s="283">
        <f>ENA_IS!F34</f>
        <v>44225.064199866087</v>
      </c>
      <c r="G17" s="283">
        <f>ENA_IS!G34</f>
        <v>44225.064199866087</v>
      </c>
      <c r="H17" s="283">
        <f>ENA_IS!H34</f>
        <v>44225.064199866087</v>
      </c>
      <c r="I17" s="283">
        <f>ENA_IS!I34</f>
        <v>44225.064199866087</v>
      </c>
      <c r="J17" s="283">
        <f>ENA_IS!J34</f>
        <v>44225.064199866087</v>
      </c>
      <c r="K17" s="283">
        <f>ENA_IS!K34</f>
        <v>44225.064199866087</v>
      </c>
      <c r="L17" s="283">
        <f>ENA_IS!L34</f>
        <v>44225.064199866087</v>
      </c>
      <c r="M17" s="283">
        <f>ENA_IS!M34</f>
        <v>44225.064199866087</v>
      </c>
      <c r="N17" s="283">
        <f>ENA_IS!N34</f>
        <v>44225.064199866087</v>
      </c>
      <c r="O17" s="283">
        <f>ENA_IS!O34</f>
        <v>44225.064199866087</v>
      </c>
      <c r="P17" s="283">
        <f>ENA_IS!P34</f>
        <v>44225.064199866087</v>
      </c>
      <c r="Q17" s="283">
        <f>ENA_IS!Q34</f>
        <v>44225.064199866087</v>
      </c>
      <c r="R17" s="283">
        <f>ENA_IS!R34</f>
        <v>44225.064199866087</v>
      </c>
      <c r="S17" s="283">
        <f>ENA_IS!S34</f>
        <v>44225.064199866087</v>
      </c>
      <c r="T17" s="283">
        <f>ENA_IS!T34</f>
        <v>44225.064199866087</v>
      </c>
      <c r="U17" s="283">
        <f>ENA_IS!U34</f>
        <v>44225.064199866087</v>
      </c>
      <c r="W17" s="716">
        <f>SUM(B17:U17)</f>
        <v>884501.28399732127</v>
      </c>
      <c r="X17" s="716">
        <f>ENA_IS!$W$34</f>
        <v>884501.28399732127</v>
      </c>
      <c r="Y17" s="718">
        <f>W17-X17</f>
        <v>0</v>
      </c>
    </row>
    <row r="18" spans="1:25" outlineLevel="1">
      <c r="A18" s="277" t="s">
        <v>332</v>
      </c>
      <c r="B18" s="600">
        <f>FPLE_IS!C24</f>
        <v>99737.01</v>
      </c>
      <c r="C18" s="600">
        <f>FPLE_IS!D24</f>
        <v>99737.01</v>
      </c>
      <c r="D18" s="600">
        <f>FPLE_IS!E24</f>
        <v>99737.01</v>
      </c>
      <c r="E18" s="600">
        <f>FPLE_IS!F24</f>
        <v>99737.01</v>
      </c>
      <c r="F18" s="600">
        <f>FPLE_IS!G24</f>
        <v>99737.01</v>
      </c>
      <c r="G18" s="600">
        <f>FPLE_IS!H24</f>
        <v>99737.01</v>
      </c>
      <c r="H18" s="600">
        <f>FPLE_IS!I24</f>
        <v>99737.01</v>
      </c>
      <c r="I18" s="600">
        <f>FPLE_IS!J24</f>
        <v>99737.01</v>
      </c>
      <c r="J18" s="600">
        <f>FPLE_IS!K24</f>
        <v>99737.01</v>
      </c>
      <c r="K18" s="600">
        <f>FPLE_IS!L24</f>
        <v>99737.01</v>
      </c>
      <c r="L18" s="600">
        <f>FPLE_IS!M24</f>
        <v>99737.01</v>
      </c>
      <c r="M18" s="600">
        <f>FPLE_IS!N24</f>
        <v>99737.01</v>
      </c>
      <c r="N18" s="600">
        <f>FPLE_IS!O24</f>
        <v>99737.01</v>
      </c>
      <c r="O18" s="600">
        <f>FPLE_IS!P24</f>
        <v>98954.51</v>
      </c>
      <c r="P18" s="600">
        <f>FPLE_IS!Q24</f>
        <v>98561.01</v>
      </c>
      <c r="Q18" s="600">
        <f>FPLE_IS!R24</f>
        <v>98449.51</v>
      </c>
      <c r="R18" s="600">
        <f>FPLE_IS!S24</f>
        <v>97785.01</v>
      </c>
      <c r="S18" s="600">
        <f>FPLE_IS!T24</f>
        <v>88243.01</v>
      </c>
      <c r="T18" s="600">
        <f>FPLE_IS!U24</f>
        <v>85112.51</v>
      </c>
      <c r="U18" s="600">
        <f>FPLE_IS!V24</f>
        <v>78743.009999999995</v>
      </c>
      <c r="W18" s="716">
        <f>SUM(B18:U18)</f>
        <v>1942429.7</v>
      </c>
      <c r="X18" s="716">
        <f>FPLE_IS!X24</f>
        <v>1942429.7</v>
      </c>
      <c r="Y18" s="718">
        <f>W18-X18</f>
        <v>0</v>
      </c>
    </row>
    <row r="19" spans="1:25">
      <c r="A19" s="4" t="s">
        <v>24</v>
      </c>
      <c r="B19" s="283">
        <f>B17+B18</f>
        <v>143962.0741998661</v>
      </c>
      <c r="C19" s="283">
        <f t="shared" ref="C19:U19" si="3">C17+C18</f>
        <v>143962.0741998661</v>
      </c>
      <c r="D19" s="283">
        <f t="shared" si="3"/>
        <v>143962.0741998661</v>
      </c>
      <c r="E19" s="283">
        <f t="shared" si="3"/>
        <v>143962.0741998661</v>
      </c>
      <c r="F19" s="283">
        <f t="shared" si="3"/>
        <v>143962.0741998661</v>
      </c>
      <c r="G19" s="283">
        <f t="shared" si="3"/>
        <v>143962.0741998661</v>
      </c>
      <c r="H19" s="283">
        <f t="shared" si="3"/>
        <v>143962.0741998661</v>
      </c>
      <c r="I19" s="283">
        <f t="shared" si="3"/>
        <v>143962.0741998661</v>
      </c>
      <c r="J19" s="283">
        <f t="shared" si="3"/>
        <v>143962.0741998661</v>
      </c>
      <c r="K19" s="283">
        <f t="shared" si="3"/>
        <v>143962.0741998661</v>
      </c>
      <c r="L19" s="283">
        <f t="shared" si="3"/>
        <v>143962.0741998661</v>
      </c>
      <c r="M19" s="283">
        <f t="shared" si="3"/>
        <v>143962.0741998661</v>
      </c>
      <c r="N19" s="283">
        <f t="shared" si="3"/>
        <v>143962.0741998661</v>
      </c>
      <c r="O19" s="283">
        <f t="shared" si="3"/>
        <v>143179.5741998661</v>
      </c>
      <c r="P19" s="283">
        <f t="shared" si="3"/>
        <v>142786.0741998661</v>
      </c>
      <c r="Q19" s="283">
        <f t="shared" si="3"/>
        <v>142674.5741998661</v>
      </c>
      <c r="R19" s="283">
        <f t="shared" si="3"/>
        <v>142010.0741998661</v>
      </c>
      <c r="S19" s="283">
        <f t="shared" si="3"/>
        <v>132468.0741998661</v>
      </c>
      <c r="T19" s="283">
        <f t="shared" si="3"/>
        <v>129337.57419986608</v>
      </c>
      <c r="U19" s="283">
        <f t="shared" si="3"/>
        <v>122968.07419986608</v>
      </c>
      <c r="W19" s="716">
        <f>SUM(B19:U19)</f>
        <v>2826930.9839973212</v>
      </c>
      <c r="X19" s="716">
        <f>X17+X18</f>
        <v>2826930.9839973212</v>
      </c>
      <c r="Y19" s="718">
        <f>W19-X19</f>
        <v>0</v>
      </c>
    </row>
    <row r="20" spans="1:25">
      <c r="A20" s="4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W20" s="719"/>
      <c r="X20" s="716"/>
      <c r="Y20" s="720"/>
    </row>
    <row r="21" spans="1:25">
      <c r="A21" s="1" t="s">
        <v>25</v>
      </c>
      <c r="B21" s="276">
        <f>B15-B19</f>
        <v>392453.2003847544</v>
      </c>
      <c r="C21" s="276">
        <f t="shared" ref="C21:U21" si="4">C15-C19</f>
        <v>353353.17705649365</v>
      </c>
      <c r="D21" s="276">
        <f t="shared" si="4"/>
        <v>359225.08404696779</v>
      </c>
      <c r="E21" s="276">
        <f t="shared" si="4"/>
        <v>414169.35553089291</v>
      </c>
      <c r="F21" s="276">
        <f t="shared" si="4"/>
        <v>425488.31750186818</v>
      </c>
      <c r="G21" s="276">
        <f t="shared" si="4"/>
        <v>446223.01113331033</v>
      </c>
      <c r="H21" s="276">
        <f t="shared" si="4"/>
        <v>435181.95422319084</v>
      </c>
      <c r="I21" s="276">
        <f t="shared" si="4"/>
        <v>421493.57837869303</v>
      </c>
      <c r="J21" s="276">
        <f t="shared" si="4"/>
        <v>425660.00971904042</v>
      </c>
      <c r="K21" s="276">
        <f t="shared" si="4"/>
        <v>463476.16936067684</v>
      </c>
      <c r="L21" s="276">
        <f t="shared" si="4"/>
        <v>448709.97084195487</v>
      </c>
      <c r="M21" s="276">
        <f t="shared" si="4"/>
        <v>413572.64129928028</v>
      </c>
      <c r="N21" s="276">
        <f t="shared" si="4"/>
        <v>442197.03454718314</v>
      </c>
      <c r="O21" s="276">
        <f t="shared" si="4"/>
        <v>481965.2648445933</v>
      </c>
      <c r="P21" s="276">
        <f t="shared" si="4"/>
        <v>473228.67020736955</v>
      </c>
      <c r="Q21" s="276">
        <f t="shared" si="4"/>
        <v>495239.68400559138</v>
      </c>
      <c r="R21" s="276">
        <f t="shared" si="4"/>
        <v>440999.29529661388</v>
      </c>
      <c r="S21" s="276">
        <f t="shared" si="4"/>
        <v>443531.5280265272</v>
      </c>
      <c r="T21" s="276">
        <f t="shared" si="4"/>
        <v>479505.60025862948</v>
      </c>
      <c r="U21" s="276">
        <f t="shared" si="4"/>
        <v>468809.88496558537</v>
      </c>
      <c r="W21" s="716">
        <f>SUM(B21:U21)</f>
        <v>8724483.4316292163</v>
      </c>
      <c r="X21" s="716">
        <f>FPLE_IS!X26+ENA_IS!$W$36-X13</f>
        <v>8724483.4316292182</v>
      </c>
      <c r="Y21" s="718">
        <f>W21-X21</f>
        <v>0</v>
      </c>
    </row>
    <row r="22" spans="1:25">
      <c r="A22" s="1"/>
      <c r="B22" s="276"/>
      <c r="C22" s="276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W22" s="719"/>
      <c r="X22" s="716"/>
      <c r="Y22" s="720"/>
    </row>
    <row r="23" spans="1:25" outlineLevel="1">
      <c r="A23" s="277" t="s">
        <v>331</v>
      </c>
      <c r="B23" s="283">
        <f>ENA_IS!B38</f>
        <v>80195.063655030797</v>
      </c>
      <c r="C23" s="283">
        <f>ENA_IS!C38</f>
        <v>78991.765229294993</v>
      </c>
      <c r="D23" s="283">
        <f>ENA_IS!D38</f>
        <v>77294.472108145099</v>
      </c>
      <c r="E23" s="283">
        <f>ENA_IS!E38</f>
        <v>75962.102669404514</v>
      </c>
      <c r="F23" s="283">
        <f>ENA_IS!F38</f>
        <v>73604.857221081445</v>
      </c>
      <c r="G23" s="283">
        <f>ENA_IS!G38</f>
        <v>70810.911430527034</v>
      </c>
      <c r="H23" s="283">
        <f>ENA_IS!H38</f>
        <v>67670.892539356602</v>
      </c>
      <c r="I23" s="283">
        <f>ENA_IS!I38</f>
        <v>64385.85626283368</v>
      </c>
      <c r="J23" s="283">
        <f>ENA_IS!J38</f>
        <v>60305.328678986989</v>
      </c>
      <c r="K23" s="283">
        <f>ENA_IS!K38</f>
        <v>55783.800136892532</v>
      </c>
      <c r="L23" s="283">
        <f>ENA_IS!L38</f>
        <v>51026.119096509239</v>
      </c>
      <c r="M23" s="283">
        <f>ENA_IS!M38</f>
        <v>45838.663928815877</v>
      </c>
      <c r="N23" s="283">
        <f>ENA_IS!N38</f>
        <v>40393.401779603009</v>
      </c>
      <c r="O23" s="283">
        <f>ENA_IS!O38</f>
        <v>35077.043121149894</v>
      </c>
      <c r="P23" s="283">
        <f>ENA_IS!P38</f>
        <v>29693.683778234088</v>
      </c>
      <c r="Q23" s="283">
        <f>ENA_IS!Q38</f>
        <v>24114.420260095823</v>
      </c>
      <c r="R23" s="283">
        <f>ENA_IS!R38</f>
        <v>18196.511978097195</v>
      </c>
      <c r="S23" s="283">
        <f>ENA_IS!S38</f>
        <v>12616.520191649557</v>
      </c>
      <c r="T23" s="283">
        <f>ENA_IS!T38</f>
        <v>7831.7973990417522</v>
      </c>
      <c r="U23" s="283">
        <f>ENA_IS!U38</f>
        <v>3058.7268993839834</v>
      </c>
      <c r="W23" s="716">
        <f>SUM(B23:U23)</f>
        <v>972851.93836413382</v>
      </c>
      <c r="X23" s="716">
        <f>ENA_IS!$W$38</f>
        <v>972851.93836413382</v>
      </c>
      <c r="Y23" s="718">
        <f>W23-X23</f>
        <v>0</v>
      </c>
    </row>
    <row r="24" spans="1:25" outlineLevel="1">
      <c r="A24" s="277" t="s">
        <v>332</v>
      </c>
      <c r="B24" s="600">
        <f>FPLE_IS!C39+FPLE_IS!C41</f>
        <v>184549.0546541065</v>
      </c>
      <c r="C24" s="600">
        <f>FPLE_IS!D39+FPLE_IS!D41</f>
        <v>179130.9404425502</v>
      </c>
      <c r="D24" s="600">
        <f>FPLE_IS!E39+FPLE_IS!E41</f>
        <v>175474.49504439029</v>
      </c>
      <c r="E24" s="600">
        <f>FPLE_IS!F39+FPLE_IS!F41</f>
        <v>171138.44247438517</v>
      </c>
      <c r="F24" s="600">
        <f>FPLE_IS!G39+FPLE_IS!G41</f>
        <v>166047.31273794948</v>
      </c>
      <c r="G24" s="600">
        <f>FPLE_IS!H39+FPLE_IS!H41</f>
        <v>160029.51498107231</v>
      </c>
      <c r="H24" s="600">
        <f>FPLE_IS!I39+FPLE_IS!I41</f>
        <v>152436.27410435051</v>
      </c>
      <c r="I24" s="600">
        <f>FPLE_IS!J39+FPLE_IS!J41</f>
        <v>144998.58520638745</v>
      </c>
      <c r="J24" s="600">
        <f>FPLE_IS!K39+FPLE_IS!K41</f>
        <v>137484.01268459045</v>
      </c>
      <c r="K24" s="600">
        <f>FPLE_IS!L39+FPLE_IS!L41</f>
        <v>129017.53010049881</v>
      </c>
      <c r="L24" s="600">
        <f>FPLE_IS!M39+FPLE_IS!M41</f>
        <v>118724.76659258787</v>
      </c>
      <c r="M24" s="600">
        <f>FPLE_IS!N39+FPLE_IS!N41</f>
        <v>110618.72649701399</v>
      </c>
      <c r="N24" s="600">
        <f>FPLE_IS!O39+FPLE_IS!O41</f>
        <v>104221.95303321518</v>
      </c>
      <c r="O24" s="600">
        <f>FPLE_IS!P39+FPLE_IS!P41</f>
        <v>96219.551254918188</v>
      </c>
      <c r="P24" s="600">
        <f>FPLE_IS!Q39+FPLE_IS!Q41</f>
        <v>85585.371363600905</v>
      </c>
      <c r="Q24" s="600">
        <f>FPLE_IS!R39+FPLE_IS!R41</f>
        <v>74810.879999590077</v>
      </c>
      <c r="R24" s="600">
        <f>FPLE_IS!S39+FPLE_IS!S41</f>
        <v>62799.624295338435</v>
      </c>
      <c r="S24" s="600">
        <f>FPLE_IS!T39+FPLE_IS!T41</f>
        <v>52390.498469753118</v>
      </c>
      <c r="T24" s="600">
        <f>FPLE_IS!U39+FPLE_IS!U41</f>
        <v>41289.183638880742</v>
      </c>
      <c r="U24" s="600">
        <f>FPLE_IS!V39+FPLE_IS!V41</f>
        <v>28301.507931847995</v>
      </c>
      <c r="W24" s="716">
        <f>SUM(B24:U24)</f>
        <v>2375268.2255070279</v>
      </c>
      <c r="X24" s="716">
        <f>FPLE_IS!Y39+FPLE_IS!Y41</f>
        <v>2375268.2255070275</v>
      </c>
      <c r="Y24" s="718">
        <f>W24-X24</f>
        <v>0</v>
      </c>
    </row>
    <row r="25" spans="1:25">
      <c r="A25" s="4" t="s">
        <v>26</v>
      </c>
      <c r="B25" s="283">
        <f>B23+B24</f>
        <v>264744.1183091373</v>
      </c>
      <c r="C25" s="283">
        <f t="shared" ref="C25:U25" si="5">C23+C24</f>
        <v>258122.70567184518</v>
      </c>
      <c r="D25" s="283">
        <f t="shared" si="5"/>
        <v>252768.96715253539</v>
      </c>
      <c r="E25" s="283">
        <f t="shared" si="5"/>
        <v>247100.54514378967</v>
      </c>
      <c r="F25" s="283">
        <f t="shared" si="5"/>
        <v>239652.16995903093</v>
      </c>
      <c r="G25" s="283">
        <f t="shared" si="5"/>
        <v>230840.42641159933</v>
      </c>
      <c r="H25" s="283">
        <f t="shared" si="5"/>
        <v>220107.16664370711</v>
      </c>
      <c r="I25" s="283">
        <f t="shared" si="5"/>
        <v>209384.44146922114</v>
      </c>
      <c r="J25" s="283">
        <f t="shared" si="5"/>
        <v>197789.34136357743</v>
      </c>
      <c r="K25" s="283">
        <f t="shared" si="5"/>
        <v>184801.33023739135</v>
      </c>
      <c r="L25" s="283">
        <f t="shared" si="5"/>
        <v>169750.88568909711</v>
      </c>
      <c r="M25" s="283">
        <f t="shared" si="5"/>
        <v>156457.39042582986</v>
      </c>
      <c r="N25" s="283">
        <f t="shared" si="5"/>
        <v>144615.35481281817</v>
      </c>
      <c r="O25" s="283">
        <f t="shared" si="5"/>
        <v>131296.5943760681</v>
      </c>
      <c r="P25" s="283">
        <f t="shared" si="5"/>
        <v>115279.05514183499</v>
      </c>
      <c r="Q25" s="283">
        <f t="shared" si="5"/>
        <v>98925.300259685901</v>
      </c>
      <c r="R25" s="283">
        <f t="shared" si="5"/>
        <v>80996.136273435637</v>
      </c>
      <c r="S25" s="283">
        <f t="shared" si="5"/>
        <v>65007.018661402675</v>
      </c>
      <c r="T25" s="283">
        <f t="shared" si="5"/>
        <v>49120.981037922495</v>
      </c>
      <c r="U25" s="283">
        <f t="shared" si="5"/>
        <v>31360.234831231977</v>
      </c>
      <c r="W25" s="716">
        <f>SUM(B25:U25)</f>
        <v>3348120.1638711621</v>
      </c>
      <c r="X25" s="716">
        <f>X23+X24</f>
        <v>3348120.1638711612</v>
      </c>
      <c r="Y25" s="718">
        <f>W25-X25</f>
        <v>0</v>
      </c>
    </row>
    <row r="26" spans="1:25">
      <c r="A26" s="4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W26" s="716"/>
      <c r="X26" s="716"/>
      <c r="Y26" s="718"/>
    </row>
    <row r="27" spans="1:25">
      <c r="A27" s="4" t="s">
        <v>14</v>
      </c>
      <c r="B27" s="283">
        <f>'NewCo_Summary Output'!$P$34*NewCo_CF!C67</f>
        <v>17586.924019722501</v>
      </c>
      <c r="C27" s="283">
        <f>'NewCo_Summary Output'!$P$34*NewCo_CF!D67</f>
        <v>33647.088469493654</v>
      </c>
      <c r="D27" s="283">
        <f>'NewCo_Summary Output'!$P$34*NewCo_CF!E67</f>
        <v>51544.163044860659</v>
      </c>
      <c r="E27" s="283">
        <f>'NewCo_Summary Output'!$P$34*NewCo_CF!F67</f>
        <v>82627.632973940243</v>
      </c>
      <c r="F27" s="283">
        <f>'NewCo_Summary Output'!$P$34*NewCo_CF!G67</f>
        <v>117307.43805041726</v>
      </c>
      <c r="G27" s="283">
        <f>'NewCo_Summary Output'!$P$34*NewCo_CF!H67</f>
        <v>156465.69901904918</v>
      </c>
      <c r="H27" s="283">
        <f>'NewCo_Summary Output'!$P$34*NewCo_CF!I67</f>
        <v>198570.21508557265</v>
      </c>
      <c r="I27" s="283">
        <f>'NewCo_Summary Output'!$P$34*NewCo_CF!J67</f>
        <v>232350.42126226603</v>
      </c>
      <c r="J27" s="283">
        <f>'NewCo_Summary Output'!$P$34*NewCo_CF!K67</f>
        <v>266805.91795871704</v>
      </c>
      <c r="K27" s="283">
        <f>'NewCo_Summary Output'!$P$34*NewCo_CF!L67</f>
        <v>303155.19364875456</v>
      </c>
      <c r="L27" s="283">
        <f>'NewCo_Summary Output'!$P$34*NewCo_CF!M67</f>
        <v>342680.36639595398</v>
      </c>
      <c r="M27" s="283">
        <f>'NewCo_Summary Output'!$P$34*NewCo_CF!N67</f>
        <v>386515.15963972476</v>
      </c>
      <c r="N27" s="283">
        <f>'NewCo_Summary Output'!$P$34*NewCo_CF!O67</f>
        <v>433054.94744526781</v>
      </c>
      <c r="O27" s="283">
        <f>'NewCo_Summary Output'!$P$34*NewCo_CF!P67</f>
        <v>483213.38015746645</v>
      </c>
      <c r="P27" s="283">
        <f>'NewCo_Summary Output'!$P$34*NewCo_CF!Q67</f>
        <v>536073.71926290623</v>
      </c>
      <c r="Q27" s="283">
        <f>'NewCo_Summary Output'!$P$34*NewCo_CF!R67</f>
        <v>590025.94335088599</v>
      </c>
      <c r="R27" s="283">
        <f>'NewCo_Summary Output'!$P$34*NewCo_CF!S67</f>
        <v>644641.1699237033</v>
      </c>
      <c r="S27" s="283">
        <f>'NewCo_Summary Output'!$P$34*NewCo_CF!T67</f>
        <v>702751.72802451265</v>
      </c>
      <c r="T27" s="283">
        <f>'NewCo_Summary Output'!$P$34*NewCo_CF!U67</f>
        <v>765531.16006249376</v>
      </c>
      <c r="U27" s="283">
        <f>'NewCo_Summary Output'!$P$34*NewCo_CF!V67</f>
        <v>832494.29328477173</v>
      </c>
      <c r="W27" s="716"/>
      <c r="X27" s="716"/>
      <c r="Y27" s="718"/>
    </row>
    <row r="28" spans="1:25">
      <c r="A28" s="4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W28" s="716"/>
      <c r="X28" s="716"/>
      <c r="Y28" s="718"/>
    </row>
    <row r="29" spans="1:25">
      <c r="A29" s="1" t="s">
        <v>27</v>
      </c>
      <c r="B29" s="276">
        <f>B21-B25+B27</f>
        <v>145296.0060953396</v>
      </c>
      <c r="C29" s="276">
        <f t="shared" ref="C29:U29" si="6">C21-C25+C27</f>
        <v>128877.55985414212</v>
      </c>
      <c r="D29" s="276">
        <f t="shared" si="6"/>
        <v>158000.27993929305</v>
      </c>
      <c r="E29" s="276">
        <f t="shared" si="6"/>
        <v>249696.44336104346</v>
      </c>
      <c r="F29" s="276">
        <f t="shared" si="6"/>
        <v>303143.58559325454</v>
      </c>
      <c r="G29" s="276">
        <f t="shared" si="6"/>
        <v>371848.28374076018</v>
      </c>
      <c r="H29" s="276">
        <f t="shared" si="6"/>
        <v>413645.00266505638</v>
      </c>
      <c r="I29" s="276">
        <f t="shared" si="6"/>
        <v>444459.55817173794</v>
      </c>
      <c r="J29" s="276">
        <f t="shared" si="6"/>
        <v>494676.58631418005</v>
      </c>
      <c r="K29" s="276">
        <f t="shared" si="6"/>
        <v>581830.03277203999</v>
      </c>
      <c r="L29" s="276">
        <f t="shared" si="6"/>
        <v>621639.45154881175</v>
      </c>
      <c r="M29" s="276">
        <f t="shared" si="6"/>
        <v>643630.41051317519</v>
      </c>
      <c r="N29" s="276">
        <f t="shared" si="6"/>
        <v>730636.62717963278</v>
      </c>
      <c r="O29" s="276">
        <f t="shared" si="6"/>
        <v>833882.05062599166</v>
      </c>
      <c r="P29" s="276">
        <f t="shared" si="6"/>
        <v>894023.33432844072</v>
      </c>
      <c r="Q29" s="276">
        <f t="shared" si="6"/>
        <v>986340.32709679147</v>
      </c>
      <c r="R29" s="276">
        <f t="shared" si="6"/>
        <v>1004644.3289468816</v>
      </c>
      <c r="S29" s="276">
        <f t="shared" si="6"/>
        <v>1081276.2373896372</v>
      </c>
      <c r="T29" s="276">
        <f t="shared" si="6"/>
        <v>1195915.7792832009</v>
      </c>
      <c r="U29" s="276">
        <f t="shared" si="6"/>
        <v>1269943.9434191252</v>
      </c>
      <c r="W29" s="716">
        <f>SUM(B29:U29)</f>
        <v>12553405.828838537</v>
      </c>
      <c r="X29" s="716">
        <f>FPLE_IS!X43+ENA_IS!$W$40-X13</f>
        <v>5376363.2677580547</v>
      </c>
      <c r="Y29" s="718">
        <f>W29-X29</f>
        <v>7177042.5610804819</v>
      </c>
    </row>
    <row r="30" spans="1:25">
      <c r="A30" s="1"/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W30" s="716"/>
      <c r="X30" s="716"/>
      <c r="Y30" s="718"/>
    </row>
    <row r="31" spans="1:25" outlineLevel="1">
      <c r="A31" s="277" t="s">
        <v>331</v>
      </c>
      <c r="B31" s="283">
        <f>Brownsville!B137+Caledonia!B134+'New Albany'!B134+Gleason!B137+Wheatland!B142+Wilton!B131</f>
        <v>-2440.155322631148</v>
      </c>
      <c r="C31" s="283">
        <f>Brownsville!C137+Caledonia!C134+'New Albany'!C134+Gleason!C137+Wheatland!C142+Wilton!C131</f>
        <v>-2460.0400314663207</v>
      </c>
      <c r="D31" s="283">
        <f>Brownsville!D137+Caledonia!D134+'New Albany'!D134+Gleason!D137+Wheatland!D142+Wilton!D131</f>
        <v>-2510.9260014215838</v>
      </c>
      <c r="E31" s="283">
        <f>Brownsville!E137+Caledonia!E134+'New Albany'!E134+Gleason!E137+Wheatland!E142+Wilton!E131</f>
        <v>-4412.8885900182413</v>
      </c>
      <c r="F31" s="283">
        <f>Brownsville!F137+Caledonia!F134+'New Albany'!F134+Gleason!F137+Wheatland!F142+Wilton!F131</f>
        <v>-5150.7672780612002</v>
      </c>
      <c r="G31" s="283">
        <f>Brownsville!G137+Caledonia!G134+'New Albany'!G134+Gleason!G137+Wheatland!G142+Wilton!G131</f>
        <v>-5475.8683912718416</v>
      </c>
      <c r="H31" s="283">
        <f>Brownsville!H137+Caledonia!H134+'New Albany'!H134+Gleason!H137+Wheatland!H142+Wilton!H131</f>
        <v>-5827.1289089619859</v>
      </c>
      <c r="I31" s="283">
        <f>Brownsville!I137+Caledonia!I134+'New Albany'!I134+Gleason!I137+Wheatland!I142+Wilton!I131</f>
        <v>-6191.5554746173211</v>
      </c>
      <c r="J31" s="283">
        <f>Brownsville!J137+Caledonia!J134+'New Albany'!J134+Gleason!J137+Wheatland!J142+Wilton!J131</f>
        <v>-6609.5889481513432</v>
      </c>
      <c r="K31" s="283">
        <f>Brownsville!K137+Caledonia!K134+'New Albany'!K134+Gleason!K137+Wheatland!K142+Wilton!K131</f>
        <v>-7009.8670931650213</v>
      </c>
      <c r="L31" s="283">
        <f>Brownsville!L137+Caledonia!L134+'New Albany'!L134+Gleason!L137+Wheatland!L142+Wilton!L131</f>
        <v>-7515.8708359718657</v>
      </c>
      <c r="M31" s="283">
        <f>Brownsville!M137+Caledonia!M134+'New Albany'!M134+Gleason!M137+Wheatland!M142+Wilton!M131</f>
        <v>-8058.8580029149107</v>
      </c>
      <c r="N31" s="283">
        <f>Brownsville!N137+Caledonia!N134+'New Albany'!N134+Gleason!N137+Wheatland!N142+Wilton!N131</f>
        <v>-8591.5202815866105</v>
      </c>
      <c r="O31" s="283">
        <f>Brownsville!O137+Caledonia!O134+'New Albany'!O134+Gleason!O137+Wheatland!O142+Wilton!O131</f>
        <v>-9128.5872446108406</v>
      </c>
      <c r="P31" s="283">
        <f>Brownsville!P137+Caledonia!P134+'New Albany'!P134+Gleason!P137+Wheatland!P142+Wilton!P131</f>
        <v>-9643.3747388655156</v>
      </c>
      <c r="Q31" s="283">
        <f>Brownsville!Q137+Caledonia!Q134+'New Albany'!Q134+Gleason!Q137+Wheatland!Q142+Wilton!Q131</f>
        <v>-10176.946558493031</v>
      </c>
      <c r="R31" s="283">
        <f>Brownsville!R137+Caledonia!R134+'New Albany'!R134+Gleason!R137+Wheatland!R142+Wilton!R131</f>
        <v>-10695.837667126605</v>
      </c>
      <c r="S31" s="283">
        <f>Brownsville!S137+Caledonia!S134+'New Albany'!S134+Gleason!S137+Wheatland!S142+Wilton!S131</f>
        <v>-11196.973655085332</v>
      </c>
      <c r="T31" s="283">
        <f>Brownsville!T137+Caledonia!T134+'New Albany'!T134+Gleason!T137+Wheatland!T142+Wilton!T131</f>
        <v>-11654.141460672845</v>
      </c>
      <c r="U31" s="283">
        <f>Brownsville!U137+Caledonia!U134+'New Albany'!U134+Gleason!U137+Wheatland!U142+Wilton!U131</f>
        <v>-12112.798715615794</v>
      </c>
      <c r="W31" s="716">
        <f>SUM(B31:U31)</f>
        <v>-146863.69520070934</v>
      </c>
      <c r="X31" s="716">
        <f>Brownsville!W137+Caledonia!W134+'New Albany'!W134+Gleason!W137+Wheatland!W142+Wilton!W131</f>
        <v>-146863.69520070936</v>
      </c>
      <c r="Y31" s="718">
        <f>W31-X31</f>
        <v>0</v>
      </c>
    </row>
    <row r="32" spans="1:25" outlineLevel="1">
      <c r="A32" s="279" t="s">
        <v>332</v>
      </c>
      <c r="B32" s="322">
        <f>FPLE_IS!C63</f>
        <v>-4566.0451824352031</v>
      </c>
      <c r="C32" s="322">
        <f>FPLE_IS!D63</f>
        <v>-2800.5607868633037</v>
      </c>
      <c r="D32" s="322">
        <f>FPLE_IS!E63</f>
        <v>-3358.3790441290894</v>
      </c>
      <c r="E32" s="322">
        <f>FPLE_IS!F63</f>
        <v>-4828.1902549200031</v>
      </c>
      <c r="F32" s="322">
        <f>FPLE_IS!G63</f>
        <v>-5141.1531165196566</v>
      </c>
      <c r="G32" s="322">
        <f>FPLE_IS!H63</f>
        <v>-6429.0081213158646</v>
      </c>
      <c r="H32" s="322">
        <f>FPLE_IS!I63</f>
        <v>-6085.7668478700698</v>
      </c>
      <c r="I32" s="322">
        <f>FPLE_IS!J63</f>
        <v>-5586.4196549134504</v>
      </c>
      <c r="J32" s="322">
        <f>FPLE_IS!K63</f>
        <v>-6043.8188229485577</v>
      </c>
      <c r="K32" s="322">
        <f>FPLE_IS!L63</f>
        <v>-8410.6779711656927</v>
      </c>
      <c r="L32" s="322">
        <f>FPLE_IS!M63</f>
        <v>-7953.526576366432</v>
      </c>
      <c r="M32" s="322">
        <f>FPLE_IS!N63</f>
        <v>-6268.1738160905443</v>
      </c>
      <c r="N32" s="322">
        <f>FPLE_IS!O63</f>
        <v>-7947.9460680638358</v>
      </c>
      <c r="O32" s="322">
        <f>FPLE_IS!P63</f>
        <v>-10305.959664899103</v>
      </c>
      <c r="P32" s="322">
        <f>FPLE_IS!Q63</f>
        <v>-10217.319434678744</v>
      </c>
      <c r="Q32" s="322">
        <f>FPLE_IS!R63</f>
        <v>-11784.190521222603</v>
      </c>
      <c r="R32" s="322">
        <f>FPLE_IS!S63</f>
        <v>-9342.4626708822925</v>
      </c>
      <c r="S32" s="322">
        <f>FPLE_IS!T63</f>
        <v>-9869.9801042161798</v>
      </c>
      <c r="T32" s="322">
        <f>FPLE_IS!U63</f>
        <v>-12234.017048261669</v>
      </c>
      <c r="U32" s="322">
        <f>FPLE_IS!V63</f>
        <v>-12184.675112297191</v>
      </c>
      <c r="W32" s="716">
        <f>SUM(B32:U32)</f>
        <v>-151358.27082005946</v>
      </c>
      <c r="X32" s="716">
        <f>SUM(FPLE_IS!C63:V63)</f>
        <v>-151358.27082005946</v>
      </c>
      <c r="Y32" s="718">
        <f>W32-X32</f>
        <v>0</v>
      </c>
    </row>
    <row r="33" spans="1:25" outlineLevel="1">
      <c r="A33" s="279" t="s">
        <v>295</v>
      </c>
      <c r="B33" s="600">
        <f>-B27*FPLE_Debt!$E$87</f>
        <v>-946.98821644659677</v>
      </c>
      <c r="C33" s="600">
        <f>-C27*FPLE_Debt!$E$87</f>
        <v>-1811.7663022035056</v>
      </c>
      <c r="D33" s="600">
        <f>-D27*FPLE_Debt!$E$87</f>
        <v>-2775.4549331848061</v>
      </c>
      <c r="E33" s="600">
        <f>-E27*FPLE_Debt!$E$87</f>
        <v>-4449.1802370583237</v>
      </c>
      <c r="F33" s="600">
        <f>-F27*FPLE_Debt!$E$87</f>
        <v>-6316.5543565609332</v>
      </c>
      <c r="G33" s="600">
        <f>-G27*FPLE_Debt!$E$87</f>
        <v>-8425.0761010257302</v>
      </c>
      <c r="H33" s="600">
        <f>-H27*FPLE_Debt!$E$87</f>
        <v>-10692.242350761609</v>
      </c>
      <c r="I33" s="600">
        <f>-I27*FPLE_Debt!$E$87</f>
        <v>-12511.17652950664</v>
      </c>
      <c r="J33" s="600">
        <f>-J27*FPLE_Debt!$E$87</f>
        <v>-14366.472505469386</v>
      </c>
      <c r="K33" s="600">
        <f>-K27*FPLE_Debt!$E$87</f>
        <v>-16323.741196471408</v>
      </c>
      <c r="L33" s="600">
        <f>-L27*FPLE_Debt!$E$87</f>
        <v>-18452.019729012918</v>
      </c>
      <c r="M33" s="600">
        <f>-M27*FPLE_Debt!$E$87</f>
        <v>-20812.354749831346</v>
      </c>
      <c r="N33" s="600">
        <f>-N27*FPLE_Debt!$E$87</f>
        <v>-23318.343323975972</v>
      </c>
      <c r="O33" s="600">
        <f>-O27*FPLE_Debt!$E$87</f>
        <v>-26019.182008478976</v>
      </c>
      <c r="P33" s="600">
        <f>-P27*FPLE_Debt!$E$87</f>
        <v>-28865.507960310351</v>
      </c>
      <c r="Q33" s="600">
        <f>-Q27*FPLE_Debt!$E$87</f>
        <v>-31770.62771889388</v>
      </c>
      <c r="R33" s="600">
        <f>-R27*FPLE_Debt!$E$87</f>
        <v>-34711.447611276351</v>
      </c>
      <c r="S33" s="600">
        <f>-S27*FPLE_Debt!$E$87</f>
        <v>-37840.477662858393</v>
      </c>
      <c r="T33" s="600">
        <f>-T27*FPLE_Debt!$E$87</f>
        <v>-41220.908618749687</v>
      </c>
      <c r="U33" s="600">
        <f>-U27*FPLE_Debt!$E$87</f>
        <v>-44826.615792256962</v>
      </c>
      <c r="W33" s="716"/>
      <c r="X33" s="716"/>
      <c r="Y33" s="718"/>
    </row>
    <row r="34" spans="1:25">
      <c r="A34" s="4" t="s">
        <v>28</v>
      </c>
      <c r="B34" s="283">
        <f>SUM(B31:B33)</f>
        <v>-7953.1887215129482</v>
      </c>
      <c r="C34" s="283">
        <f t="shared" ref="C34:U34" si="7">SUM(C31:C33)</f>
        <v>-7072.3671205331302</v>
      </c>
      <c r="D34" s="283">
        <f t="shared" si="7"/>
        <v>-8644.7599787354793</v>
      </c>
      <c r="E34" s="283">
        <f t="shared" si="7"/>
        <v>-13690.25908199657</v>
      </c>
      <c r="F34" s="283">
        <f t="shared" si="7"/>
        <v>-16608.474751141788</v>
      </c>
      <c r="G34" s="283">
        <f t="shared" si="7"/>
        <v>-20329.952613613437</v>
      </c>
      <c r="H34" s="283">
        <f t="shared" si="7"/>
        <v>-22605.138107593666</v>
      </c>
      <c r="I34" s="283">
        <f t="shared" si="7"/>
        <v>-24289.151659037412</v>
      </c>
      <c r="J34" s="283">
        <f t="shared" si="7"/>
        <v>-27019.880276569289</v>
      </c>
      <c r="K34" s="283">
        <f t="shared" si="7"/>
        <v>-31744.286260802124</v>
      </c>
      <c r="L34" s="283">
        <f t="shared" si="7"/>
        <v>-33921.417141351216</v>
      </c>
      <c r="M34" s="283">
        <f t="shared" si="7"/>
        <v>-35139.386568836802</v>
      </c>
      <c r="N34" s="283">
        <f t="shared" si="7"/>
        <v>-39857.80967362642</v>
      </c>
      <c r="O34" s="283">
        <f t="shared" si="7"/>
        <v>-45453.728917988919</v>
      </c>
      <c r="P34" s="283">
        <f t="shared" si="7"/>
        <v>-48726.202133854611</v>
      </c>
      <c r="Q34" s="283">
        <f t="shared" si="7"/>
        <v>-53731.764798609511</v>
      </c>
      <c r="R34" s="283">
        <f t="shared" si="7"/>
        <v>-54749.747949285251</v>
      </c>
      <c r="S34" s="283">
        <f t="shared" si="7"/>
        <v>-58907.431422159905</v>
      </c>
      <c r="T34" s="283">
        <f t="shared" si="7"/>
        <v>-65109.067127684204</v>
      </c>
      <c r="U34" s="283">
        <f t="shared" si="7"/>
        <v>-69124.089620169951</v>
      </c>
      <c r="W34" s="716">
        <f>SUM(B34:U34)</f>
        <v>-684678.10392510274</v>
      </c>
      <c r="X34" s="716">
        <f>X31+X32</f>
        <v>-298221.96602076886</v>
      </c>
      <c r="Y34" s="718">
        <f>W34-X34</f>
        <v>-386456.13790433388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716"/>
      <c r="X35" s="716"/>
      <c r="Y35" s="720"/>
    </row>
    <row r="36" spans="1:25">
      <c r="A36" s="4" t="s">
        <v>29</v>
      </c>
      <c r="B36" s="283">
        <f t="shared" ref="B36:U36" si="8">-(B29+B34)*0.35</f>
        <v>-48069.986080839328</v>
      </c>
      <c r="C36" s="283">
        <f t="shared" si="8"/>
        <v>-42631.817456763143</v>
      </c>
      <c r="D36" s="283">
        <f t="shared" si="8"/>
        <v>-52274.431986195152</v>
      </c>
      <c r="E36" s="283">
        <f t="shared" si="8"/>
        <v>-82602.16449766641</v>
      </c>
      <c r="F36" s="283">
        <f t="shared" si="8"/>
        <v>-100287.28879473945</v>
      </c>
      <c r="G36" s="283">
        <f t="shared" si="8"/>
        <v>-123031.41589450135</v>
      </c>
      <c r="H36" s="283">
        <f t="shared" si="8"/>
        <v>-136863.95259511194</v>
      </c>
      <c r="I36" s="283">
        <f t="shared" si="8"/>
        <v>-147059.64227944519</v>
      </c>
      <c r="J36" s="283">
        <f t="shared" si="8"/>
        <v>-163679.84711316376</v>
      </c>
      <c r="K36" s="283">
        <f t="shared" si="8"/>
        <v>-192530.01127893326</v>
      </c>
      <c r="L36" s="283">
        <f t="shared" si="8"/>
        <v>-205701.31204261116</v>
      </c>
      <c r="M36" s="283">
        <f t="shared" si="8"/>
        <v>-212971.85838051845</v>
      </c>
      <c r="N36" s="283">
        <f t="shared" si="8"/>
        <v>-241772.5861271022</v>
      </c>
      <c r="O36" s="283">
        <f t="shared" si="8"/>
        <v>-275949.91259780095</v>
      </c>
      <c r="P36" s="283">
        <f t="shared" si="8"/>
        <v>-295853.99626810511</v>
      </c>
      <c r="Q36" s="283">
        <f t="shared" si="8"/>
        <v>-326412.99680436368</v>
      </c>
      <c r="R36" s="283">
        <f t="shared" si="8"/>
        <v>-332463.10334915871</v>
      </c>
      <c r="S36" s="283">
        <f t="shared" si="8"/>
        <v>-357829.08208861703</v>
      </c>
      <c r="T36" s="283">
        <f t="shared" si="8"/>
        <v>-395782.34925443085</v>
      </c>
      <c r="U36" s="283">
        <f t="shared" si="8"/>
        <v>-420286.94882963429</v>
      </c>
      <c r="W36" s="716"/>
      <c r="X36" s="716"/>
      <c r="Y36" s="718"/>
    </row>
    <row r="37" spans="1:25">
      <c r="A37" s="4"/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W37" s="716"/>
      <c r="X37" s="716"/>
      <c r="Y37" s="720"/>
    </row>
    <row r="38" spans="1:25">
      <c r="A38" s="597" t="s">
        <v>565</v>
      </c>
      <c r="B38" s="283">
        <f>FPLE_IS!C47</f>
        <v>13224.902302374343</v>
      </c>
      <c r="C38" s="283">
        <f>FPLE_IS!D47</f>
        <v>13339.164142235393</v>
      </c>
      <c r="D38" s="283">
        <f>FPLE_IS!E47</f>
        <v>13910.471815836238</v>
      </c>
      <c r="E38" s="283">
        <f>FPLE_IS!F47</f>
        <v>13494.724302596409</v>
      </c>
      <c r="F38" s="283">
        <f>FPLE_IS!G47</f>
        <v>13837.248637143923</v>
      </c>
      <c r="G38" s="283">
        <f>FPLE_IS!H47</f>
        <v>14109.708661958726</v>
      </c>
      <c r="H38" s="283">
        <f>FPLE_IS!I47</f>
        <v>14132.920661958728</v>
      </c>
      <c r="I38" s="283">
        <f>FPLE_IS!J47</f>
        <v>14310.800824959224</v>
      </c>
      <c r="J38" s="283">
        <f>FPLE_IS!K47</f>
        <v>3625.2888719746588</v>
      </c>
      <c r="K38" s="283">
        <f>FPLE_IS!L47</f>
        <v>0</v>
      </c>
      <c r="L38" s="283">
        <f>FPLE_IS!M47</f>
        <v>0</v>
      </c>
      <c r="M38" s="283">
        <f>FPLE_IS!N47</f>
        <v>0</v>
      </c>
      <c r="N38" s="283">
        <f>FPLE_IS!O47</f>
        <v>0</v>
      </c>
      <c r="O38" s="283">
        <f>FPLE_IS!P47</f>
        <v>0</v>
      </c>
      <c r="P38" s="283">
        <f>FPLE_IS!Q47</f>
        <v>0</v>
      </c>
      <c r="Q38" s="283">
        <f>FPLE_IS!R47</f>
        <v>0</v>
      </c>
      <c r="R38" s="283">
        <f>FPLE_IS!S47</f>
        <v>0</v>
      </c>
      <c r="S38" s="283">
        <f>FPLE_IS!T47</f>
        <v>0</v>
      </c>
      <c r="T38" s="283">
        <f>FPLE_IS!U47</f>
        <v>0</v>
      </c>
      <c r="U38" s="283">
        <f>FPLE_IS!V47</f>
        <v>0</v>
      </c>
      <c r="W38" s="716"/>
      <c r="X38" s="716"/>
      <c r="Y38" s="718"/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716"/>
      <c r="X39" s="716"/>
      <c r="Y39" s="720"/>
    </row>
    <row r="40" spans="1:25" ht="16.5" thickBot="1">
      <c r="A40" s="18" t="s">
        <v>30</v>
      </c>
      <c r="B40" s="326">
        <f>B29+B34+B36+B38</f>
        <v>102497.73359536167</v>
      </c>
      <c r="C40" s="326">
        <f t="shared" ref="C40:U40" si="9">C29+C34+C36+C38</f>
        <v>92512.539419081237</v>
      </c>
      <c r="D40" s="326">
        <f t="shared" si="9"/>
        <v>110991.55979019866</v>
      </c>
      <c r="E40" s="326">
        <f t="shared" si="9"/>
        <v>166898.7440839769</v>
      </c>
      <c r="F40" s="326">
        <f t="shared" si="9"/>
        <v>200085.07068451721</v>
      </c>
      <c r="G40" s="326">
        <f t="shared" si="9"/>
        <v>242596.6238946041</v>
      </c>
      <c r="H40" s="326">
        <f t="shared" si="9"/>
        <v>268308.83262430952</v>
      </c>
      <c r="I40" s="326">
        <f t="shared" si="9"/>
        <v>287421.56505821459</v>
      </c>
      <c r="J40" s="326">
        <f t="shared" si="9"/>
        <v>307602.14779642166</v>
      </c>
      <c r="K40" s="326">
        <f t="shared" si="9"/>
        <v>357555.73523230467</v>
      </c>
      <c r="L40" s="326">
        <f t="shared" si="9"/>
        <v>382016.72236484929</v>
      </c>
      <c r="M40" s="326">
        <f t="shared" si="9"/>
        <v>395519.16556381999</v>
      </c>
      <c r="N40" s="326">
        <f t="shared" si="9"/>
        <v>449006.23137890414</v>
      </c>
      <c r="O40" s="326">
        <f t="shared" si="9"/>
        <v>512478.40911020176</v>
      </c>
      <c r="P40" s="326">
        <f t="shared" si="9"/>
        <v>549443.13592648099</v>
      </c>
      <c r="Q40" s="326">
        <f t="shared" si="9"/>
        <v>606195.56549381826</v>
      </c>
      <c r="R40" s="326">
        <f t="shared" si="9"/>
        <v>617431.47764843772</v>
      </c>
      <c r="S40" s="326">
        <f t="shared" si="9"/>
        <v>664539.72387886024</v>
      </c>
      <c r="T40" s="326">
        <f t="shared" si="9"/>
        <v>735024.36290108587</v>
      </c>
      <c r="U40" s="326">
        <f t="shared" si="9"/>
        <v>780532.90496932087</v>
      </c>
      <c r="W40" s="716"/>
      <c r="X40" s="716"/>
      <c r="Y40" s="718"/>
    </row>
    <row r="41" spans="1:25" ht="13.5" thickTop="1">
      <c r="W41" s="716"/>
      <c r="X41" s="717"/>
      <c r="Y41" s="720"/>
    </row>
    <row r="42" spans="1:25" ht="16.5" thickBot="1">
      <c r="A42" s="18" t="s">
        <v>779</v>
      </c>
      <c r="B42" s="326">
        <f>B40+Devel_Summary!D40+NewCo_CF!C63+NewCo_CF!C56*'NewCo_Summary Output'!$P$34*(1-0.385)-NewCo_CF!C66</f>
        <v>129177.8861268405</v>
      </c>
      <c r="C42" s="326">
        <f>C40+Devel_Summary!E40+NewCo_CF!D63+NewCo_CF!D56*'NewCo_Summary Output'!$P$34*(1-0.385)-NewCo_CF!D66</f>
        <v>156741.11110953268</v>
      </c>
      <c r="D42" s="326">
        <f>D40+Devel_Summary!F40+NewCo_CF!E63+NewCo_CF!E56*'NewCo_Summary Output'!$P$34*(1-0.385)-NewCo_CF!E66</f>
        <v>198720.24572619441</v>
      </c>
      <c r="E42" s="326">
        <f>E40+Devel_Summary!G40+NewCo_CF!F63+NewCo_CF!F56*'NewCo_Summary Output'!$P$34*(1-0.385)-NewCo_CF!F66</f>
        <v>302364.89160030126</v>
      </c>
      <c r="F42" s="326">
        <f>F40+Devel_Summary!H40+NewCo_CF!G63+NewCo_CF!G56*'NewCo_Summary Output'!$P$34*(1-0.385)-NewCo_CF!G66</f>
        <v>386322.47491326119</v>
      </c>
      <c r="G42" s="326">
        <f>G40+Devel_Summary!I40+NewCo_CF!H63+NewCo_CF!H56*'NewCo_Summary Output'!$P$34*(1-0.385)-NewCo_CF!H66</f>
        <v>472131.88977259939</v>
      </c>
      <c r="H42" s="326">
        <f>H40+Devel_Summary!J40+NewCo_CF!I63+NewCo_CF!I56*'NewCo_Summary Output'!$P$34*(1-0.385)-NewCo_CF!I66</f>
        <v>537237.33377493627</v>
      </c>
      <c r="I42" s="326">
        <f>I40+Devel_Summary!K40+NewCo_CF!J63+NewCo_CF!J56*'NewCo_Summary Output'!$P$34*(1-0.385)-NewCo_CF!J66</f>
        <v>611115.36314947833</v>
      </c>
      <c r="J42" s="326">
        <f>J40+Devel_Summary!L40+NewCo_CF!K63+NewCo_CF!K56*'NewCo_Summary Output'!$P$34*(1-0.385)-NewCo_CF!K66</f>
        <v>689207.25148593739</v>
      </c>
      <c r="K42" s="326">
        <f>K40+Devel_Summary!M40+NewCo_CF!L63+NewCo_CF!L56*'NewCo_Summary Output'!$P$34*(1-0.385)-NewCo_CF!L66</f>
        <v>794961.71785818855</v>
      </c>
      <c r="L42" s="326">
        <f>L40+Devel_Summary!N40+NewCo_CF!M63+NewCo_CF!M56*'NewCo_Summary Output'!$P$34*(1-0.385)-NewCo_CF!M66</f>
        <v>871781.40229844896</v>
      </c>
      <c r="M42" s="326">
        <f>M40+Devel_Summary!O40+NewCo_CF!N63+NewCo_CF!N56*'NewCo_Summary Output'!$P$34*(1-0.385)-NewCo_CF!N66</f>
        <v>889885.17317053792</v>
      </c>
      <c r="N42" s="326">
        <f>N40+Devel_Summary!P40+NewCo_CF!O63+NewCo_CF!O56*'NewCo_Summary Output'!$P$34*(1-0.385)-NewCo_CF!O66</f>
        <v>983375.19420599635</v>
      </c>
      <c r="O42" s="326">
        <f>O40+Devel_Summary!Q40+NewCo_CF!P63+NewCo_CF!P56*'NewCo_Summary Output'!$P$34*(1-0.385)-NewCo_CF!P66</f>
        <v>1100423.9493870407</v>
      </c>
      <c r="P42" s="326">
        <f>P40+Devel_Summary!R40+NewCo_CF!Q63+NewCo_CF!Q56*'NewCo_Summary Output'!$P$34*(1-0.385)-NewCo_CF!Q66</f>
        <v>1199821.2891812404</v>
      </c>
      <c r="Q42" s="326">
        <f>Q40+Devel_Summary!S40+NewCo_CF!R63+NewCo_CF!R56*'NewCo_Summary Output'!$P$34*(1-0.385)-NewCo_CF!R66</f>
        <v>1337303.7727639242</v>
      </c>
      <c r="R42" s="326">
        <f>R40+Devel_Summary!T40+NewCo_CF!S63+NewCo_CF!S56*'NewCo_Summary Output'!$P$34*(1-0.385)-NewCo_CF!S66</f>
        <v>1464048.8063342387</v>
      </c>
      <c r="S42" s="326">
        <f>S40+Devel_Summary!U40+NewCo_CF!T63+NewCo_CF!T56*'NewCo_Summary Output'!$P$34*(1-0.385)-NewCo_CF!T66</f>
        <v>1678047.3945802636</v>
      </c>
      <c r="T42" s="326">
        <f>T40+Devel_Summary!V40+NewCo_CF!U63+NewCo_CF!U56*'NewCo_Summary Output'!$P$34*(1-0.385)-NewCo_CF!U66</f>
        <v>1869183.5204936732</v>
      </c>
      <c r="U42" s="326">
        <f>U40+Devel_Summary!W40+NewCo_CF!V63+NewCo_CF!V56*'NewCo_Summary Output'!$P$34*(1-0.385)-NewCo_CF!V66</f>
        <v>2025814.4152624814</v>
      </c>
      <c r="W42" s="716"/>
      <c r="X42" s="716"/>
      <c r="Y42" s="718"/>
    </row>
    <row r="43" spans="1:25" s="313" customFormat="1" ht="13.5" thickTop="1"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8"/>
      <c r="W43" s="716"/>
      <c r="X43" s="722"/>
      <c r="Y43" s="720"/>
    </row>
    <row r="44" spans="1:25" s="313" customFormat="1">
      <c r="A44" s="314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8"/>
      <c r="W44" s="716"/>
      <c r="X44" s="612"/>
      <c r="Y44" s="718"/>
    </row>
    <row r="45" spans="1:25" s="313" customFormat="1" ht="15.75">
      <c r="A45" s="18" t="s">
        <v>773</v>
      </c>
      <c r="B45" s="276">
        <f>B15+Devel_Summary!D76</f>
        <v>556040.30263340101</v>
      </c>
      <c r="C45" s="276">
        <f>C15+Devel_Summary!E76</f>
        <v>716303.2020530845</v>
      </c>
      <c r="D45" s="276">
        <f>D15+Devel_Summary!F76</f>
        <v>1008520.8426631668</v>
      </c>
      <c r="E45" s="276">
        <f>E15+Devel_Summary!G76</f>
        <v>1336268.7199100824</v>
      </c>
      <c r="F45" s="276">
        <f>F15+Devel_Summary!H76</f>
        <v>1595556.8817384196</v>
      </c>
      <c r="G45" s="276">
        <f>G15+Devel_Summary!I76</f>
        <v>1699908.0185648121</v>
      </c>
      <c r="H45" s="276">
        <f>H15+Devel_Summary!J76</f>
        <v>1708769.3259704695</v>
      </c>
      <c r="I45" s="276">
        <f>I15+Devel_Summary!K76</f>
        <v>1728150.1138855079</v>
      </c>
      <c r="J45" s="276">
        <f>J15+Devel_Summary!L76</f>
        <v>1765482.6163294453</v>
      </c>
      <c r="K45" s="276">
        <f>K15+Devel_Summary!M76</f>
        <v>1827549.7104119761</v>
      </c>
      <c r="L45" s="276">
        <f>L15+Devel_Summary!N76</f>
        <v>1828893.6990664932</v>
      </c>
      <c r="M45" s="276">
        <f>M15+Devel_Summary!O76</f>
        <v>1735892.8288918729</v>
      </c>
      <c r="N45" s="276">
        <f>N15+Devel_Summary!P76</f>
        <v>1765934.1059161008</v>
      </c>
      <c r="O45" s="276">
        <f>O15+Devel_Summary!Q76</f>
        <v>1828007.7375180887</v>
      </c>
      <c r="P45" s="276">
        <f>P15+Devel_Summary!R76</f>
        <v>1852560.2145426637</v>
      </c>
      <c r="Q45" s="276">
        <f>Q15+Devel_Summary!S76</f>
        <v>1930528.2908973331</v>
      </c>
      <c r="R45" s="276">
        <f>R15+Devel_Summary!T76</f>
        <v>1976560.8678720281</v>
      </c>
      <c r="S45" s="276">
        <f>S15+Devel_Summary!U76</f>
        <v>2139190.3055619458</v>
      </c>
      <c r="T45" s="276">
        <f>T15+Devel_Summary!V76</f>
        <v>2250805.7805396086</v>
      </c>
      <c r="U45" s="276">
        <f>U15+Devel_Summary!W76</f>
        <v>2283706.7619155226</v>
      </c>
      <c r="V45" s="8"/>
      <c r="W45" s="716"/>
      <c r="X45" s="722"/>
      <c r="Y45" s="720"/>
    </row>
    <row r="47" spans="1:25" s="313" customFormat="1">
      <c r="V47" s="8"/>
      <c r="W47" s="716"/>
      <c r="X47" s="612"/>
      <c r="Y47" s="612"/>
    </row>
    <row r="48" spans="1:25" s="313" customFormat="1">
      <c r="V48" s="8"/>
      <c r="W48" s="716"/>
      <c r="X48" s="612"/>
      <c r="Y48" s="612"/>
    </row>
    <row r="49" spans="22:25" s="313" customFormat="1">
      <c r="V49" s="8"/>
      <c r="W49" s="716"/>
      <c r="X49" s="612"/>
      <c r="Y49" s="612"/>
    </row>
    <row r="50" spans="22:25" s="313" customFormat="1">
      <c r="V50" s="8"/>
      <c r="W50" s="716"/>
      <c r="X50" s="612"/>
      <c r="Y50" s="718"/>
    </row>
    <row r="51" spans="22:25" s="313" customFormat="1">
      <c r="V51" s="8"/>
      <c r="W51" s="35"/>
      <c r="X51" s="723"/>
      <c r="Y51" s="723"/>
    </row>
    <row r="52" spans="22:25" s="313" customFormat="1">
      <c r="V52" s="8"/>
      <c r="W52" s="35"/>
      <c r="X52" s="723"/>
      <c r="Y52" s="723"/>
    </row>
    <row r="53" spans="22:25" s="313" customFormat="1">
      <c r="V53" s="8"/>
      <c r="W53" s="35"/>
      <c r="X53" s="723"/>
      <c r="Y53" s="723"/>
    </row>
    <row r="54" spans="22:25" s="313" customFormat="1">
      <c r="V54" s="8"/>
      <c r="W54" s="35"/>
      <c r="X54" s="723"/>
      <c r="Y54" s="723"/>
    </row>
    <row r="55" spans="22:25" s="313" customFormat="1">
      <c r="V55" s="8"/>
      <c r="W55" s="35"/>
      <c r="X55" s="723"/>
      <c r="Y55" s="723"/>
    </row>
    <row r="56" spans="22:25" s="313" customFormat="1">
      <c r="V56" s="8"/>
      <c r="W56" s="35"/>
      <c r="X56" s="723"/>
      <c r="Y56" s="723"/>
    </row>
    <row r="57" spans="22:25" s="313" customFormat="1">
      <c r="V57" s="8"/>
      <c r="W57" s="35"/>
      <c r="X57" s="723"/>
      <c r="Y57" s="723"/>
    </row>
    <row r="58" spans="22:25" s="313" customFormat="1">
      <c r="V58" s="8"/>
      <c r="W58" s="35"/>
      <c r="X58" s="723"/>
      <c r="Y58" s="723"/>
    </row>
    <row r="59" spans="22:25" s="313" customFormat="1">
      <c r="V59" s="8"/>
      <c r="W59" s="35"/>
      <c r="X59" s="723"/>
      <c r="Y59" s="723"/>
    </row>
    <row r="60" spans="22:25" s="313" customFormat="1">
      <c r="V60" s="8"/>
      <c r="W60" s="35"/>
      <c r="X60" s="723"/>
      <c r="Y60" s="723"/>
    </row>
    <row r="61" spans="22:25" s="313" customFormat="1">
      <c r="V61" s="8"/>
      <c r="W61" s="35"/>
      <c r="X61" s="723"/>
      <c r="Y61" s="723"/>
    </row>
    <row r="62" spans="22:25" s="313" customFormat="1">
      <c r="V62" s="8"/>
      <c r="W62" s="35"/>
      <c r="X62" s="723"/>
      <c r="Y62" s="723"/>
    </row>
    <row r="63" spans="22:25" s="313" customFormat="1">
      <c r="V63" s="8"/>
      <c r="W63" s="35"/>
      <c r="X63" s="723"/>
      <c r="Y63" s="723"/>
    </row>
    <row r="64" spans="22:25" s="313" customFormat="1">
      <c r="V64" s="8"/>
      <c r="W64" s="35"/>
      <c r="X64" s="723"/>
      <c r="Y64" s="723"/>
    </row>
    <row r="65" spans="22:25" s="313" customFormat="1">
      <c r="V65" s="8"/>
      <c r="W65" s="35"/>
      <c r="X65" s="723"/>
      <c r="Y65" s="723"/>
    </row>
    <row r="66" spans="22:25" s="313" customFormat="1">
      <c r="V66" s="8"/>
      <c r="W66" s="35"/>
      <c r="X66" s="723"/>
      <c r="Y66" s="723"/>
    </row>
    <row r="67" spans="22:25" s="313" customFormat="1">
      <c r="V67" s="8"/>
      <c r="W67" s="35"/>
      <c r="X67" s="723"/>
      <c r="Y67" s="723"/>
    </row>
    <row r="68" spans="22:25" s="313" customFormat="1">
      <c r="V68" s="8"/>
      <c r="W68" s="35"/>
      <c r="X68" s="723"/>
      <c r="Y68" s="723"/>
    </row>
  </sheetData>
  <mergeCells count="1">
    <mergeCell ref="X5:Y5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2:BN87"/>
  <sheetViews>
    <sheetView zoomScale="75" zoomScaleNormal="75" workbookViewId="0"/>
  </sheetViews>
  <sheetFormatPr defaultRowHeight="12.75" outlineLevelRow="1"/>
  <cols>
    <col min="1" max="1" width="52.5703125" style="271" customWidth="1"/>
    <col min="2" max="18" width="11.7109375" style="271" customWidth="1"/>
    <col min="19" max="19" width="12.7109375" style="271" bestFit="1" customWidth="1"/>
    <col min="20" max="21" width="13.140625" style="271" bestFit="1" customWidth="1"/>
    <col min="22" max="22" width="12.7109375" style="271" bestFit="1" customWidth="1"/>
    <col min="23" max="23" width="11.7109375" style="313" customWidth="1"/>
    <col min="24" max="26" width="11.7109375" style="334" customWidth="1"/>
    <col min="27" max="46" width="9.7109375" style="271" customWidth="1"/>
    <col min="47" max="72" width="9.140625" style="271"/>
    <col min="73" max="74" width="9.85546875" style="271" customWidth="1"/>
    <col min="75" max="16384" width="9.140625" style="271"/>
  </cols>
  <sheetData>
    <row r="2" spans="1:26" ht="18.75">
      <c r="A2" s="270" t="s">
        <v>333</v>
      </c>
      <c r="B2" s="270"/>
    </row>
    <row r="5" spans="1:26" ht="18.75">
      <c r="A5" s="288" t="s">
        <v>334</v>
      </c>
      <c r="B5" s="288"/>
    </row>
    <row r="7" spans="1:26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>G7+1</f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715" t="s">
        <v>128</v>
      </c>
      <c r="Y7" s="1356" t="s">
        <v>212</v>
      </c>
      <c r="Z7" s="1356"/>
    </row>
    <row r="8" spans="1:26">
      <c r="A8" s="291"/>
      <c r="B8" s="292"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627"/>
      <c r="X8" s="716"/>
      <c r="Y8" s="612"/>
      <c r="Z8" s="717"/>
    </row>
    <row r="9" spans="1:26">
      <c r="A9" s="3"/>
      <c r="B9" s="11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716"/>
      <c r="Y9" s="716"/>
      <c r="Z9" s="718"/>
    </row>
    <row r="10" spans="1:26" outlineLevel="1">
      <c r="A10" s="277" t="s">
        <v>335</v>
      </c>
      <c r="B10" s="11"/>
      <c r="C10" s="29">
        <f>ENA_CF!C10</f>
        <v>123624.03367595081</v>
      </c>
      <c r="D10" s="29">
        <f>ENA_CF!D10</f>
        <v>123040.16414335201</v>
      </c>
      <c r="E10" s="29">
        <f>ENA_CF!E10</f>
        <v>122528.82101623941</v>
      </c>
      <c r="F10" s="29">
        <f>ENA_CF!F10</f>
        <v>208898.30003993292</v>
      </c>
      <c r="G10" s="29">
        <f>ENA_CF!G10</f>
        <v>219835.48571459821</v>
      </c>
      <c r="H10" s="29">
        <f>ENA_CF!H10</f>
        <v>223020.10910985898</v>
      </c>
      <c r="I10" s="29">
        <f>ENA_CF!I10</f>
        <v>226306.69628506326</v>
      </c>
      <c r="J10" s="29">
        <f>ENA_CF!J10</f>
        <v>229700.32015338406</v>
      </c>
      <c r="K10" s="29">
        <f>ENA_CF!K10</f>
        <v>233268.60972890729</v>
      </c>
      <c r="L10" s="29">
        <f>ENA_CF!L10</f>
        <v>235988.5932867979</v>
      </c>
      <c r="M10" s="29">
        <f>ENA_CF!M10</f>
        <v>240410.20860099664</v>
      </c>
      <c r="N10" s="29">
        <f>ENA_CF!N10</f>
        <v>245095.57628469079</v>
      </c>
      <c r="O10" s="29">
        <f>ENA_CF!O10</f>
        <v>249350.73879004439</v>
      </c>
      <c r="P10" s="29">
        <f>ENA_CF!P10</f>
        <v>253772.3489547327</v>
      </c>
      <c r="Q10" s="29">
        <f>ENA_CF!Q10</f>
        <v>257772.04886117522</v>
      </c>
      <c r="R10" s="29">
        <f>ENA_CF!R10</f>
        <v>261928.1366757263</v>
      </c>
      <c r="S10" s="29">
        <f>ENA_CF!S10</f>
        <v>265529.08366466878</v>
      </c>
      <c r="T10" s="29">
        <f>ENA_CF!T10</f>
        <v>269171.90668593551</v>
      </c>
      <c r="U10" s="29">
        <f>ENA_CF!U10</f>
        <v>272856.91380543611</v>
      </c>
      <c r="V10" s="29">
        <f>ENA_CF!V10</f>
        <v>276593.78266094258</v>
      </c>
      <c r="W10" s="92"/>
      <c r="X10" s="716">
        <f>SUM(C10:V10)</f>
        <v>4538691.8781384332</v>
      </c>
      <c r="Y10" s="716">
        <f>ENA_CF!$W$10</f>
        <v>4538691.8781384332</v>
      </c>
      <c r="Z10" s="718">
        <f>X10-Y10</f>
        <v>0</v>
      </c>
    </row>
    <row r="11" spans="1:26" outlineLevel="1">
      <c r="A11" s="277" t="s">
        <v>332</v>
      </c>
      <c r="B11" s="1344"/>
      <c r="C11" s="91">
        <f>FPLE_CF!C10</f>
        <v>370873.13121855934</v>
      </c>
      <c r="D11" s="91">
        <f>FPLE_CF!D10</f>
        <v>333116.63689174165</v>
      </c>
      <c r="E11" s="91">
        <f>FPLE_CF!E10</f>
        <v>341215.56702612643</v>
      </c>
      <c r="F11" s="91">
        <f>FPLE_CF!F10</f>
        <v>365553.57617057109</v>
      </c>
      <c r="G11" s="91">
        <f>FPLE_CF!G10</f>
        <v>367143.13220870157</v>
      </c>
      <c r="H11" s="91">
        <f>FPLE_CF!H10</f>
        <v>385859.70640254871</v>
      </c>
      <c r="I11" s="91">
        <f>FPLE_CF!I10</f>
        <v>373673.76139679283</v>
      </c>
      <c r="J11" s="91">
        <f>FPLE_CF!J10</f>
        <v>358774.72067538439</v>
      </c>
      <c r="K11" s="91">
        <f>FPLE_CF!K10</f>
        <v>362094.20073048549</v>
      </c>
      <c r="L11" s="91">
        <f>FPLE_CF!L10</f>
        <v>399575.78911545442</v>
      </c>
      <c r="M11" s="91">
        <f>FPLE_CF!M10</f>
        <v>383122.79129371274</v>
      </c>
      <c r="N11" s="91">
        <f>FPLE_CF!N10</f>
        <v>346174.69962349755</v>
      </c>
      <c r="O11" s="91">
        <f>FPLE_CF!O10</f>
        <v>373463.8910567367</v>
      </c>
      <c r="P11" s="91">
        <f>FPLE_CF!P10</f>
        <v>409477.33307518705</v>
      </c>
      <c r="Q11" s="91">
        <f>FPLE_CF!Q10</f>
        <v>399795.47358727804</v>
      </c>
      <c r="R11" s="91">
        <f>FPLE_CF!R10</f>
        <v>419435.93160907994</v>
      </c>
      <c r="S11" s="91">
        <f>FPLE_CF!S10</f>
        <v>362242.12176054216</v>
      </c>
      <c r="T11" s="91">
        <f>FPLE_CF!T10</f>
        <v>353966.10588849382</v>
      </c>
      <c r="U11" s="91">
        <f>FPLE_CF!U10</f>
        <v>385448.88802843948</v>
      </c>
      <c r="V11" s="91">
        <f>FPLE_CF!V10</f>
        <v>366682.21336082846</v>
      </c>
      <c r="W11" s="92"/>
      <c r="X11" s="716">
        <f>SUM(C11:V11)</f>
        <v>7457689.6711201621</v>
      </c>
      <c r="Y11" s="716">
        <f>FPLE_CF!X10</f>
        <v>7457689.6711201621</v>
      </c>
      <c r="Z11" s="718">
        <f>X11-Y11</f>
        <v>0</v>
      </c>
    </row>
    <row r="12" spans="1:26">
      <c r="A12" s="509" t="s">
        <v>336</v>
      </c>
      <c r="B12" s="1345">
        <v>0</v>
      </c>
      <c r="C12" s="628">
        <f>C10+C11</f>
        <v>494497.16489451018</v>
      </c>
      <c r="D12" s="628">
        <f t="shared" ref="D12:V12" si="1">D10+D11</f>
        <v>456156.80103509367</v>
      </c>
      <c r="E12" s="628">
        <f t="shared" si="1"/>
        <v>463744.38804236584</v>
      </c>
      <c r="F12" s="628">
        <f t="shared" si="1"/>
        <v>574451.87621050398</v>
      </c>
      <c r="G12" s="628">
        <f t="shared" si="1"/>
        <v>586978.61792329978</v>
      </c>
      <c r="H12" s="628">
        <f t="shared" si="1"/>
        <v>608879.81551240769</v>
      </c>
      <c r="I12" s="628">
        <f t="shared" si="1"/>
        <v>599980.45768185612</v>
      </c>
      <c r="J12" s="628">
        <f t="shared" si="1"/>
        <v>588475.0408287684</v>
      </c>
      <c r="K12" s="628">
        <f t="shared" si="1"/>
        <v>595362.81045939284</v>
      </c>
      <c r="L12" s="628">
        <f t="shared" si="1"/>
        <v>635564.38240225229</v>
      </c>
      <c r="M12" s="628">
        <f t="shared" si="1"/>
        <v>623532.99989470933</v>
      </c>
      <c r="N12" s="628">
        <f t="shared" si="1"/>
        <v>591270.27590818831</v>
      </c>
      <c r="O12" s="628">
        <f t="shared" si="1"/>
        <v>622814.62984678103</v>
      </c>
      <c r="P12" s="628">
        <f t="shared" si="1"/>
        <v>663249.6820299197</v>
      </c>
      <c r="Q12" s="628">
        <f t="shared" si="1"/>
        <v>657567.52244845324</v>
      </c>
      <c r="R12" s="628">
        <f t="shared" si="1"/>
        <v>681364.06828480621</v>
      </c>
      <c r="S12" s="628">
        <f t="shared" si="1"/>
        <v>627771.205425211</v>
      </c>
      <c r="T12" s="628">
        <f t="shared" si="1"/>
        <v>623138.01257442939</v>
      </c>
      <c r="U12" s="628">
        <f t="shared" si="1"/>
        <v>658305.80183387559</v>
      </c>
      <c r="V12" s="628">
        <f t="shared" si="1"/>
        <v>643275.99602177111</v>
      </c>
      <c r="W12" s="315"/>
      <c r="X12" s="716">
        <f>SUM(C12:V12)</f>
        <v>11996381.549258595</v>
      </c>
      <c r="Y12" s="716">
        <f>Y10+Y11</f>
        <v>11996381.549258595</v>
      </c>
      <c r="Z12" s="718">
        <f>X12-Y12</f>
        <v>0</v>
      </c>
    </row>
    <row r="13" spans="1:26">
      <c r="A13" s="509"/>
      <c r="B13" s="1345"/>
      <c r="C13" s="628"/>
      <c r="D13" s="628"/>
      <c r="E13" s="628"/>
      <c r="F13" s="628"/>
      <c r="G13" s="628"/>
      <c r="H13" s="628"/>
      <c r="I13" s="628"/>
      <c r="J13" s="628"/>
      <c r="K13" s="628"/>
      <c r="L13" s="628"/>
      <c r="M13" s="628"/>
      <c r="N13" s="628"/>
      <c r="O13" s="628"/>
      <c r="P13" s="628"/>
      <c r="Q13" s="628"/>
      <c r="R13" s="628"/>
      <c r="S13" s="628"/>
      <c r="T13" s="628"/>
      <c r="U13" s="628"/>
      <c r="V13" s="628"/>
      <c r="W13" s="315"/>
      <c r="X13" s="716"/>
      <c r="Y13" s="716"/>
      <c r="Z13" s="718"/>
    </row>
    <row r="14" spans="1:26">
      <c r="A14" s="4" t="s">
        <v>633</v>
      </c>
      <c r="B14" s="1345"/>
      <c r="C14" s="295">
        <f>-NewCo_IS!B13</f>
        <v>-38000</v>
      </c>
      <c r="D14" s="295">
        <f>-NewCo_IS!C13</f>
        <v>-39140</v>
      </c>
      <c r="E14" s="295">
        <f>-NewCo_IS!D13</f>
        <v>-40314.200000000004</v>
      </c>
      <c r="F14" s="295">
        <f>-NewCo_IS!E13</f>
        <v>-41523.626000000004</v>
      </c>
      <c r="G14" s="295">
        <f>-NewCo_IS!F13</f>
        <v>-42769.334780000005</v>
      </c>
      <c r="H14" s="295">
        <f>-NewCo_IS!G13</f>
        <v>-44052.414823400009</v>
      </c>
      <c r="I14" s="295">
        <f>-NewCo_IS!H13</f>
        <v>-45373.987268102013</v>
      </c>
      <c r="J14" s="295">
        <f>-NewCo_IS!I13</f>
        <v>-46735.206886145075</v>
      </c>
      <c r="K14" s="295">
        <f>-NewCo_IS!J13</f>
        <v>-48137.26309272943</v>
      </c>
      <c r="L14" s="295">
        <f>-NewCo_IS!K13</f>
        <v>-49581.380985511314</v>
      </c>
      <c r="M14" s="295">
        <f>-NewCo_IS!L13</f>
        <v>-51068.822415076655</v>
      </c>
      <c r="N14" s="295">
        <f>-NewCo_IS!M13</f>
        <v>-52600.887087528958</v>
      </c>
      <c r="O14" s="295">
        <f>-NewCo_IS!N13</f>
        <v>-54178.91370015483</v>
      </c>
      <c r="P14" s="295">
        <f>-NewCo_IS!O13</f>
        <v>-55804.281111159478</v>
      </c>
      <c r="Q14" s="295">
        <f>-NewCo_IS!P13</f>
        <v>-57478.409544494265</v>
      </c>
      <c r="R14" s="295">
        <f>-NewCo_IS!Q13</f>
        <v>-59202.761830829091</v>
      </c>
      <c r="S14" s="295">
        <f>-NewCo_IS!R13</f>
        <v>-60978.844685753967</v>
      </c>
      <c r="T14" s="295">
        <f>-NewCo_IS!S13</f>
        <v>-62808.210026326589</v>
      </c>
      <c r="U14" s="295">
        <f>-NewCo_IS!T13</f>
        <v>-64692.456327116386</v>
      </c>
      <c r="V14" s="295">
        <f>-NewCo_IS!U13</f>
        <v>-66633.230016929883</v>
      </c>
      <c r="W14" s="296"/>
      <c r="X14" s="716">
        <f>SUM(C14:V14)</f>
        <v>-1021074.2305812578</v>
      </c>
      <c r="Y14" s="716">
        <f>-NewCo_IS!W13</f>
        <v>-1021074.2305812578</v>
      </c>
      <c r="Z14" s="718"/>
    </row>
    <row r="15" spans="1:26">
      <c r="B15" s="562"/>
    </row>
    <row r="16" spans="1:26">
      <c r="A16" s="4" t="s">
        <v>750</v>
      </c>
      <c r="B16" s="1345"/>
      <c r="C16" s="295">
        <f>NewCo_IS!B11</f>
        <v>25861.840802709379</v>
      </c>
      <c r="D16" s="295">
        <f>NewCo_IS!C11</f>
        <v>26242.181333865115</v>
      </c>
      <c r="E16" s="295">
        <f>NewCo_IS!D11</f>
        <v>25700.701317067131</v>
      </c>
      <c r="F16" s="295">
        <f>NewCo_IS!E11</f>
        <v>25203.179520255075</v>
      </c>
      <c r="G16" s="295">
        <f>NewCo_IS!F11</f>
        <v>25241.108558434502</v>
      </c>
      <c r="H16" s="295">
        <f>NewCo_IS!G11</f>
        <v>25357.684644168701</v>
      </c>
      <c r="I16" s="295">
        <f>NewCo_IS!H11</f>
        <v>24537.558009302829</v>
      </c>
      <c r="J16" s="295">
        <f>NewCo_IS!I11</f>
        <v>23715.818635935801</v>
      </c>
      <c r="K16" s="295">
        <f>NewCo_IS!J11</f>
        <v>22396.536552243011</v>
      </c>
      <c r="L16" s="295">
        <f>NewCo_IS!K11</f>
        <v>21455.242143802039</v>
      </c>
      <c r="M16" s="295">
        <f>NewCo_IS!L11</f>
        <v>20207.867562188327</v>
      </c>
      <c r="N16" s="295">
        <f>NewCo_IS!M11</f>
        <v>18865.326678486977</v>
      </c>
      <c r="O16" s="295">
        <f>NewCo_IS!N11</f>
        <v>17523.392600423122</v>
      </c>
      <c r="P16" s="295">
        <f>NewCo_IS!O11</f>
        <v>17699.438125699147</v>
      </c>
      <c r="Q16" s="295">
        <f>NewCo_IS!P11</f>
        <v>15925.631503276634</v>
      </c>
      <c r="R16" s="295">
        <f>NewCo_IS!Q11</f>
        <v>15752.951751480348</v>
      </c>
      <c r="S16" s="295">
        <f>NewCo_IS!R11</f>
        <v>16217.008757022881</v>
      </c>
      <c r="T16" s="295">
        <f>NewCo_IS!S11</f>
        <v>15669.799678290547</v>
      </c>
      <c r="U16" s="295">
        <f>NewCo_IS!T11</f>
        <v>15229.828951736323</v>
      </c>
      <c r="V16" s="295">
        <f>NewCo_IS!U11</f>
        <v>15135.193160610284</v>
      </c>
      <c r="W16" s="296"/>
      <c r="X16" s="716">
        <f>SUM(C16:V16)</f>
        <v>413938.29028699821</v>
      </c>
      <c r="Y16" s="716">
        <f>NewCo_IS!X11</f>
        <v>413938.29028699821</v>
      </c>
      <c r="Z16" s="718">
        <f>X16-Y16</f>
        <v>0</v>
      </c>
    </row>
    <row r="17" spans="1:47">
      <c r="A17" s="4" t="s">
        <v>758</v>
      </c>
      <c r="B17" s="1345"/>
      <c r="C17" s="295">
        <f>FPLE_CF!C20</f>
        <v>8062.5668474668546</v>
      </c>
      <c r="D17" s="295">
        <f>FPLE_CF!D20</f>
        <v>8457.56313142613</v>
      </c>
      <c r="E17" s="295">
        <f>FPLE_CF!E20</f>
        <v>9237.3088030214276</v>
      </c>
      <c r="F17" s="295">
        <f>FPLE_CF!F20</f>
        <v>9887.9370832130353</v>
      </c>
      <c r="G17" s="295">
        <f>FPLE_CF!G20</f>
        <v>11251.599384926201</v>
      </c>
      <c r="H17" s="295">
        <f>FPLE_CF!H20</f>
        <v>12404.320409205047</v>
      </c>
      <c r="I17" s="295">
        <f>FPLE_CF!I20</f>
        <v>13588.839976052976</v>
      </c>
      <c r="J17" s="295">
        <f>FPLE_CF!J20</f>
        <v>14951.100334849516</v>
      </c>
      <c r="K17" s="295">
        <f>FPLE_CF!K20</f>
        <v>15379.054796033201</v>
      </c>
      <c r="L17" s="295">
        <f>FPLE_CF!L20</f>
        <v>16319.430512193556</v>
      </c>
      <c r="M17" s="295">
        <f>FPLE_CF!M20</f>
        <v>17897.44613501092</v>
      </c>
      <c r="N17" s="295">
        <f>FPLE_CF!N20</f>
        <v>19689.288125447863</v>
      </c>
      <c r="O17" s="295">
        <f>FPLE_CF!O20</f>
        <v>12600.237150842702</v>
      </c>
      <c r="P17" s="295">
        <f>FPLE_CF!P20</f>
        <v>9989.3407734678458</v>
      </c>
      <c r="Q17" s="295">
        <f>FPLE_CF!Q20</f>
        <v>8569.7651379924991</v>
      </c>
      <c r="R17" s="295">
        <f>FPLE_CF!R20</f>
        <v>1233</v>
      </c>
      <c r="S17" s="295">
        <f>FPLE_CF!S20</f>
        <v>0</v>
      </c>
      <c r="T17" s="295">
        <f>FPLE_CF!T20</f>
        <v>0</v>
      </c>
      <c r="U17" s="295">
        <f>FPLE_CF!U20</f>
        <v>0</v>
      </c>
      <c r="V17" s="295">
        <f>FPLE_CF!V20</f>
        <v>0</v>
      </c>
      <c r="W17" s="296"/>
      <c r="X17" s="716"/>
      <c r="Y17" s="716"/>
      <c r="Z17" s="718"/>
    </row>
    <row r="18" spans="1:47">
      <c r="A18" s="4" t="s">
        <v>337</v>
      </c>
      <c r="B18" s="1345"/>
      <c r="C18" s="295">
        <f>FPLE_CF!C34+FPLE_CF!C36</f>
        <v>-229446.22515615742</v>
      </c>
      <c r="D18" s="295">
        <f>FPLE_CF!D34+FPLE_CF!D36</f>
        <v>-221959.42581780089</v>
      </c>
      <c r="E18" s="295">
        <f>FPLE_CF!E34+FPLE_CF!E36</f>
        <v>-226851.19463200335</v>
      </c>
      <c r="F18" s="295">
        <f>FPLE_CF!F34+FPLE_CF!F36</f>
        <v>-230641.05964488539</v>
      </c>
      <c r="G18" s="295">
        <f>FPLE_CF!G34+FPLE_CF!G36</f>
        <v>-234501.91011148412</v>
      </c>
      <c r="H18" s="295">
        <f>FPLE_CF!H34+FPLE_CF!H36</f>
        <v>-246361.04476474464</v>
      </c>
      <c r="I18" s="295">
        <f>FPLE_CF!I34+FPLE_CF!I36</f>
        <v>-237872.38497754303</v>
      </c>
      <c r="J18" s="295">
        <f>FPLE_CF!J34+FPLE_CF!J36</f>
        <v>-229463.03420941948</v>
      </c>
      <c r="K18" s="295">
        <f>FPLE_CF!K34+FPLE_CF!K36</f>
        <v>-231761.99806064245</v>
      </c>
      <c r="L18" s="295">
        <f>FPLE_CF!L34+FPLE_CF!L36</f>
        <v>-250016.8946376082</v>
      </c>
      <c r="M18" s="295">
        <f>FPLE_CF!M34+FPLE_CF!M36</f>
        <v>-223641.19629273846</v>
      </c>
      <c r="N18" s="295">
        <f>FPLE_CF!N34+FPLE_CF!N36</f>
        <v>-186114.35584071919</v>
      </c>
      <c r="O18" s="295">
        <f>FPLE_CF!O34+FPLE_CF!O36</f>
        <v>-198580.27406665182</v>
      </c>
      <c r="P18" s="295">
        <f>FPLE_CF!P34+FPLE_CF!P36</f>
        <v>-213481.72008998794</v>
      </c>
      <c r="Q18" s="295">
        <f>FPLE_CF!Q34+FPLE_CF!Q36</f>
        <v>-208265.8461476904</v>
      </c>
      <c r="R18" s="295">
        <f>FPLE_CF!R34+FPLE_CF!R36</f>
        <v>-209736.39542830543</v>
      </c>
      <c r="S18" s="295">
        <f>FPLE_CF!S34+FPLE_CF!S36</f>
        <v>-178660.28681339679</v>
      </c>
      <c r="T18" s="295">
        <f>FPLE_CF!T34+FPLE_CF!T36</f>
        <v>-176272.44098978915</v>
      </c>
      <c r="U18" s="295">
        <f>FPLE_CF!U34+FPLE_CF!U36</f>
        <v>-184142.47959293553</v>
      </c>
      <c r="V18" s="295">
        <f>FPLE_CF!V34+FPLE_CF!V36</f>
        <v>-174214.07995541449</v>
      </c>
      <c r="W18" s="296"/>
      <c r="X18" s="716">
        <f>SUM(C18:V18)</f>
        <v>-4291984.2472299188</v>
      </c>
      <c r="Y18" s="716">
        <f>FPLE_CF!X34+FPLE_CF!X36</f>
        <v>-4291984.2472299179</v>
      </c>
      <c r="Z18" s="718">
        <f>X18-Y18</f>
        <v>0</v>
      </c>
    </row>
    <row r="19" spans="1:47">
      <c r="A19" s="4" t="s">
        <v>338</v>
      </c>
      <c r="B19" s="1345"/>
      <c r="C19" s="295">
        <f>FPLE_CF!C38</f>
        <v>-53.357142857123108</v>
      </c>
      <c r="D19" s="295">
        <f>FPLE_CF!D38</f>
        <v>-53.357142857152212</v>
      </c>
      <c r="E19" s="295">
        <f>FPLE_CF!E38</f>
        <v>-53.357142857181316</v>
      </c>
      <c r="F19" s="295">
        <f>FPLE_CF!F38</f>
        <v>-53.357142857130384</v>
      </c>
      <c r="G19" s="295">
        <f>FPLE_CF!G38</f>
        <v>-50.077380952367093</v>
      </c>
      <c r="H19" s="295">
        <f>FPLE_CF!H38</f>
        <v>-50.000000000014552</v>
      </c>
      <c r="I19" s="295">
        <f>FPLE_CF!I38</f>
        <v>-50.000000000014552</v>
      </c>
      <c r="J19" s="295">
        <f>FPLE_CF!J38</f>
        <v>-50</v>
      </c>
      <c r="K19" s="295">
        <f>FPLE_CF!K38</f>
        <v>-49.999999999985448</v>
      </c>
      <c r="L19" s="295">
        <f>FPLE_CF!L38</f>
        <v>-50</v>
      </c>
      <c r="M19" s="295">
        <f>FPLE_CF!M38</f>
        <v>-50</v>
      </c>
      <c r="N19" s="295">
        <f>FPLE_CF!N38</f>
        <v>-50</v>
      </c>
      <c r="O19" s="295">
        <f>FPLE_CF!O38</f>
        <v>-50</v>
      </c>
      <c r="P19" s="295">
        <f>FPLE_CF!P38</f>
        <v>-50</v>
      </c>
      <c r="Q19" s="295">
        <f>FPLE_CF!Q38</f>
        <v>-50</v>
      </c>
      <c r="R19" s="295">
        <f>FPLE_CF!R38</f>
        <v>-50</v>
      </c>
      <c r="S19" s="295">
        <f>FPLE_CF!S38</f>
        <v>-50</v>
      </c>
      <c r="T19" s="295">
        <f>FPLE_CF!T38</f>
        <v>-50</v>
      </c>
      <c r="U19" s="295">
        <f>FPLE_CF!U38</f>
        <v>-50</v>
      </c>
      <c r="V19" s="295">
        <f>FPLE_CF!V38</f>
        <v>-50</v>
      </c>
      <c r="W19" s="296"/>
      <c r="X19" s="716">
        <f>SUM(C19:V19)</f>
        <v>-1013.5059523809687</v>
      </c>
      <c r="Y19" s="716">
        <f>FPLE_CF!X38</f>
        <v>-1013.5059523809687</v>
      </c>
      <c r="Z19" s="718">
        <f>X19-Y19</f>
        <v>0</v>
      </c>
    </row>
    <row r="20" spans="1:47">
      <c r="A20" s="4"/>
      <c r="B20" s="1345"/>
      <c r="C20" s="628"/>
      <c r="D20" s="628"/>
      <c r="E20" s="628"/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315"/>
      <c r="X20" s="716"/>
      <c r="Y20" s="716"/>
      <c r="Z20" s="718"/>
    </row>
    <row r="21" spans="1:47" s="8" customFormat="1" ht="12" customHeight="1">
      <c r="A21" s="4" t="s">
        <v>339</v>
      </c>
      <c r="B21" s="1346">
        <v>0</v>
      </c>
      <c r="C21" s="29">
        <f>ENA_CF!C12</f>
        <v>2138.7599999999998</v>
      </c>
      <c r="D21" s="29">
        <f>ENA_CF!D12</f>
        <v>2485.4070000000002</v>
      </c>
      <c r="E21" s="29">
        <f>ENA_CF!E12</f>
        <v>2675.4930000000004</v>
      </c>
      <c r="F21" s="29">
        <f>ENA_CF!F12</f>
        <v>2752.7350000000001</v>
      </c>
      <c r="G21" s="29">
        <f>ENA_CF!G12</f>
        <v>2800.4010000000003</v>
      </c>
      <c r="H21" s="29">
        <f>ENA_CF!H12</f>
        <v>3000.837</v>
      </c>
      <c r="I21" s="29">
        <f>ENA_CF!I12</f>
        <v>3133.239</v>
      </c>
      <c r="J21" s="29">
        <f>ENA_CF!J12</f>
        <v>3204.1120000000001</v>
      </c>
      <c r="K21" s="29">
        <f>ENA_CF!K12</f>
        <v>3150.1800000000003</v>
      </c>
      <c r="L21" s="29">
        <f>ENA_CF!L12</f>
        <v>3985.1379999999999</v>
      </c>
      <c r="M21" s="29">
        <f>ENA_CF!M12</f>
        <v>3774.3130000000001</v>
      </c>
      <c r="N21" s="29">
        <f>ENA_CF!N12</f>
        <v>3371.88</v>
      </c>
      <c r="O21" s="29">
        <f>ENA_CF!O12</f>
        <v>3464.7</v>
      </c>
      <c r="P21" s="29">
        <f>ENA_CF!P12</f>
        <v>3464.7</v>
      </c>
      <c r="Q21" s="29">
        <f>ENA_CF!Q12</f>
        <v>3953.498301179623</v>
      </c>
      <c r="R21" s="29">
        <f>ENA_CF!R12</f>
        <v>3397.5323122032155</v>
      </c>
      <c r="S21" s="29">
        <f>ENA_CF!S12</f>
        <v>3421.1349584472796</v>
      </c>
      <c r="T21" s="29">
        <f>ENA_CF!T12</f>
        <v>3445.2096576162253</v>
      </c>
      <c r="U21" s="29">
        <f>ENA_CF!U12</f>
        <v>3469.7658507685501</v>
      </c>
      <c r="V21" s="29">
        <f>ENA_CF!V12</f>
        <v>3485.5551622965972</v>
      </c>
      <c r="W21" s="92"/>
      <c r="X21" s="716">
        <f>SUM(C21:V21)</f>
        <v>64574.591242511466</v>
      </c>
      <c r="Y21" s="716">
        <f>ENA_CF!W12</f>
        <v>64574.591242511466</v>
      </c>
      <c r="Z21" s="718">
        <f>X21-Y21</f>
        <v>0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</row>
    <row r="22" spans="1:47" s="8" customFormat="1">
      <c r="A22" s="4" t="s">
        <v>340</v>
      </c>
      <c r="B22" s="1346">
        <v>0</v>
      </c>
      <c r="C22" s="629">
        <f>ENA_CF!C13</f>
        <v>-1959.1981014</v>
      </c>
      <c r="D22" s="629">
        <f>ENA_CF!D13</f>
        <v>-2138.7599999999998</v>
      </c>
      <c r="E22" s="629">
        <f>ENA_CF!E13</f>
        <v>-2485.4070000000002</v>
      </c>
      <c r="F22" s="629">
        <f>ENA_CF!F13</f>
        <v>-2675.4930000000004</v>
      </c>
      <c r="G22" s="629">
        <f>ENA_CF!G13</f>
        <v>-2752.7350000000001</v>
      </c>
      <c r="H22" s="629">
        <f>ENA_CF!H13</f>
        <v>-2800.4010000000003</v>
      </c>
      <c r="I22" s="629">
        <f>ENA_CF!I13</f>
        <v>-3000.837</v>
      </c>
      <c r="J22" s="629">
        <f>ENA_CF!J13</f>
        <v>-3133.239</v>
      </c>
      <c r="K22" s="629">
        <f>ENA_CF!K13</f>
        <v>-3204.1120000000001</v>
      </c>
      <c r="L22" s="629">
        <f>ENA_CF!L13</f>
        <v>-3150.1800000000003</v>
      </c>
      <c r="M22" s="629">
        <f>ENA_CF!M13</f>
        <v>-3985.1379999999999</v>
      </c>
      <c r="N22" s="629">
        <f>ENA_CF!N13</f>
        <v>-3774.3130000000001</v>
      </c>
      <c r="O22" s="629">
        <f>ENA_CF!O13</f>
        <v>-3371.88</v>
      </c>
      <c r="P22" s="629">
        <f>ENA_CF!P13</f>
        <v>-3464.7</v>
      </c>
      <c r="Q22" s="629">
        <f>ENA_CF!Q13</f>
        <v>-3464.7</v>
      </c>
      <c r="R22" s="629">
        <f>ENA_CF!R13</f>
        <v>-3953.498301179623</v>
      </c>
      <c r="S22" s="629">
        <f>ENA_CF!S13</f>
        <v>-3397.5323122032155</v>
      </c>
      <c r="T22" s="629">
        <f>ENA_CF!T13</f>
        <v>-3421.1349584472796</v>
      </c>
      <c r="U22" s="629">
        <f>ENA_CF!U13</f>
        <v>-3445.2096576162253</v>
      </c>
      <c r="V22" s="629">
        <f>ENA_CF!V13</f>
        <v>-3469.7658507685501</v>
      </c>
      <c r="W22" s="630"/>
      <c r="X22" s="716">
        <f>SUM(C22:V22)</f>
        <v>-63048.234181614876</v>
      </c>
      <c r="Y22" s="716">
        <f>ENA_CF!W13</f>
        <v>-63048.234181614876</v>
      </c>
      <c r="Z22" s="718">
        <f>X22-Y22</f>
        <v>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</row>
    <row r="23" spans="1:47">
      <c r="A23" s="4" t="s">
        <v>341</v>
      </c>
      <c r="B23" s="1346">
        <v>0</v>
      </c>
      <c r="C23" s="296">
        <f>ENA_CF!C14</f>
        <v>-15500</v>
      </c>
      <c r="D23" s="296">
        <f>ENA_CF!D14</f>
        <v>-16625</v>
      </c>
      <c r="E23" s="296">
        <f>ENA_CF!E14</f>
        <v>-17875</v>
      </c>
      <c r="F23" s="296">
        <f>ENA_CF!F14</f>
        <v>-17850</v>
      </c>
      <c r="G23" s="296">
        <f>ENA_CF!G14</f>
        <v>-24570</v>
      </c>
      <c r="H23" s="296">
        <f>ENA_CF!H14</f>
        <v>-27930</v>
      </c>
      <c r="I23" s="296">
        <f>ENA_CF!I14</f>
        <v>-30449.999999999996</v>
      </c>
      <c r="J23" s="296">
        <f>ENA_CF!J14</f>
        <v>-34650</v>
      </c>
      <c r="K23" s="296">
        <f>ENA_CF!K14</f>
        <v>-38010</v>
      </c>
      <c r="L23" s="296">
        <f>ENA_CF!L14</f>
        <v>-43664.999999999985</v>
      </c>
      <c r="M23" s="296">
        <f>ENA_CF!M14</f>
        <v>-47500</v>
      </c>
      <c r="N23" s="296">
        <f>ENA_CF!N14</f>
        <v>-47500</v>
      </c>
      <c r="O23" s="296">
        <f>ENA_CF!O14</f>
        <v>-47500</v>
      </c>
      <c r="P23" s="296">
        <f>ENA_CF!P14</f>
        <v>-47500</v>
      </c>
      <c r="Q23" s="296">
        <f>ENA_CF!Q14</f>
        <v>-49875</v>
      </c>
      <c r="R23" s="296">
        <f>ENA_CF!R14</f>
        <v>-52250</v>
      </c>
      <c r="S23" s="296">
        <f>ENA_CF!S14</f>
        <v>-52250</v>
      </c>
      <c r="T23" s="296">
        <f>ENA_CF!T14</f>
        <v>-42750</v>
      </c>
      <c r="U23" s="296">
        <f>ENA_CF!U14</f>
        <v>-42750</v>
      </c>
      <c r="V23" s="296">
        <f>ENA_CF!V14</f>
        <v>-38000.000000000044</v>
      </c>
      <c r="W23" s="296"/>
      <c r="X23" s="716">
        <f>SUM(C23:V23)</f>
        <v>-735000</v>
      </c>
      <c r="Y23" s="716">
        <f>ENA_CF!W14</f>
        <v>-735000</v>
      </c>
      <c r="Z23" s="718">
        <f>X23-Y23</f>
        <v>0</v>
      </c>
    </row>
    <row r="24" spans="1:47">
      <c r="A24" s="4" t="s">
        <v>342</v>
      </c>
      <c r="B24" s="1352">
        <v>0</v>
      </c>
      <c r="C24" s="24">
        <f>ENA_CF!C15</f>
        <v>-80195.063655030797</v>
      </c>
      <c r="D24" s="24">
        <f>ENA_CF!D15</f>
        <v>-78991.765229295008</v>
      </c>
      <c r="E24" s="24">
        <f>ENA_CF!E15</f>
        <v>-77294.472108145099</v>
      </c>
      <c r="F24" s="24">
        <f>ENA_CF!F15</f>
        <v>-75962.102669404514</v>
      </c>
      <c r="G24" s="24">
        <f>ENA_CF!G15</f>
        <v>-73604.857221081445</v>
      </c>
      <c r="H24" s="24">
        <f>ENA_CF!H15</f>
        <v>-70810.911430527034</v>
      </c>
      <c r="I24" s="24">
        <f>ENA_CF!I15</f>
        <v>-67670.892539356602</v>
      </c>
      <c r="J24" s="24">
        <f>ENA_CF!J15</f>
        <v>-64385.856262833673</v>
      </c>
      <c r="K24" s="24">
        <f>ENA_CF!K15</f>
        <v>-60305.328678986996</v>
      </c>
      <c r="L24" s="24">
        <f>ENA_CF!L15</f>
        <v>-55783.800136892532</v>
      </c>
      <c r="M24" s="24">
        <f>ENA_CF!M15</f>
        <v>-51026.119096509239</v>
      </c>
      <c r="N24" s="24">
        <f>ENA_CF!N15</f>
        <v>-45838.663928815877</v>
      </c>
      <c r="O24" s="24">
        <f>ENA_CF!O15</f>
        <v>-40393.401779603009</v>
      </c>
      <c r="P24" s="24">
        <f>ENA_CF!P15</f>
        <v>-35077.043121149894</v>
      </c>
      <c r="Q24" s="24">
        <f>ENA_CF!Q15</f>
        <v>-29693.683778234088</v>
      </c>
      <c r="R24" s="24">
        <f>ENA_CF!R15</f>
        <v>-24114.420260095823</v>
      </c>
      <c r="S24" s="24">
        <f>ENA_CF!S15</f>
        <v>-18196.511978097195</v>
      </c>
      <c r="T24" s="24">
        <f>ENA_CF!T15</f>
        <v>-12616.520191649557</v>
      </c>
      <c r="U24" s="24">
        <f>ENA_CF!U15</f>
        <v>-7831.7973990417522</v>
      </c>
      <c r="V24" s="24">
        <f>ENA_CF!V15</f>
        <v>-3058.7268993839834</v>
      </c>
      <c r="W24" s="24"/>
      <c r="X24" s="716">
        <f>SUM(C24:V24)</f>
        <v>-972851.93836413382</v>
      </c>
      <c r="Y24" s="716">
        <f>ENA_CF!W15</f>
        <v>-972851.93836413382</v>
      </c>
      <c r="Z24" s="718">
        <f>X24-Y24</f>
        <v>0</v>
      </c>
    </row>
    <row r="25" spans="1:47">
      <c r="A25" s="4"/>
      <c r="B25" s="134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6"/>
      <c r="X25" s="716"/>
      <c r="Y25" s="716"/>
      <c r="Z25" s="718"/>
    </row>
    <row r="26" spans="1:47">
      <c r="A26" s="4" t="s">
        <v>786</v>
      </c>
      <c r="B26" s="1351"/>
      <c r="C26" s="295">
        <f>NewCo_IS!B27</f>
        <v>17586.924019722501</v>
      </c>
      <c r="D26" s="295">
        <f>NewCo_IS!C27</f>
        <v>33647.088469493654</v>
      </c>
      <c r="E26" s="295">
        <f>NewCo_IS!D27</f>
        <v>51544.163044860659</v>
      </c>
      <c r="F26" s="295">
        <f>NewCo_IS!E27</f>
        <v>82627.632973940243</v>
      </c>
      <c r="G26" s="295">
        <f>NewCo_IS!F27</f>
        <v>117307.43805041726</v>
      </c>
      <c r="H26" s="295">
        <f>NewCo_IS!G27</f>
        <v>156465.69901904918</v>
      </c>
      <c r="I26" s="295">
        <f>NewCo_IS!H27</f>
        <v>198570.21508557265</v>
      </c>
      <c r="J26" s="295">
        <f>NewCo_IS!I27</f>
        <v>232350.42126226603</v>
      </c>
      <c r="K26" s="295">
        <f>NewCo_IS!J27</f>
        <v>266805.91795871704</v>
      </c>
      <c r="L26" s="295">
        <f>NewCo_IS!K27</f>
        <v>303155.19364875456</v>
      </c>
      <c r="M26" s="295">
        <f>NewCo_IS!L27</f>
        <v>342680.36639595398</v>
      </c>
      <c r="N26" s="295">
        <f>NewCo_IS!M27</f>
        <v>386515.15963972476</v>
      </c>
      <c r="O26" s="295">
        <f>NewCo_IS!N27</f>
        <v>433054.94744526781</v>
      </c>
      <c r="P26" s="295">
        <f>NewCo_IS!O27</f>
        <v>483213.38015746645</v>
      </c>
      <c r="Q26" s="295">
        <f>NewCo_IS!P27</f>
        <v>536073.71926290623</v>
      </c>
      <c r="R26" s="295">
        <f>NewCo_IS!Q27</f>
        <v>590025.94335088599</v>
      </c>
      <c r="S26" s="295">
        <f>NewCo_IS!R27</f>
        <v>644641.1699237033</v>
      </c>
      <c r="T26" s="295">
        <f>NewCo_IS!S27</f>
        <v>702751.72802451265</v>
      </c>
      <c r="U26" s="295">
        <f>NewCo_IS!T27</f>
        <v>765531.16006249376</v>
      </c>
      <c r="V26" s="295">
        <f>NewCo_IS!U27</f>
        <v>832494.29328477173</v>
      </c>
      <c r="W26" s="296"/>
      <c r="X26" s="719"/>
      <c r="Y26" s="719"/>
      <c r="Z26" s="720"/>
    </row>
    <row r="27" spans="1:47">
      <c r="A27" s="4"/>
      <c r="B27" s="1351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6"/>
      <c r="X27" s="719"/>
      <c r="Y27" s="719"/>
      <c r="Z27" s="720"/>
    </row>
    <row r="28" spans="1:47">
      <c r="A28" s="509" t="s">
        <v>213</v>
      </c>
      <c r="B28" s="1345">
        <f>SUM(B12:B24)</f>
        <v>0</v>
      </c>
      <c r="C28" s="628">
        <f>SUM(C12:C27)</f>
        <v>182993.41250896361</v>
      </c>
      <c r="D28" s="628">
        <f t="shared" ref="D28:V28" si="2">SUM(D12:D27)</f>
        <v>168080.73277992546</v>
      </c>
      <c r="E28" s="628">
        <f t="shared" si="2"/>
        <v>188028.42332430941</v>
      </c>
      <c r="F28" s="628">
        <f t="shared" si="2"/>
        <v>326217.72233076516</v>
      </c>
      <c r="G28" s="628">
        <f t="shared" si="2"/>
        <v>365330.2504235598</v>
      </c>
      <c r="H28" s="628">
        <f t="shared" si="2"/>
        <v>414103.58456615894</v>
      </c>
      <c r="I28" s="628">
        <f t="shared" si="2"/>
        <v>455392.20796778298</v>
      </c>
      <c r="J28" s="628">
        <f t="shared" si="2"/>
        <v>484279.15670342155</v>
      </c>
      <c r="K28" s="628">
        <f t="shared" si="2"/>
        <v>521625.79793402727</v>
      </c>
      <c r="L28" s="628">
        <f t="shared" si="2"/>
        <v>578232.13094699034</v>
      </c>
      <c r="M28" s="628">
        <f t="shared" si="2"/>
        <v>630821.71718353825</v>
      </c>
      <c r="N28" s="628">
        <f t="shared" si="2"/>
        <v>683833.71049478394</v>
      </c>
      <c r="O28" s="628">
        <f t="shared" si="2"/>
        <v>745383.43749690487</v>
      </c>
      <c r="P28" s="628">
        <f t="shared" si="2"/>
        <v>822238.79676425573</v>
      </c>
      <c r="Q28" s="628">
        <f t="shared" si="2"/>
        <v>873262.49718338938</v>
      </c>
      <c r="R28" s="628">
        <f t="shared" si="2"/>
        <v>942466.41987896583</v>
      </c>
      <c r="S28" s="628">
        <f t="shared" si="2"/>
        <v>978517.3432749334</v>
      </c>
      <c r="T28" s="628">
        <f t="shared" si="2"/>
        <v>1047086.4437686361</v>
      </c>
      <c r="U28" s="628">
        <f t="shared" si="2"/>
        <v>1139624.6137221644</v>
      </c>
      <c r="V28" s="628">
        <f t="shared" si="2"/>
        <v>1208965.2349069526</v>
      </c>
      <c r="W28" s="315"/>
      <c r="X28" s="716">
        <f>SUM(C28:V28)</f>
        <v>12756483.634160427</v>
      </c>
      <c r="Y28" s="716">
        <f>FPLE_CF!X40+ENA_CF!$W$17+Y14</f>
        <v>5579441.0730799492</v>
      </c>
      <c r="Z28" s="718">
        <f>X28-Y28</f>
        <v>7177042.5610804781</v>
      </c>
    </row>
    <row r="29" spans="1:47">
      <c r="A29" s="4"/>
      <c r="B29" s="134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6"/>
      <c r="X29" s="721"/>
      <c r="Y29" s="716"/>
      <c r="Z29" s="720"/>
    </row>
    <row r="30" spans="1:47">
      <c r="A30" s="4" t="s">
        <v>355</v>
      </c>
      <c r="B30" s="1345">
        <v>0</v>
      </c>
      <c r="C30" s="295">
        <f>NewCo_Tax!B32</f>
        <v>-1243.4781842120253</v>
      </c>
      <c r="D30" s="295">
        <f>NewCo_Tax!C32</f>
        <v>-2108.9101509518969</v>
      </c>
      <c r="E30" s="295">
        <f>NewCo_Tax!D32</f>
        <v>-3073.2756799371491</v>
      </c>
      <c r="F30" s="295">
        <f>NewCo_Tax!E32</f>
        <v>-4989.3704108866405</v>
      </c>
      <c r="G30" s="295">
        <f>NewCo_Tax!F32</f>
        <v>-6936.0088849967997</v>
      </c>
      <c r="H30" s="295">
        <f>NewCo_Tax!G32</f>
        <v>-9427.2835064253668</v>
      </c>
      <c r="I30" s="295">
        <f>NewCo_Tax!H32</f>
        <v>-12804.571200665596</v>
      </c>
      <c r="J30" s="295">
        <f>NewCo_Tax!I32</f>
        <v>-16112.988419675101</v>
      </c>
      <c r="K30" s="295">
        <f>NewCo_Tax!J32</f>
        <v>-18743.984496888879</v>
      </c>
      <c r="L30" s="295">
        <f>NewCo_Tax!K32</f>
        <v>-23276.889948662767</v>
      </c>
      <c r="M30" s="295">
        <f>NewCo_Tax!L32</f>
        <v>-32192.715213044536</v>
      </c>
      <c r="N30" s="295">
        <f>NewCo_Tax!M32</f>
        <v>-33451.157031715309</v>
      </c>
      <c r="O30" s="295">
        <f>NewCo_Tax!N32</f>
        <v>-38225.053462834934</v>
      </c>
      <c r="P30" s="295">
        <f>NewCo_Tax!O32</f>
        <v>-43820.390449245082</v>
      </c>
      <c r="Q30" s="295">
        <f>NewCo_Tax!P32</f>
        <v>-47127.116508829691</v>
      </c>
      <c r="R30" s="295">
        <f>NewCo_Tax!Q32</f>
        <v>-55442.391604233213</v>
      </c>
      <c r="S30" s="295">
        <f>NewCo_Tax!R32</f>
        <v>-59740.761320320431</v>
      </c>
      <c r="T30" s="295">
        <f>NewCo_Tax!S32</f>
        <v>-64356.741012327206</v>
      </c>
      <c r="U30" s="295">
        <f>NewCo_Tax!T32</f>
        <v>-70622.491727660425</v>
      </c>
      <c r="V30" s="295">
        <f>NewCo_Tax!U32</f>
        <v>-74345.413438756164</v>
      </c>
      <c r="W30" s="296"/>
      <c r="X30" s="716">
        <f>SUM(C30:V30)</f>
        <v>-618040.9926522692</v>
      </c>
      <c r="Y30" s="716">
        <f>-NewCo_Tax!X10</f>
        <v>-231584.85474793543</v>
      </c>
      <c r="Z30" s="718">
        <f>X30-Y30</f>
        <v>-386456.13790433377</v>
      </c>
    </row>
    <row r="31" spans="1:47">
      <c r="A31" s="4" t="s">
        <v>356</v>
      </c>
      <c r="B31" s="1346">
        <v>0</v>
      </c>
      <c r="C31" s="296">
        <f>-NewCo_Tax!B42</f>
        <v>0</v>
      </c>
      <c r="D31" s="296">
        <f>-NewCo_Tax!C42</f>
        <v>0</v>
      </c>
      <c r="E31" s="296">
        <f>-NewCo_Tax!D42</f>
        <v>0</v>
      </c>
      <c r="F31" s="296">
        <f>-NewCo_Tax!E42</f>
        <v>0</v>
      </c>
      <c r="G31" s="296">
        <f>-NewCo_Tax!F42</f>
        <v>0</v>
      </c>
      <c r="H31" s="296">
        <f>-NewCo_Tax!G42</f>
        <v>0</v>
      </c>
      <c r="I31" s="296">
        <f>-NewCo_Tax!H42</f>
        <v>-7463.6195550008561</v>
      </c>
      <c r="J31" s="296">
        <f>-NewCo_Tax!I42</f>
        <v>-119068.72252206692</v>
      </c>
      <c r="K31" s="296">
        <f>-NewCo_Tax!J42</f>
        <v>-146805.65966047187</v>
      </c>
      <c r="L31" s="296">
        <f>-NewCo_Tax!K42</f>
        <v>-179308.05778395312</v>
      </c>
      <c r="M31" s="296">
        <f>-NewCo_Tax!L42</f>
        <v>-190160.89561391308</v>
      </c>
      <c r="N31" s="296">
        <f>-NewCo_Tax!M42</f>
        <v>-197377.19651428206</v>
      </c>
      <c r="O31" s="296">
        <f>-NewCo_Tax!N42</f>
        <v>-226198.58869727384</v>
      </c>
      <c r="P31" s="296">
        <f>-NewCo_Tax!O42</f>
        <v>-260062.1638576324</v>
      </c>
      <c r="Q31" s="296">
        <f>-NewCo_Tax!P42</f>
        <v>-279856.61413325847</v>
      </c>
      <c r="R31" s="296">
        <f>-NewCo_Tax!Q42</f>
        <v>-329461.30874595908</v>
      </c>
      <c r="S31" s="296">
        <f>-NewCo_Tax!R42</f>
        <v>-354362.14362127613</v>
      </c>
      <c r="T31" s="296">
        <f>-NewCo_Tax!S42</f>
        <v>-382193.18447012891</v>
      </c>
      <c r="U31" s="296">
        <f>-NewCo_Tax!T42</f>
        <v>-420215.69199239917</v>
      </c>
      <c r="V31" s="296">
        <f>-NewCo_Tax!U42</f>
        <v>-442597.43875494431</v>
      </c>
      <c r="W31" s="296"/>
      <c r="X31" s="716"/>
      <c r="Y31" s="716"/>
      <c r="Z31" s="718"/>
    </row>
    <row r="32" spans="1:47">
      <c r="A32" s="4"/>
      <c r="B32" s="1347"/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321"/>
      <c r="X32" s="716"/>
      <c r="Y32" s="716"/>
      <c r="Z32" s="718"/>
    </row>
    <row r="33" spans="1:46" s="299" customFormat="1" ht="13.5" thickBot="1">
      <c r="A33" s="509" t="s">
        <v>214</v>
      </c>
      <c r="B33" s="1345">
        <f>SUM(B31,B30,B28)</f>
        <v>0</v>
      </c>
      <c r="C33" s="1114">
        <f>C28+C30+C31</f>
        <v>181749.93432475158</v>
      </c>
      <c r="D33" s="1114">
        <f t="shared" ref="D33:V33" si="3">D28+D30+D31</f>
        <v>165971.82262897355</v>
      </c>
      <c r="E33" s="1114">
        <f t="shared" si="3"/>
        <v>184955.14764437225</v>
      </c>
      <c r="F33" s="1114">
        <f t="shared" si="3"/>
        <v>321228.35191987851</v>
      </c>
      <c r="G33" s="1114">
        <f t="shared" si="3"/>
        <v>358394.24153856299</v>
      </c>
      <c r="H33" s="1114">
        <f t="shared" si="3"/>
        <v>404676.30105973355</v>
      </c>
      <c r="I33" s="1114">
        <f t="shared" si="3"/>
        <v>435124.01721211651</v>
      </c>
      <c r="J33" s="1114">
        <f t="shared" si="3"/>
        <v>349097.44576167956</v>
      </c>
      <c r="K33" s="1114">
        <f t="shared" si="3"/>
        <v>356076.1537766665</v>
      </c>
      <c r="L33" s="1114">
        <f t="shared" si="3"/>
        <v>375647.18321437447</v>
      </c>
      <c r="M33" s="1114">
        <f t="shared" si="3"/>
        <v>408468.10635658063</v>
      </c>
      <c r="N33" s="1114">
        <f t="shared" si="3"/>
        <v>453005.35694878665</v>
      </c>
      <c r="O33" s="1114">
        <f t="shared" si="3"/>
        <v>480959.79533679609</v>
      </c>
      <c r="P33" s="1114">
        <f t="shared" si="3"/>
        <v>518356.24245737819</v>
      </c>
      <c r="Q33" s="1114">
        <f t="shared" si="3"/>
        <v>546278.76654130127</v>
      </c>
      <c r="R33" s="1114">
        <f t="shared" si="3"/>
        <v>557562.71952877357</v>
      </c>
      <c r="S33" s="1114">
        <f t="shared" si="3"/>
        <v>564414.43833333685</v>
      </c>
      <c r="T33" s="1114">
        <f t="shared" si="3"/>
        <v>600536.51828617998</v>
      </c>
      <c r="U33" s="1114">
        <f t="shared" si="3"/>
        <v>648786.43000210484</v>
      </c>
      <c r="V33" s="1114">
        <f t="shared" si="3"/>
        <v>692022.38271325198</v>
      </c>
      <c r="W33" s="315"/>
      <c r="X33" s="716"/>
      <c r="Y33" s="716"/>
      <c r="Z33" s="718"/>
    </row>
    <row r="34" spans="1:46" s="299" customFormat="1" ht="13.5" thickTop="1">
      <c r="A34" s="509"/>
      <c r="B34" s="628"/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5"/>
      <c r="N34" s="315"/>
      <c r="O34" s="315"/>
      <c r="P34" s="315"/>
      <c r="Q34" s="315"/>
      <c r="R34" s="315"/>
      <c r="S34" s="315"/>
      <c r="T34" s="315"/>
      <c r="U34" s="315"/>
      <c r="V34" s="315"/>
      <c r="W34" s="315"/>
      <c r="X34" s="716"/>
      <c r="Y34" s="716"/>
      <c r="Z34" s="718"/>
    </row>
    <row r="35" spans="1:46" s="299" customFormat="1" ht="13.5" thickBot="1">
      <c r="A35" s="509" t="s">
        <v>780</v>
      </c>
      <c r="B35" s="628"/>
      <c r="C35" s="1114">
        <f>C45+Devel_Summary!D58+C63-C56*'NewCo_Summary Output'!$P$34*(1-0.385)</f>
        <v>201450.95932508382</v>
      </c>
      <c r="D35" s="1114">
        <f>D45+Devel_Summary!E58+D63-D56*'NewCo_Summary Output'!$P$34*(1-0.385)</f>
        <v>250738.84626140649</v>
      </c>
      <c r="E35" s="1114">
        <f>E45+Devel_Summary!F58+E63-E56*'NewCo_Summary Output'!$P$34*(1-0.385)</f>
        <v>297844.63348239654</v>
      </c>
      <c r="F35" s="1114">
        <f>F45+Devel_Summary!G58+F63-F56*'NewCo_Summary Output'!$P$34*(1-0.385)</f>
        <v>485441.01475893089</v>
      </c>
      <c r="G35" s="1114">
        <f>G45+Devel_Summary!H58+G63-G56*'NewCo_Summary Output'!$P$34*(1-0.385)</f>
        <v>544998.19614176534</v>
      </c>
      <c r="H35" s="1114">
        <f>H45+Devel_Summary!I58+H63-H56*'NewCo_Summary Output'!$P$34*(1-0.385)</f>
        <v>624011.17768843577</v>
      </c>
      <c r="I35" s="1114">
        <f>I45+Devel_Summary!J58+I63-I56*'NewCo_Summary Output'!$P$34*(1-0.385)</f>
        <v>649646.94948581595</v>
      </c>
      <c r="J35" s="1114">
        <f>J45+Devel_Summary!K58+J63-J56*'NewCo_Summary Output'!$P$34*(1-0.385)</f>
        <v>682402.36382790864</v>
      </c>
      <c r="K35" s="1114">
        <f>K45+Devel_Summary!L58+K63-K56*'NewCo_Summary Output'!$P$34*(1-0.385)</f>
        <v>736112.94427719433</v>
      </c>
      <c r="L35" s="1114">
        <f>L45+Devel_Summary!M58+L63-L56*'NewCo_Summary Output'!$P$34*(1-0.385)</f>
        <v>813179.19292089203</v>
      </c>
      <c r="M35" s="1114">
        <f>M45+Devel_Summary!N58+M63-M56*'NewCo_Summary Output'!$P$34*(1-0.385)</f>
        <v>831685.49853980937</v>
      </c>
      <c r="N35" s="1114">
        <f>N45+Devel_Summary!O58+N63-N56*'NewCo_Summary Output'!$P$34*(1-0.385)</f>
        <v>833393.67588478921</v>
      </c>
      <c r="O35" s="1114">
        <f>O45+Devel_Summary!P58+O63-O56*'NewCo_Summary Output'!$P$34*(1-0.385)</f>
        <v>852952.86587897444</v>
      </c>
      <c r="P35" s="1114">
        <f>P45+Devel_Summary!Q58+P63-P56*'NewCo_Summary Output'!$P$34*(1-0.385)</f>
        <v>900664.93488829059</v>
      </c>
      <c r="Q35" s="1114">
        <f>Q45+Devel_Summary!R58+Q63-Q56*'NewCo_Summary Output'!$P$34*(1-0.385)</f>
        <v>942841.90626197751</v>
      </c>
      <c r="R35" s="1114">
        <f>R45+Devel_Summary!S58+R63-R56*'NewCo_Summary Output'!$P$34*(1-0.385)</f>
        <v>1025250.4792635238</v>
      </c>
      <c r="S35" s="1114">
        <f>S45+Devel_Summary!T58+S63-S56*'NewCo_Summary Output'!$P$34*(1-0.385)</f>
        <v>1197364.5425581501</v>
      </c>
      <c r="T35" s="1114">
        <f>T45+Devel_Summary!U58+T63-T56*'NewCo_Summary Output'!$P$34*(1-0.385)</f>
        <v>1565128.5680862567</v>
      </c>
      <c r="U35" s="1114">
        <f>U45+Devel_Summary!V58+U63-U56*'NewCo_Summary Output'!$P$34*(1-0.385)</f>
        <v>1857613.3251917176</v>
      </c>
      <c r="V35" s="1114">
        <f>V45+Devel_Summary!W58+V63-V56*'NewCo_Summary Output'!$P$34*(1-0.385)</f>
        <v>2132773.253029136</v>
      </c>
      <c r="W35" s="315"/>
      <c r="X35" s="716"/>
      <c r="Y35" s="716"/>
      <c r="Z35" s="718"/>
    </row>
    <row r="36" spans="1:46" ht="13.5" thickTop="1">
      <c r="A36" s="15" t="s">
        <v>775</v>
      </c>
      <c r="B36" s="298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322"/>
      <c r="X36" s="716"/>
      <c r="Y36" s="716"/>
      <c r="Z36" s="720"/>
    </row>
    <row r="37" spans="1:46">
      <c r="A37" s="15" t="s">
        <v>774</v>
      </c>
      <c r="B37" s="301"/>
      <c r="C37" s="1340"/>
      <c r="D37" s="301"/>
      <c r="E37" s="1339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321"/>
      <c r="X37" s="716"/>
      <c r="Y37" s="716"/>
      <c r="Z37" s="718"/>
    </row>
    <row r="38" spans="1:46">
      <c r="A38" s="15"/>
      <c r="B38" s="301"/>
      <c r="C38" s="1340"/>
      <c r="D38" s="301"/>
      <c r="E38" s="1339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321"/>
      <c r="X38" s="716"/>
      <c r="Y38" s="716"/>
      <c r="Z38" s="718"/>
    </row>
    <row r="39" spans="1:46">
      <c r="A39" s="15"/>
      <c r="B39" s="301"/>
      <c r="C39" s="301"/>
      <c r="D39" s="301"/>
      <c r="E39" s="301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321"/>
      <c r="X39" s="716"/>
      <c r="Y39" s="716"/>
      <c r="Z39" s="718"/>
    </row>
    <row r="40" spans="1:46" ht="18.75">
      <c r="A40" s="288" t="s">
        <v>215</v>
      </c>
      <c r="X40" s="716"/>
      <c r="Y40" s="716"/>
      <c r="Z40" s="720"/>
    </row>
    <row r="41" spans="1:46" ht="12" customHeight="1">
      <c r="A41" s="288"/>
      <c r="X41" s="716"/>
      <c r="Y41" s="716"/>
      <c r="Z41" s="718"/>
    </row>
    <row r="42" spans="1:46" ht="13.5" thickBot="1">
      <c r="A42" s="99" t="s">
        <v>5</v>
      </c>
      <c r="B42" s="290" t="s">
        <v>211</v>
      </c>
      <c r="C42" s="9">
        <v>2001</v>
      </c>
      <c r="D42" s="9">
        <f t="shared" ref="D42:V42" si="4">C42+1</f>
        <v>2002</v>
      </c>
      <c r="E42" s="9">
        <f t="shared" si="4"/>
        <v>2003</v>
      </c>
      <c r="F42" s="9">
        <f t="shared" si="4"/>
        <v>2004</v>
      </c>
      <c r="G42" s="9">
        <f t="shared" si="4"/>
        <v>2005</v>
      </c>
      <c r="H42" s="9">
        <f>G42+1</f>
        <v>2006</v>
      </c>
      <c r="I42" s="9">
        <f t="shared" si="4"/>
        <v>2007</v>
      </c>
      <c r="J42" s="9">
        <f t="shared" si="4"/>
        <v>2008</v>
      </c>
      <c r="K42" s="9">
        <f t="shared" si="4"/>
        <v>2009</v>
      </c>
      <c r="L42" s="9">
        <f t="shared" si="4"/>
        <v>2010</v>
      </c>
      <c r="M42" s="9">
        <f t="shared" si="4"/>
        <v>2011</v>
      </c>
      <c r="N42" s="9">
        <f t="shared" si="4"/>
        <v>2012</v>
      </c>
      <c r="O42" s="9">
        <f t="shared" si="4"/>
        <v>2013</v>
      </c>
      <c r="P42" s="9">
        <f t="shared" si="4"/>
        <v>2014</v>
      </c>
      <c r="Q42" s="9">
        <f t="shared" si="4"/>
        <v>2015</v>
      </c>
      <c r="R42" s="9">
        <f t="shared" si="4"/>
        <v>2016</v>
      </c>
      <c r="S42" s="9">
        <f t="shared" si="4"/>
        <v>2017</v>
      </c>
      <c r="T42" s="9">
        <f t="shared" si="4"/>
        <v>2018</v>
      </c>
      <c r="U42" s="9">
        <f t="shared" si="4"/>
        <v>2019</v>
      </c>
      <c r="V42" s="9">
        <f t="shared" si="4"/>
        <v>2020</v>
      </c>
      <c r="W42" s="11"/>
      <c r="X42" s="716"/>
      <c r="Y42" s="716"/>
      <c r="Z42" s="720"/>
      <c r="AA42" s="562">
        <v>2001</v>
      </c>
      <c r="AB42" s="562">
        <f>AA42+1</f>
        <v>2002</v>
      </c>
      <c r="AC42" s="562">
        <f t="shared" ref="AC42:AT42" si="5">AB42+1</f>
        <v>2003</v>
      </c>
      <c r="AD42" s="562">
        <f t="shared" si="5"/>
        <v>2004</v>
      </c>
      <c r="AE42" s="562">
        <f t="shared" si="5"/>
        <v>2005</v>
      </c>
      <c r="AF42" s="562">
        <f t="shared" si="5"/>
        <v>2006</v>
      </c>
      <c r="AG42" s="562">
        <f t="shared" si="5"/>
        <v>2007</v>
      </c>
      <c r="AH42" s="562">
        <f t="shared" si="5"/>
        <v>2008</v>
      </c>
      <c r="AI42" s="562">
        <f t="shared" si="5"/>
        <v>2009</v>
      </c>
      <c r="AJ42" s="562">
        <f t="shared" si="5"/>
        <v>2010</v>
      </c>
      <c r="AK42" s="562">
        <f t="shared" si="5"/>
        <v>2011</v>
      </c>
      <c r="AL42" s="562">
        <f t="shared" si="5"/>
        <v>2012</v>
      </c>
      <c r="AM42" s="562">
        <f t="shared" si="5"/>
        <v>2013</v>
      </c>
      <c r="AN42" s="562">
        <f t="shared" si="5"/>
        <v>2014</v>
      </c>
      <c r="AO42" s="562">
        <f t="shared" si="5"/>
        <v>2015</v>
      </c>
      <c r="AP42" s="562">
        <f t="shared" si="5"/>
        <v>2016</v>
      </c>
      <c r="AQ42" s="562">
        <f t="shared" si="5"/>
        <v>2017</v>
      </c>
      <c r="AR42" s="562">
        <f t="shared" si="5"/>
        <v>2018</v>
      </c>
      <c r="AS42" s="562">
        <f t="shared" si="5"/>
        <v>2019</v>
      </c>
      <c r="AT42" s="562">
        <f t="shared" si="5"/>
        <v>2020</v>
      </c>
    </row>
    <row r="43" spans="1:46">
      <c r="V43" s="8"/>
      <c r="W43" s="8"/>
      <c r="X43" s="716"/>
      <c r="Z43" s="718"/>
    </row>
    <row r="44" spans="1:46">
      <c r="A44" s="271" t="s">
        <v>216</v>
      </c>
      <c r="B44" s="295">
        <f>-'NewCo_Summary Output'!D17</f>
        <v>-2118643.5370956324</v>
      </c>
      <c r="C44" s="295">
        <v>0</v>
      </c>
      <c r="D44" s="295">
        <v>0</v>
      </c>
      <c r="E44" s="295">
        <v>0</v>
      </c>
      <c r="F44" s="295">
        <v>0</v>
      </c>
      <c r="G44" s="295">
        <v>0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  <c r="M44" s="295">
        <v>0</v>
      </c>
      <c r="N44" s="295">
        <v>0</v>
      </c>
      <c r="O44" s="295">
        <v>0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4">
        <v>0</v>
      </c>
      <c r="W44" s="24"/>
      <c r="X44" s="716"/>
      <c r="Y44" s="716"/>
      <c r="Z44" s="718"/>
    </row>
    <row r="45" spans="1:46">
      <c r="A45" s="271" t="s">
        <v>217</v>
      </c>
      <c r="B45" s="296">
        <f>B33</f>
        <v>0</v>
      </c>
      <c r="C45" s="24">
        <f>IF('NewCo_Summary Output'!$P$8=1,NewCo_CF!C76,NewCo_CF!C77)</f>
        <v>165109.99852147567</v>
      </c>
      <c r="D45" s="24">
        <f>IF('NewCo_Summary Output'!$P$8=1,NewCo_CF!D76,NewCo_CF!D77)</f>
        <v>134136.50046168343</v>
      </c>
      <c r="E45" s="24">
        <f>IF('NewCo_Summary Output'!$P$8=1,NewCo_CF!E76,NewCo_CF!E77)</f>
        <v>136186.43953269641</v>
      </c>
      <c r="F45" s="24">
        <f>IF('NewCo_Summary Output'!$P$8=1,NewCo_CF!F76,NewCo_CF!F77)</f>
        <v>243049.89918299663</v>
      </c>
      <c r="G45" s="24">
        <f>IF('NewCo_Summary Output'!$P$8=1,NewCo_CF!G76,NewCo_CF!G77)</f>
        <v>247403.35784470665</v>
      </c>
      <c r="H45" s="24">
        <f>IF('NewCo_Summary Output'!$P$8=1,NewCo_CF!H76,NewCo_CF!H77)</f>
        <v>256635.67814171012</v>
      </c>
      <c r="I45" s="24">
        <f>IF('NewCo_Summary Output'!$P$8=1,NewCo_CF!I76,NewCo_CF!I77)</f>
        <v>254709.66403230632</v>
      </c>
      <c r="J45" s="24">
        <f>IF('NewCo_Summary Output'!$P$8=1,NewCo_CF!J76,NewCo_CF!J77)</f>
        <v>248326.92355098706</v>
      </c>
      <c r="K45" s="24">
        <f>IF('NewCo_Summary Output'!$P$8=1,NewCo_CF!K76,NewCo_CF!K77)</f>
        <v>250442.36798389076</v>
      </c>
      <c r="L45" s="24">
        <f>IF('NewCo_Summary Output'!$P$8=1,NewCo_CF!L76,NewCo_CF!L77)</f>
        <v>268123.78854604444</v>
      </c>
      <c r="M45" s="24">
        <f>IF('NewCo_Summary Output'!$P$8=1,NewCo_CF!M76,NewCo_CF!M77)</f>
        <v>228578.33578301279</v>
      </c>
      <c r="N45" s="24">
        <f>IF('NewCo_Summary Output'!$P$8=1,NewCo_CF!N76,NewCo_CF!N77)</f>
        <v>215298.5337703558</v>
      </c>
      <c r="O45" s="24">
        <f>IF('NewCo_Summary Output'!$P$8=1,NewCo_CF!O76,NewCo_CF!O77)</f>
        <v>214631.00265795644</v>
      </c>
      <c r="P45" s="24">
        <f>IF('NewCo_Summary Output'!$P$8=1,NewCo_CF!P76,NewCo_CF!P77)</f>
        <v>221180.01366053647</v>
      </c>
      <c r="Q45" s="24">
        <f>IF('NewCo_Summary Output'!$P$8=1,NewCo_CF!Q76,NewCo_CF!Q77)</f>
        <v>216593.42919461391</v>
      </c>
      <c r="R45" s="24">
        <f>IF('NewCo_Summary Output'!$P$8=1,NewCo_CF!R76,NewCo_CF!R77)</f>
        <v>194696.76436797867</v>
      </c>
      <c r="S45" s="24">
        <f>IF('NewCo_Summary Output'!$P$8=1,NewCo_CF!S76,NewCo_CF!S77)</f>
        <v>167960.11883025928</v>
      </c>
      <c r="T45" s="24">
        <f>IF('NewCo_Summary Output'!$P$8=1,NewCo_CF!T76,NewCo_CF!T77)</f>
        <v>168344.20555110474</v>
      </c>
      <c r="U45" s="24">
        <f>IF('NewCo_Summary Output'!$P$8=1,NewCo_CF!U76,NewCo_CF!U77)</f>
        <v>177984.76656367109</v>
      </c>
      <c r="V45" s="24">
        <f>IF('NewCo_Summary Output'!$P$8=1,NewCo_CF!V76,NewCo_CF!V77)</f>
        <v>180038.39234311751</v>
      </c>
      <c r="W45" s="296"/>
      <c r="X45" s="716"/>
      <c r="Y45" s="716"/>
      <c r="Z45" s="718"/>
    </row>
    <row r="46" spans="1:46">
      <c r="A46" s="271" t="s">
        <v>218</v>
      </c>
      <c r="B46" s="297">
        <v>0</v>
      </c>
      <c r="C46" s="297">
        <f>ENA_CF!C31+FPLE_CF!C56</f>
        <v>0</v>
      </c>
      <c r="D46" s="297">
        <f>ENA_CF!D31+FPLE_CF!D56</f>
        <v>0</v>
      </c>
      <c r="E46" s="297">
        <f>ENA_CF!E31+FPLE_CF!E56</f>
        <v>0</v>
      </c>
      <c r="F46" s="297">
        <f>ENA_CF!F31+FPLE_CF!F56</f>
        <v>0</v>
      </c>
      <c r="G46" s="297">
        <f>ENA_CF!G31+FPLE_CF!G56</f>
        <v>0</v>
      </c>
      <c r="H46" s="297">
        <f>ENA_CF!H31+FPLE_CF!H56</f>
        <v>0</v>
      </c>
      <c r="I46" s="297">
        <f>ENA_CF!I31+FPLE_CF!I56</f>
        <v>0</v>
      </c>
      <c r="J46" s="297">
        <f>ENA_CF!J31+FPLE_CF!J56</f>
        <v>0</v>
      </c>
      <c r="K46" s="297">
        <f>ENA_CF!K31+FPLE_CF!K56</f>
        <v>0</v>
      </c>
      <c r="L46" s="297">
        <f>ENA_CF!L31+FPLE_CF!L56</f>
        <v>0</v>
      </c>
      <c r="M46" s="297">
        <f>ENA_CF!M31+FPLE_CF!M56</f>
        <v>0</v>
      </c>
      <c r="N46" s="297">
        <f>ENA_CF!N31+FPLE_CF!N56</f>
        <v>0</v>
      </c>
      <c r="O46" s="297">
        <f>ENA_CF!O31+FPLE_CF!O56</f>
        <v>19665.234229755741</v>
      </c>
      <c r="P46" s="297">
        <f>ENA_CF!P31+FPLE_CF!P56</f>
        <v>9346.5079512580996</v>
      </c>
      <c r="Q46" s="297">
        <f>ENA_CF!Q31+FPLE_CF!Q56</f>
        <v>2557.2262404999292</v>
      </c>
      <c r="R46" s="297">
        <f>ENA_CF!R31+FPLE_CF!R56</f>
        <v>13131.612343206551</v>
      </c>
      <c r="S46" s="297">
        <f>ENA_CF!S31+FPLE_CF!S56</f>
        <v>80289.635164363019</v>
      </c>
      <c r="T46" s="297">
        <f>ENA_CF!T31+FPLE_CF!T56</f>
        <v>22885.61247276621</v>
      </c>
      <c r="U46" s="297">
        <f>ENA_CF!U31+FPLE_CF!U56</f>
        <v>59602.105063733914</v>
      </c>
      <c r="V46" s="297">
        <f>ENA_CF!V31+FPLE_CF!V56</f>
        <v>1784761.8552989294</v>
      </c>
      <c r="W46" s="296"/>
      <c r="X46" s="716"/>
      <c r="Y46" s="716"/>
      <c r="Z46" s="718"/>
    </row>
    <row r="47" spans="1:46">
      <c r="A47" s="271" t="s">
        <v>219</v>
      </c>
      <c r="B47" s="295">
        <f t="shared" ref="B47:V47" si="6">SUM(B44:B46)</f>
        <v>-2118643.5370956324</v>
      </c>
      <c r="C47" s="295">
        <f t="shared" si="6"/>
        <v>165109.99852147567</v>
      </c>
      <c r="D47" s="295">
        <f t="shared" si="6"/>
        <v>134136.50046168343</v>
      </c>
      <c r="E47" s="295">
        <f t="shared" si="6"/>
        <v>136186.43953269641</v>
      </c>
      <c r="F47" s="295">
        <f t="shared" si="6"/>
        <v>243049.89918299663</v>
      </c>
      <c r="G47" s="295">
        <f t="shared" si="6"/>
        <v>247403.35784470665</v>
      </c>
      <c r="H47" s="295">
        <f t="shared" si="6"/>
        <v>256635.67814171012</v>
      </c>
      <c r="I47" s="295">
        <f t="shared" si="6"/>
        <v>254709.66403230632</v>
      </c>
      <c r="J47" s="295">
        <f t="shared" si="6"/>
        <v>248326.92355098706</v>
      </c>
      <c r="K47" s="295">
        <f t="shared" si="6"/>
        <v>250442.36798389076</v>
      </c>
      <c r="L47" s="295">
        <f t="shared" si="6"/>
        <v>268123.78854604444</v>
      </c>
      <c r="M47" s="295">
        <f t="shared" si="6"/>
        <v>228578.33578301279</v>
      </c>
      <c r="N47" s="295">
        <f t="shared" si="6"/>
        <v>215298.5337703558</v>
      </c>
      <c r="O47" s="295">
        <f t="shared" si="6"/>
        <v>234296.23688771218</v>
      </c>
      <c r="P47" s="295">
        <f t="shared" si="6"/>
        <v>230526.52161179457</v>
      </c>
      <c r="Q47" s="295">
        <f t="shared" si="6"/>
        <v>219150.65543511385</v>
      </c>
      <c r="R47" s="295">
        <f t="shared" si="6"/>
        <v>207828.37671118521</v>
      </c>
      <c r="S47" s="295">
        <f t="shared" si="6"/>
        <v>248249.7539946223</v>
      </c>
      <c r="T47" s="295">
        <f t="shared" si="6"/>
        <v>191229.81802387093</v>
      </c>
      <c r="U47" s="295">
        <f t="shared" si="6"/>
        <v>237586.87162740499</v>
      </c>
      <c r="V47" s="295">
        <f t="shared" si="6"/>
        <v>1964800.2476420468</v>
      </c>
      <c r="W47" s="8"/>
      <c r="X47" s="716"/>
      <c r="Y47" s="716"/>
      <c r="Z47" s="718"/>
    </row>
    <row r="48" spans="1:46">
      <c r="A48" s="271" t="s">
        <v>220</v>
      </c>
      <c r="B48" s="615">
        <f>XIRR(B47:V47,B8:V8)</f>
        <v>9.7489172220230097E-2</v>
      </c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4"/>
      <c r="W48" s="8"/>
    </row>
    <row r="51" spans="1:66" ht="15.75">
      <c r="A51" s="917" t="s">
        <v>763</v>
      </c>
      <c r="D51" s="302"/>
      <c r="E51" s="302"/>
      <c r="F51" s="302"/>
      <c r="G51" s="302"/>
    </row>
    <row r="53" spans="1:66">
      <c r="A53" s="295" t="s">
        <v>227</v>
      </c>
      <c r="B53" s="295"/>
      <c r="C53" s="295">
        <f>-Devel_Summary!D18</f>
        <v>-192525</v>
      </c>
      <c r="D53" s="295">
        <f>-Devel_Summary!E18</f>
        <v>-1523500</v>
      </c>
      <c r="E53" s="295">
        <f>-Devel_Summary!F18</f>
        <v>-2487500</v>
      </c>
      <c r="F53" s="295">
        <f>-Devel_Summary!G18</f>
        <v>-1650000</v>
      </c>
      <c r="G53" s="295">
        <f>-Devel_Summary!H18</f>
        <v>-1650000</v>
      </c>
      <c r="H53" s="295">
        <f>-Devel_Summary!I18</f>
        <v>0</v>
      </c>
      <c r="I53" s="295">
        <f>-Devel_Summary!J18</f>
        <v>0</v>
      </c>
      <c r="J53" s="295">
        <f>-Devel_Summary!K18</f>
        <v>0</v>
      </c>
      <c r="K53" s="295">
        <f>-Devel_Summary!L18</f>
        <v>0</v>
      </c>
      <c r="L53" s="295">
        <f>-Devel_Summary!M18</f>
        <v>0</v>
      </c>
      <c r="M53" s="295">
        <f>-Devel_Summary!N18</f>
        <v>0</v>
      </c>
      <c r="N53" s="295">
        <f>-Devel_Summary!O18</f>
        <v>0</v>
      </c>
      <c r="O53" s="295">
        <f>-Devel_Summary!P18</f>
        <v>0</v>
      </c>
      <c r="P53" s="295">
        <f>-Devel_Summary!Q18</f>
        <v>0</v>
      </c>
      <c r="Q53" s="295">
        <f>-Devel_Summary!R18</f>
        <v>0</v>
      </c>
      <c r="R53" s="295">
        <f>-Devel_Summary!S18</f>
        <v>0</v>
      </c>
      <c r="S53" s="295">
        <f>-Devel_Summary!T18</f>
        <v>0</v>
      </c>
      <c r="T53" s="295">
        <f>-Devel_Summary!U18</f>
        <v>0</v>
      </c>
      <c r="U53" s="295">
        <f>-Devel_Summary!V18</f>
        <v>0</v>
      </c>
      <c r="V53" s="295">
        <f>-Devel_Summary!W18</f>
        <v>0</v>
      </c>
      <c r="AA53" s="562"/>
      <c r="AB53" s="562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</row>
    <row r="54" spans="1:66">
      <c r="A54" s="295" t="s">
        <v>783</v>
      </c>
      <c r="B54" s="295"/>
      <c r="C54" s="342">
        <v>201450.95932508458</v>
      </c>
      <c r="D54" s="342">
        <v>250738.84626142247</v>
      </c>
      <c r="E54" s="20">
        <f>E35</f>
        <v>297844.63348239654</v>
      </c>
      <c r="F54" s="20">
        <f>F35</f>
        <v>485441.01475893089</v>
      </c>
      <c r="G54" s="342">
        <v>544998.19614176627</v>
      </c>
      <c r="H54" s="342">
        <v>624011.17768843845</v>
      </c>
      <c r="I54" s="342">
        <v>649646.94948582049</v>
      </c>
      <c r="J54" s="342">
        <v>682402.36382791505</v>
      </c>
      <c r="K54" s="342">
        <v>736112.94427720248</v>
      </c>
      <c r="L54" s="342">
        <v>813179.19292090205</v>
      </c>
      <c r="M54" s="342">
        <v>831685.49853982113</v>
      </c>
      <c r="N54" s="342">
        <v>833393.67588480283</v>
      </c>
      <c r="O54" s="342">
        <v>852952.8658789898</v>
      </c>
      <c r="P54" s="342">
        <v>900664.93488830794</v>
      </c>
      <c r="Q54" s="342">
        <v>942841.90626199637</v>
      </c>
      <c r="R54" s="342">
        <v>1025250.4792635447</v>
      </c>
      <c r="S54" s="342">
        <v>1197364.542558173</v>
      </c>
      <c r="T54" s="342">
        <v>1565128.5680862812</v>
      </c>
      <c r="U54" s="342">
        <v>1857613.3251917439</v>
      </c>
      <c r="V54" s="342">
        <v>2132773.2530291644</v>
      </c>
      <c r="Y54" s="295"/>
      <c r="AA54" s="1349">
        <f>C35</f>
        <v>201450.95932508382</v>
      </c>
      <c r="AB54" s="1349">
        <f>D35</f>
        <v>250738.84626140649</v>
      </c>
      <c r="AC54" s="96"/>
      <c r="AD54" s="96"/>
      <c r="AE54" s="1349">
        <f>G35</f>
        <v>544998.19614176534</v>
      </c>
      <c r="AF54" s="1349">
        <f t="shared" ref="AF54:AT54" si="7">H35</f>
        <v>624011.17768843577</v>
      </c>
      <c r="AG54" s="1349">
        <f t="shared" si="7"/>
        <v>649646.94948581595</v>
      </c>
      <c r="AH54" s="1349">
        <f t="shared" si="7"/>
        <v>682402.36382790864</v>
      </c>
      <c r="AI54" s="1349">
        <f t="shared" si="7"/>
        <v>736112.94427719433</v>
      </c>
      <c r="AJ54" s="1349">
        <f t="shared" si="7"/>
        <v>813179.19292089203</v>
      </c>
      <c r="AK54" s="1349">
        <f t="shared" si="7"/>
        <v>831685.49853980937</v>
      </c>
      <c r="AL54" s="1349">
        <f t="shared" si="7"/>
        <v>833393.67588478921</v>
      </c>
      <c r="AM54" s="1349">
        <f t="shared" si="7"/>
        <v>852952.86587897444</v>
      </c>
      <c r="AN54" s="1349">
        <f t="shared" si="7"/>
        <v>900664.93488829059</v>
      </c>
      <c r="AO54" s="1349">
        <f t="shared" si="7"/>
        <v>942841.90626197751</v>
      </c>
      <c r="AP54" s="1349">
        <f t="shared" si="7"/>
        <v>1025250.4792635238</v>
      </c>
      <c r="AQ54" s="1349">
        <f t="shared" si="7"/>
        <v>1197364.5425581501</v>
      </c>
      <c r="AR54" s="1349">
        <f t="shared" si="7"/>
        <v>1565128.5680862567</v>
      </c>
      <c r="AS54" s="1349">
        <f t="shared" si="7"/>
        <v>1857613.3251917176</v>
      </c>
      <c r="AT54" s="1349">
        <f t="shared" si="7"/>
        <v>2132773.253029136</v>
      </c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</row>
    <row r="55" spans="1:66">
      <c r="A55" s="296" t="s">
        <v>754</v>
      </c>
      <c r="B55" s="295"/>
      <c r="C55" s="295">
        <f>Devel_Summary!D21</f>
        <v>134767.5</v>
      </c>
      <c r="D55" s="295">
        <f>Devel_Summary!E21</f>
        <v>959750</v>
      </c>
      <c r="E55" s="295">
        <f>Devel_Summary!F21</f>
        <v>1741250</v>
      </c>
      <c r="F55" s="295">
        <f>Devel_Summary!G21</f>
        <v>1155000</v>
      </c>
      <c r="G55" s="295">
        <f>Devel_Summary!H21</f>
        <v>1155000</v>
      </c>
      <c r="H55" s="295">
        <f>Devel_Summary!I21</f>
        <v>0</v>
      </c>
      <c r="I55" s="295">
        <f>Devel_Summary!J21</f>
        <v>0</v>
      </c>
      <c r="J55" s="295">
        <f>Devel_Summary!K21</f>
        <v>0</v>
      </c>
      <c r="K55" s="295">
        <f>Devel_Summary!L21</f>
        <v>0</v>
      </c>
      <c r="L55" s="295">
        <f>Devel_Summary!M21</f>
        <v>0</v>
      </c>
      <c r="M55" s="295">
        <f>Devel_Summary!N21</f>
        <v>0</v>
      </c>
      <c r="N55" s="295">
        <f>Devel_Summary!O21</f>
        <v>0</v>
      </c>
      <c r="O55" s="295">
        <f>Devel_Summary!P21</f>
        <v>0</v>
      </c>
      <c r="P55" s="295">
        <f>Devel_Summary!Q21</f>
        <v>0</v>
      </c>
      <c r="Q55" s="295">
        <f>Devel_Summary!R21</f>
        <v>0</v>
      </c>
      <c r="R55" s="295">
        <f>Devel_Summary!S21</f>
        <v>0</v>
      </c>
      <c r="S55" s="295">
        <f>Devel_Summary!T21</f>
        <v>0</v>
      </c>
      <c r="T55" s="295">
        <f>Devel_Summary!U21</f>
        <v>0</v>
      </c>
      <c r="U55" s="295">
        <f>Devel_Summary!V21</f>
        <v>0</v>
      </c>
      <c r="V55" s="295">
        <f>Devel_Summary!W21</f>
        <v>0</v>
      </c>
    </row>
    <row r="56" spans="1:66">
      <c r="A56" s="295" t="s">
        <v>768</v>
      </c>
      <c r="B56" s="295"/>
      <c r="C56" s="295"/>
      <c r="D56" s="295"/>
      <c r="E56" s="342">
        <f>82912.061018143+34000+800+12-1</f>
        <v>117723.06101814299</v>
      </c>
      <c r="F56" s="342">
        <f>9000+535+25-1</f>
        <v>9559</v>
      </c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</row>
    <row r="57" spans="1:66">
      <c r="A57" s="297" t="s">
        <v>742</v>
      </c>
      <c r="B57" s="1303">
        <v>500000</v>
      </c>
      <c r="C57" s="297">
        <v>0</v>
      </c>
      <c r="D57" s="297">
        <v>0</v>
      </c>
      <c r="E57" s="297">
        <v>0</v>
      </c>
      <c r="F57" s="297">
        <v>0</v>
      </c>
      <c r="G57" s="297">
        <v>0</v>
      </c>
      <c r="H57" s="297">
        <v>0</v>
      </c>
      <c r="I57" s="297">
        <v>0</v>
      </c>
      <c r="J57" s="297">
        <v>0</v>
      </c>
      <c r="K57" s="297">
        <v>0</v>
      </c>
      <c r="L57" s="297">
        <v>0</v>
      </c>
      <c r="M57" s="297">
        <v>0</v>
      </c>
      <c r="N57" s="297">
        <v>0</v>
      </c>
      <c r="O57" s="297">
        <v>0</v>
      </c>
      <c r="P57" s="297">
        <v>0</v>
      </c>
      <c r="Q57" s="297">
        <v>0</v>
      </c>
      <c r="R57" s="297">
        <v>0</v>
      </c>
      <c r="S57" s="297">
        <v>0</v>
      </c>
      <c r="T57" s="297">
        <v>0</v>
      </c>
      <c r="U57" s="297">
        <v>0</v>
      </c>
      <c r="V57" s="297">
        <v>0</v>
      </c>
    </row>
    <row r="58" spans="1:66">
      <c r="A58" s="628" t="s">
        <v>755</v>
      </c>
      <c r="B58" s="295"/>
      <c r="C58" s="295">
        <f>SUM(C53:C57)+B57</f>
        <v>643693.45932508458</v>
      </c>
      <c r="D58" s="295">
        <f t="shared" ref="D58:V58" si="8">SUM(D53:D57)</f>
        <v>-313011.15373857762</v>
      </c>
      <c r="E58" s="295">
        <f t="shared" si="8"/>
        <v>-330682.30549946043</v>
      </c>
      <c r="F58" s="295">
        <f t="shared" si="8"/>
        <v>1.4758931007236242E-2</v>
      </c>
      <c r="G58" s="295">
        <f t="shared" si="8"/>
        <v>49998.196141766384</v>
      </c>
      <c r="H58" s="295">
        <f t="shared" si="8"/>
        <v>624011.17768843845</v>
      </c>
      <c r="I58" s="295">
        <f t="shared" si="8"/>
        <v>649646.94948582049</v>
      </c>
      <c r="J58" s="295">
        <f t="shared" si="8"/>
        <v>682402.36382791505</v>
      </c>
      <c r="K58" s="295">
        <f t="shared" si="8"/>
        <v>736112.94427720248</v>
      </c>
      <c r="L58" s="295">
        <f t="shared" si="8"/>
        <v>813179.19292090205</v>
      </c>
      <c r="M58" s="295">
        <f t="shared" si="8"/>
        <v>831685.49853982113</v>
      </c>
      <c r="N58" s="295">
        <f t="shared" si="8"/>
        <v>833393.67588480283</v>
      </c>
      <c r="O58" s="295">
        <f t="shared" si="8"/>
        <v>852952.8658789898</v>
      </c>
      <c r="P58" s="295">
        <f t="shared" si="8"/>
        <v>900664.93488830794</v>
      </c>
      <c r="Q58" s="295">
        <f t="shared" si="8"/>
        <v>942841.90626199637</v>
      </c>
      <c r="R58" s="295">
        <f t="shared" si="8"/>
        <v>1025250.4792635447</v>
      </c>
      <c r="S58" s="295">
        <f t="shared" si="8"/>
        <v>1197364.542558173</v>
      </c>
      <c r="T58" s="295">
        <f t="shared" si="8"/>
        <v>1565128.5680862812</v>
      </c>
      <c r="U58" s="295">
        <f t="shared" si="8"/>
        <v>1857613.3251917439</v>
      </c>
      <c r="V58" s="295">
        <f t="shared" si="8"/>
        <v>2132773.2530291644</v>
      </c>
    </row>
    <row r="60" spans="1:66">
      <c r="A60" s="1333" t="s">
        <v>756</v>
      </c>
      <c r="B60" s="1310">
        <f>B57</f>
        <v>500000</v>
      </c>
      <c r="C60" s="1333">
        <f>C58</f>
        <v>643693.45932508458</v>
      </c>
      <c r="D60" s="1333">
        <f t="shared" ref="D60:V60" si="9">C60+D58</f>
        <v>330682.30558650696</v>
      </c>
      <c r="E60" s="1333">
        <f t="shared" si="9"/>
        <v>8.7046530097723007E-5</v>
      </c>
      <c r="F60" s="1333">
        <f t="shared" si="9"/>
        <v>1.4845977537333965E-2</v>
      </c>
      <c r="G60" s="1333">
        <f t="shared" si="9"/>
        <v>49998.210987743922</v>
      </c>
      <c r="H60" s="1333">
        <f t="shared" si="9"/>
        <v>674009.38867618237</v>
      </c>
      <c r="I60" s="1333">
        <f t="shared" si="9"/>
        <v>1323656.3381620029</v>
      </c>
      <c r="J60" s="1333">
        <f t="shared" si="9"/>
        <v>2006058.701989918</v>
      </c>
      <c r="K60" s="1333">
        <f t="shared" si="9"/>
        <v>2742171.6462671207</v>
      </c>
      <c r="L60" s="1333">
        <f t="shared" si="9"/>
        <v>3555350.8391880225</v>
      </c>
      <c r="M60" s="1333">
        <f t="shared" si="9"/>
        <v>4387036.3377278438</v>
      </c>
      <c r="N60" s="1333">
        <f t="shared" si="9"/>
        <v>5220430.0136126466</v>
      </c>
      <c r="O60" s="1333">
        <f t="shared" si="9"/>
        <v>6073382.8794916365</v>
      </c>
      <c r="P60" s="1333">
        <f t="shared" si="9"/>
        <v>6974047.8143799445</v>
      </c>
      <c r="Q60" s="1333">
        <f t="shared" si="9"/>
        <v>7916889.7206419408</v>
      </c>
      <c r="R60" s="1333">
        <f t="shared" si="9"/>
        <v>8942140.1999054849</v>
      </c>
      <c r="S60" s="1333">
        <f t="shared" si="9"/>
        <v>10139504.742463658</v>
      </c>
      <c r="T60" s="1333">
        <f t="shared" si="9"/>
        <v>11704633.310549939</v>
      </c>
      <c r="U60" s="1333">
        <f t="shared" si="9"/>
        <v>13562246.635741683</v>
      </c>
      <c r="V60" s="1333">
        <f t="shared" si="9"/>
        <v>15695019.888770847</v>
      </c>
    </row>
    <row r="61" spans="1:66" s="8" customForma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X61" s="35"/>
      <c r="Y61" s="35"/>
      <c r="Z61" s="35"/>
    </row>
    <row r="62" spans="1:66">
      <c r="A62" s="295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</row>
    <row r="63" spans="1:66">
      <c r="A63" s="509" t="s">
        <v>781</v>
      </c>
      <c r="B63" s="628"/>
      <c r="C63" s="628">
        <f>'NewCo_Summary Output'!$P$34*((NewCo_CF!B60+NewCo_CF!C60)/2)*(1-0.385)</f>
        <v>34030.660803608167</v>
      </c>
      <c r="D63" s="628">
        <f>'NewCo_Summary Output'!$P$34*((NewCo_CF!C60+NewCo_CF!D60)/2)*(1-0.385)</f>
        <v>28992.603639204324</v>
      </c>
      <c r="E63" s="1023">
        <v>0</v>
      </c>
      <c r="F63" s="1023">
        <v>0</v>
      </c>
      <c r="G63" s="628">
        <f>'NewCo_Summary Output'!$P$34*((NewCo_CF!F60+NewCo_CF!G60)/2)*(1-0.385)</f>
        <v>1487.6999166661722</v>
      </c>
      <c r="H63" s="628">
        <f>'NewCo_Summary Output'!$P$34*((NewCo_CF!G60+NewCo_CF!H60)/2)*(1-0.385)</f>
        <v>21542.885326927757</v>
      </c>
      <c r="I63" s="628">
        <f>'NewCo_Summary Output'!$P$34*((NewCo_CF!H60+NewCo_CF!I60)/2)*(1-0.385)</f>
        <v>59440.651858882775</v>
      </c>
      <c r="J63" s="628">
        <f>'NewCo_Summary Output'!$P$34*((NewCo_CF!I60+NewCo_CF!J60)/2)*(1-0.385)</f>
        <v>99075.851295809989</v>
      </c>
      <c r="K63" s="628">
        <f>'NewCo_Summary Output'!$P$34*((NewCo_CF!J60+NewCo_CF!K60)/2)*(1-0.385)</f>
        <v>141283.85108916179</v>
      </c>
      <c r="L63" s="628">
        <f>'NewCo_Summary Output'!$P$34*((NewCo_CF!K60+NewCo_CF!L60)/2)*(1-0.385)</f>
        <v>187383.12251264183</v>
      </c>
      <c r="M63" s="628">
        <f>'NewCo_Summary Output'!$P$34*((NewCo_CF!L60+NewCo_CF!M60)/2)*(1-0.385)</f>
        <v>236326.16046265676</v>
      </c>
      <c r="N63" s="628">
        <f>'NewCo_Summary Output'!$P$34*((NewCo_CF!M60+NewCo_CF!N60)/2)*(1-0.385)</f>
        <v>285870.681447707</v>
      </c>
      <c r="O63" s="628">
        <f>'NewCo_Summary Output'!$P$34*((NewCo_CF!N60+NewCo_CF!O60)/2)*(1-0.385)</f>
        <v>336048.01409938338</v>
      </c>
      <c r="P63" s="628">
        <f>'NewCo_Summary Output'!$P$34*((NewCo_CF!O60+NewCo_CF!P60)/2)*(1-0.385)</f>
        <v>388227.00670488237</v>
      </c>
      <c r="Q63" s="628">
        <f>'NewCo_Summary Output'!$P$34*((NewCo_CF!P60+NewCo_CF!Q60)/2)*(1-0.385)</f>
        <v>443080.65257371409</v>
      </c>
      <c r="R63" s="628">
        <f>'NewCo_Summary Output'!$P$34*((NewCo_CF!Q60+NewCo_CF!R60)/2)*(1-0.385)</f>
        <v>501641.34806069115</v>
      </c>
      <c r="S63" s="628">
        <f>'NewCo_Summary Output'!$P$34*((NewCo_CF!R60+NewCo_CF!S60)/2)*(1-0.385)</f>
        <v>567775.37837092287</v>
      </c>
      <c r="T63" s="628">
        <f>'NewCo_Summary Output'!$P$34*((NewCo_CF!S60+NewCo_CF!T60)/2)*(1-0.385)</f>
        <v>649973.51044393727</v>
      </c>
      <c r="U63" s="628">
        <f>'NewCo_Summary Output'!$P$34*((NewCo_CF!T60+NewCo_CF!U60)/2)*(1-0.385)</f>
        <v>751817.38079113676</v>
      </c>
      <c r="V63" s="628">
        <f>'NewCo_Summary Output'!$P$34*((NewCo_CF!U60+NewCo_CF!V60)/2)*(1-0.385)</f>
        <v>870551.54947200161</v>
      </c>
      <c r="Y63" s="35"/>
      <c r="Z63" s="35"/>
    </row>
    <row r="64" spans="1:66">
      <c r="A64" s="295"/>
      <c r="C64" s="334"/>
      <c r="D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Y64" s="35"/>
      <c r="Z64" s="35"/>
    </row>
    <row r="66" spans="1:46" s="313" customFormat="1">
      <c r="A66" s="509" t="s">
        <v>782</v>
      </c>
      <c r="B66" s="314"/>
      <c r="C66" s="276">
        <f>C67*'NewCo_Summary Output'!$P$34*(1-0.385)</f>
        <v>10815.958272129337</v>
      </c>
      <c r="D66" s="1348">
        <f>D67*'NewCo_Summary Output'!$P$34*(1-0.385)</f>
        <v>20692.959408738596</v>
      </c>
      <c r="E66" s="1348">
        <f>E67*'NewCo_Summary Output'!$P$34*(1-0.385)</f>
        <v>31699.660272589306</v>
      </c>
      <c r="F66" s="1348">
        <f>F67*'NewCo_Summary Output'!$P$34*(1-0.385)</f>
        <v>50815.994278973245</v>
      </c>
      <c r="G66" s="1348">
        <f>G67*'NewCo_Summary Output'!$P$34*(1-0.385)</f>
        <v>72144.074401006612</v>
      </c>
      <c r="H66" s="1348">
        <f>H67*'NewCo_Summary Output'!$P$34*(1-0.385)</f>
        <v>96226.404896715248</v>
      </c>
      <c r="I66" s="1348">
        <f>I67*'NewCo_Summary Output'!$P$34*(1-0.385)</f>
        <v>122120.68227762717</v>
      </c>
      <c r="J66" s="1348">
        <f>J67*'NewCo_Summary Output'!$P$34*(1-0.385)</f>
        <v>142895.50907629362</v>
      </c>
      <c r="K66" s="1348">
        <f>K67*'NewCo_Summary Output'!$P$34*(1-0.385)</f>
        <v>164085.63954461098</v>
      </c>
      <c r="L66" s="1348">
        <f>L67*'NewCo_Summary Output'!$P$34*(1-0.385)</f>
        <v>186440.44409398406</v>
      </c>
      <c r="M66" s="1348">
        <f>M67*'NewCo_Summary Output'!$P$34*(1-0.385)</f>
        <v>210748.4253335117</v>
      </c>
      <c r="N66" s="1348">
        <f>N67*'NewCo_Summary Output'!$P$34*(1-0.385)</f>
        <v>237706.82317843073</v>
      </c>
      <c r="O66" s="1348">
        <f>O67*'NewCo_Summary Output'!$P$34*(1-0.385)</f>
        <v>266328.7926788397</v>
      </c>
      <c r="P66" s="1348">
        <f>P67*'NewCo_Summary Output'!$P$34*(1-0.385)</f>
        <v>297176.22879684187</v>
      </c>
      <c r="Q66" s="1348">
        <f>Q67*'NewCo_Summary Output'!$P$34*(1-0.385)</f>
        <v>329685.33734668733</v>
      </c>
      <c r="R66" s="1348">
        <f>R67*'NewCo_Summary Output'!$P$34*(1-0.385)</f>
        <v>362865.9551607949</v>
      </c>
      <c r="S66" s="1348">
        <f>S67*'NewCo_Summary Output'!$P$34*(1-0.385)</f>
        <v>396454.31950307754</v>
      </c>
      <c r="T66" s="1348">
        <f>T67*'NewCo_Summary Output'!$P$34*(1-0.385)</f>
        <v>432192.31273507525</v>
      </c>
      <c r="U66" s="1348">
        <f>U67*'NewCo_Summary Output'!$P$34*(1-0.385)</f>
        <v>470801.66343843366</v>
      </c>
      <c r="V66" s="1348">
        <f>V67*'NewCo_Summary Output'!$P$34*(1-0.385)</f>
        <v>511983.99037013459</v>
      </c>
      <c r="W66" s="716"/>
      <c r="X66" s="722"/>
      <c r="Y66" s="720"/>
    </row>
    <row r="67" spans="1:46" s="313" customFormat="1">
      <c r="A67" s="313" t="s">
        <v>784</v>
      </c>
      <c r="C67" s="1342">
        <v>181749.93432475158</v>
      </c>
      <c r="D67" s="1342">
        <v>347721.75695372513</v>
      </c>
      <c r="E67" s="1342">
        <v>532676.90459809755</v>
      </c>
      <c r="F67" s="1342">
        <v>853905.25651797722</v>
      </c>
      <c r="G67" s="1342">
        <v>1212299.4980565461</v>
      </c>
      <c r="H67" s="1342">
        <v>1616975.7991163053</v>
      </c>
      <c r="I67" s="1342">
        <v>2052099.8163284317</v>
      </c>
      <c r="J67" s="1342">
        <v>2401197.2620901531</v>
      </c>
      <c r="K67" s="1342">
        <v>2757273.4158668993</v>
      </c>
      <c r="L67" s="1342">
        <v>3132920.5990814231</v>
      </c>
      <c r="M67" s="1342">
        <v>3541388.7054382795</v>
      </c>
      <c r="N67" s="1342">
        <v>3994394.0623875679</v>
      </c>
      <c r="O67" s="1342">
        <v>4475353.8577252626</v>
      </c>
      <c r="P67" s="1342">
        <v>4993710.1001842218</v>
      </c>
      <c r="Q67" s="1342">
        <v>5539988.866728263</v>
      </c>
      <c r="R67" s="1342">
        <v>6097551.586261712</v>
      </c>
      <c r="S67" s="1342">
        <v>6661966.0246029077</v>
      </c>
      <c r="T67" s="1342">
        <v>7262502.5429021101</v>
      </c>
      <c r="U67" s="1342">
        <v>7911288.9729254944</v>
      </c>
      <c r="V67" s="1342">
        <v>8603311.3556730524</v>
      </c>
      <c r="W67" s="716"/>
      <c r="X67" s="612"/>
      <c r="AA67" s="1343">
        <f>C33</f>
        <v>181749.93432475158</v>
      </c>
      <c r="AB67" s="1343">
        <f>AA67+D33</f>
        <v>347721.75695372513</v>
      </c>
      <c r="AC67" s="1343">
        <f t="shared" ref="AC67:AT67" si="10">AB67+E33</f>
        <v>532676.90459809732</v>
      </c>
      <c r="AD67" s="1343">
        <f t="shared" si="10"/>
        <v>853905.25651797582</v>
      </c>
      <c r="AE67" s="1343">
        <f t="shared" si="10"/>
        <v>1212299.4980565389</v>
      </c>
      <c r="AF67" s="1343">
        <f t="shared" si="10"/>
        <v>1616975.7991162725</v>
      </c>
      <c r="AG67" s="1343">
        <f t="shared" si="10"/>
        <v>2052099.8163283891</v>
      </c>
      <c r="AH67" s="1343">
        <f t="shared" si="10"/>
        <v>2401197.2620900688</v>
      </c>
      <c r="AI67" s="1343">
        <f t="shared" si="10"/>
        <v>2757273.4158667354</v>
      </c>
      <c r="AJ67" s="1343">
        <f t="shared" si="10"/>
        <v>3132920.5990811097</v>
      </c>
      <c r="AK67" s="1343">
        <f t="shared" si="10"/>
        <v>3541388.7054376905</v>
      </c>
      <c r="AL67" s="1343">
        <f t="shared" si="10"/>
        <v>3994394.0623864774</v>
      </c>
      <c r="AM67" s="1343">
        <f t="shared" si="10"/>
        <v>4475353.8577232733</v>
      </c>
      <c r="AN67" s="1343">
        <f t="shared" si="10"/>
        <v>4993710.100180652</v>
      </c>
      <c r="AO67" s="1343">
        <f t="shared" si="10"/>
        <v>5539988.8667219533</v>
      </c>
      <c r="AP67" s="1343">
        <f t="shared" si="10"/>
        <v>6097551.5862507271</v>
      </c>
      <c r="AQ67" s="1343">
        <f t="shared" si="10"/>
        <v>6661966.0245840643</v>
      </c>
      <c r="AR67" s="1343">
        <f t="shared" si="10"/>
        <v>7262502.542870244</v>
      </c>
      <c r="AS67" s="1343">
        <f t="shared" si="10"/>
        <v>7911288.9728723485</v>
      </c>
      <c r="AT67" s="1343">
        <f t="shared" si="10"/>
        <v>8603311.3555856012</v>
      </c>
    </row>
    <row r="68" spans="1:46" s="313" customFormat="1">
      <c r="B68" s="1341"/>
      <c r="C68" s="11"/>
      <c r="D68" s="11"/>
      <c r="E68" s="11"/>
      <c r="F68" s="11"/>
      <c r="G68" s="11"/>
      <c r="X68" s="723"/>
      <c r="Y68" s="723"/>
      <c r="Z68" s="723"/>
    </row>
    <row r="69" spans="1:46" s="313" customFormat="1">
      <c r="B69" s="1341"/>
      <c r="C69" s="11"/>
      <c r="D69" s="11"/>
      <c r="E69" s="11"/>
      <c r="F69" s="11"/>
      <c r="G69" s="11"/>
      <c r="X69" s="723"/>
      <c r="Y69" s="723"/>
      <c r="Z69" s="723"/>
    </row>
    <row r="70" spans="1:46" s="313" customFormat="1">
      <c r="B70" s="1341"/>
      <c r="C70" s="11"/>
      <c r="D70" s="11"/>
      <c r="E70" s="11"/>
      <c r="F70" s="11"/>
      <c r="G70" s="11"/>
      <c r="X70" s="723"/>
      <c r="Y70" s="723"/>
      <c r="Z70" s="723"/>
    </row>
    <row r="73" spans="1:46" s="313" customFormat="1">
      <c r="X73" s="723"/>
      <c r="Y73" s="723"/>
      <c r="Z73" s="723"/>
    </row>
    <row r="74" spans="1:46" s="313" customFormat="1">
      <c r="X74" s="723"/>
      <c r="Y74" s="723"/>
      <c r="Z74" s="723"/>
    </row>
    <row r="75" spans="1:46" s="313" customFormat="1">
      <c r="A75" s="299" t="s">
        <v>217</v>
      </c>
      <c r="B75" s="296"/>
      <c r="C75" s="296"/>
      <c r="D75" s="296"/>
      <c r="E75" s="296"/>
      <c r="F75" s="296"/>
      <c r="G75" s="296"/>
      <c r="X75" s="723"/>
      <c r="Y75" s="723"/>
      <c r="Z75" s="723"/>
    </row>
    <row r="76" spans="1:46" s="313" customFormat="1">
      <c r="A76" s="313" t="s">
        <v>789</v>
      </c>
      <c r="B76" s="296"/>
      <c r="C76" s="1353">
        <v>165109.99852147567</v>
      </c>
      <c r="D76" s="1353">
        <v>134136.50046168343</v>
      </c>
      <c r="E76" s="1353">
        <v>136186.43953269641</v>
      </c>
      <c r="F76" s="1353">
        <v>243049.89918299663</v>
      </c>
      <c r="G76" s="1353">
        <v>247403.35784470665</v>
      </c>
      <c r="H76" s="1353">
        <v>256635.67814171012</v>
      </c>
      <c r="I76" s="1353">
        <v>254709.66403230632</v>
      </c>
      <c r="J76" s="1353">
        <v>248326.92355098706</v>
      </c>
      <c r="K76" s="1353">
        <v>250442.36798389076</v>
      </c>
      <c r="L76" s="1353">
        <v>268123.78854604444</v>
      </c>
      <c r="M76" s="1353">
        <v>228578.33578301279</v>
      </c>
      <c r="N76" s="1353">
        <v>215298.5337703558</v>
      </c>
      <c r="O76" s="1353">
        <v>214631.00265795644</v>
      </c>
      <c r="P76" s="1353">
        <v>221180.01366053647</v>
      </c>
      <c r="Q76" s="1353">
        <v>216593.42919461391</v>
      </c>
      <c r="R76" s="1353">
        <v>194696.76436797867</v>
      </c>
      <c r="S76" s="1353">
        <v>167960.11883025928</v>
      </c>
      <c r="T76" s="1353">
        <v>168344.20555110474</v>
      </c>
      <c r="U76" s="1353">
        <v>177984.76656367109</v>
      </c>
      <c r="V76" s="1353">
        <v>180038.39234311751</v>
      </c>
      <c r="X76" s="723"/>
      <c r="Y76" s="723"/>
      <c r="Z76" s="723"/>
    </row>
    <row r="77" spans="1:46" s="313" customFormat="1">
      <c r="A77" s="313" t="s">
        <v>790</v>
      </c>
      <c r="B77" s="296"/>
      <c r="C77" s="1353">
        <v>205928.16206751979</v>
      </c>
      <c r="D77" s="1353">
        <v>273572.14290198835</v>
      </c>
      <c r="E77" s="1353">
        <v>229592.82961797938</v>
      </c>
      <c r="F77" s="1353">
        <v>263163.34323285474</v>
      </c>
      <c r="G77" s="1353">
        <v>251822.07454105827</v>
      </c>
      <c r="H77" s="1353">
        <v>228042.49454229925</v>
      </c>
      <c r="I77" s="1353">
        <v>208063.12746261095</v>
      </c>
      <c r="J77" s="1353">
        <v>202145.88781912299</v>
      </c>
      <c r="K77" s="1353">
        <v>187796.85738773382</v>
      </c>
      <c r="L77" s="1353">
        <v>184856.35298527381</v>
      </c>
      <c r="M77" s="1353">
        <v>197719.6810230689</v>
      </c>
      <c r="N77" s="1353">
        <v>215298.5337703558</v>
      </c>
      <c r="O77" s="1353">
        <v>214631.00265795644</v>
      </c>
      <c r="P77" s="1353">
        <v>221180.01366053647</v>
      </c>
      <c r="Q77" s="1353">
        <v>216593.42919461391</v>
      </c>
      <c r="R77" s="1353">
        <v>194696.76436797867</v>
      </c>
      <c r="S77" s="1353">
        <v>167960.11883025928</v>
      </c>
      <c r="T77" s="1353">
        <v>168344.20555110474</v>
      </c>
      <c r="U77" s="1353">
        <v>177984.76656367109</v>
      </c>
      <c r="V77" s="1353">
        <v>180038.39234311751</v>
      </c>
      <c r="X77" s="723"/>
      <c r="Y77" s="723"/>
      <c r="Z77" s="723"/>
    </row>
    <row r="78" spans="1:46" s="313" customFormat="1">
      <c r="B78" s="296"/>
      <c r="C78" s="296"/>
      <c r="D78" s="296"/>
      <c r="E78" s="296"/>
      <c r="F78" s="296"/>
      <c r="G78" s="296"/>
      <c r="X78" s="723"/>
      <c r="Y78" s="723"/>
      <c r="Z78" s="723"/>
    </row>
    <row r="79" spans="1:46" s="313" customFormat="1">
      <c r="B79" s="296"/>
      <c r="C79" s="296"/>
      <c r="D79" s="296"/>
      <c r="E79" s="296"/>
      <c r="F79" s="296"/>
      <c r="G79" s="296"/>
      <c r="X79" s="723"/>
      <c r="Y79" s="723"/>
      <c r="Z79" s="723"/>
    </row>
    <row r="80" spans="1:46" s="313" customFormat="1">
      <c r="B80" s="296"/>
      <c r="C80" s="296"/>
      <c r="D80" s="296"/>
      <c r="E80" s="296"/>
      <c r="F80" s="296"/>
      <c r="G80" s="296"/>
      <c r="X80" s="723"/>
      <c r="Y80" s="723"/>
      <c r="Z80" s="723"/>
    </row>
    <row r="81" spans="2:26" s="313" customFormat="1">
      <c r="B81" s="296"/>
      <c r="C81" s="296"/>
      <c r="D81" s="296"/>
      <c r="E81" s="296"/>
      <c r="F81" s="296"/>
      <c r="G81" s="296"/>
      <c r="X81" s="723"/>
      <c r="Y81" s="723"/>
      <c r="Z81" s="723"/>
    </row>
    <row r="82" spans="2:26" s="313" customFormat="1">
      <c r="X82" s="723"/>
      <c r="Y82" s="723"/>
      <c r="Z82" s="723"/>
    </row>
    <row r="83" spans="2:26" s="313" customFormat="1">
      <c r="X83" s="723"/>
      <c r="Y83" s="723"/>
      <c r="Z83" s="723"/>
    </row>
    <row r="84" spans="2:26" s="313" customFormat="1">
      <c r="X84" s="723"/>
      <c r="Y84" s="723"/>
      <c r="Z84" s="723"/>
    </row>
    <row r="85" spans="2:26" s="313" customFormat="1">
      <c r="X85" s="723"/>
      <c r="Y85" s="723"/>
      <c r="Z85" s="723"/>
    </row>
    <row r="86" spans="2:26" s="313" customFormat="1">
      <c r="X86" s="723"/>
      <c r="Y86" s="723"/>
      <c r="Z86" s="723"/>
    </row>
    <row r="87" spans="2:26" s="313" customFormat="1">
      <c r="X87" s="723"/>
      <c r="Y87" s="723"/>
      <c r="Z87" s="723"/>
    </row>
  </sheetData>
  <mergeCells count="1">
    <mergeCell ref="Y7:Z7"/>
  </mergeCells>
  <pageMargins left="0.5" right="0.5" top="0.75" bottom="0.5" header="0.25" footer="0.25"/>
  <pageSetup scale="4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6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2:AN61"/>
  <sheetViews>
    <sheetView zoomScale="75" zoomScaleNormal="75" workbookViewId="0"/>
  </sheetViews>
  <sheetFormatPr defaultRowHeight="12.75" outlineLevelRow="1"/>
  <cols>
    <col min="1" max="1" width="45.7109375" style="271" customWidth="1"/>
    <col min="2" max="21" width="11.7109375" style="271" customWidth="1"/>
    <col min="22" max="22" width="11.7109375" style="7" customWidth="1"/>
    <col min="23" max="25" width="11.7109375" style="345" customWidth="1"/>
    <col min="26" max="16384" width="9.140625" style="7"/>
  </cols>
  <sheetData>
    <row r="2" spans="1:25" ht="18.75">
      <c r="A2" s="303" t="s">
        <v>343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724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725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725"/>
    </row>
    <row r="5" spans="1:25" ht="14.2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  <c r="W5" s="715" t="s">
        <v>128</v>
      </c>
      <c r="X5" s="1356" t="s">
        <v>212</v>
      </c>
      <c r="Y5" s="1356"/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716"/>
      <c r="X6" s="612"/>
      <c r="Y6" s="717"/>
    </row>
    <row r="7" spans="1:25">
      <c r="A7" s="1350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716"/>
      <c r="X7" s="716"/>
      <c r="Y7" s="718"/>
    </row>
    <row r="8" spans="1:25" outlineLevel="1">
      <c r="A8" s="277" t="s">
        <v>331</v>
      </c>
      <c r="B8" s="316">
        <f>Brownsville!B126+Caledonia!B123+'New Albany'!B123+Gleason!B126+Wheatland!B131+Wilton!B120</f>
        <v>296.48996776542862</v>
      </c>
      <c r="C8" s="316">
        <f>Brownsville!C126+Caledonia!C123+'New Albany'!C123+Gleason!C126+Wheatland!C131+Wilton!C120</f>
        <v>297.14384874839146</v>
      </c>
      <c r="D8" s="316">
        <f>Brownsville!D126+Caledonia!D123+'New Albany'!D123+Gleason!D126+Wheatland!D131+Wilton!D120</f>
        <v>297.82074675234321</v>
      </c>
      <c r="E8" s="316">
        <f>Brownsville!E126+Caledonia!E123+'New Albany'!E123+Gleason!E126+Wheatland!E131+Wilton!E120</f>
        <v>540.19017382831646</v>
      </c>
      <c r="F8" s="316">
        <f>Brownsville!F126+Caledonia!F123+'New Albany'!F123+Gleason!F126+Wheatland!F131+Wilton!F120</f>
        <v>619.454528435866</v>
      </c>
      <c r="G8" s="316">
        <f>Brownsville!G126+Caledonia!G123+'New Albany'!G123+Gleason!G126+Wheatland!G131+Wilton!G120</f>
        <v>1002.2074053996364</v>
      </c>
      <c r="H8" s="316">
        <f>Brownsville!H126+Caledonia!H123+'New Albany'!H123+Gleason!H126+Wheatland!H131+Wilton!H120</f>
        <v>2112.3288499039859</v>
      </c>
      <c r="I8" s="316">
        <f>Brownsville!I126+Caledonia!I123+'New Albany'!I123+Gleason!I126+Wheatland!I131+Wilton!I120</f>
        <v>3601.8118901684611</v>
      </c>
      <c r="J8" s="316">
        <f>Brownsville!J126+Caledonia!J123+'New Albany'!J123+Gleason!J126+Wheatland!J131+Wilton!J120</f>
        <v>4377.5119914194947</v>
      </c>
      <c r="K8" s="316">
        <f>Brownsville!K126+Caledonia!K123+'New Albany'!K123+Gleason!K126+Wheatland!K131+Wilton!K120</f>
        <v>5820.7281481059999</v>
      </c>
      <c r="L8" s="316">
        <f>Brownsville!L126+Caledonia!L123+'New Albany'!L123+Gleason!L126+Wheatland!L131+Wilton!L120</f>
        <v>6484.3126882126508</v>
      </c>
      <c r="M8" s="316">
        <f>Brownsville!M126+Caledonia!M123+'New Albany'!M123+Gleason!M126+Wheatland!M131+Wilton!M120</f>
        <v>7066.8738002829596</v>
      </c>
      <c r="N8" s="316">
        <f>Brownsville!N126+Caledonia!N123+'New Albany'!N123+Gleason!N126+Wheatland!N131+Wilton!N120</f>
        <v>7655.9078513425957</v>
      </c>
      <c r="O8" s="316">
        <f>Brownsville!O126+Caledonia!O123+'New Albany'!O123+Gleason!O126+Wheatland!O131+Wilton!O120</f>
        <v>8233.6287257411623</v>
      </c>
      <c r="P8" s="316">
        <f>Brownsville!P126+Caledonia!P123+'New Albany'!P123+Gleason!P126+Wheatland!P131+Wilton!P120</f>
        <v>8804.7559713111368</v>
      </c>
      <c r="Q8" s="316">
        <f>Brownsville!Q126+Caledonia!Q123+'New Albany'!Q123+Gleason!Q126+Wheatland!Q131+Wilton!Q120</f>
        <v>11623.779694330489</v>
      </c>
      <c r="R8" s="316">
        <f>Brownsville!R126+Caledonia!R123+'New Albany'!R123+Gleason!R126+Wheatland!R131+Wilton!R120</f>
        <v>14430.370656311527</v>
      </c>
      <c r="S8" s="316">
        <f>Brownsville!S126+Caledonia!S123+'New Albany'!S123+Gleason!S126+Wheatland!S131+Wilton!S120</f>
        <v>14985.88505015766</v>
      </c>
      <c r="T8" s="316">
        <f>Brownsville!T126+Caledonia!T123+'New Albany'!T123+Gleason!T126+Wheatland!T131+Wilton!T120</f>
        <v>15493.063156340311</v>
      </c>
      <c r="U8" s="316">
        <f>Brownsville!U126+Caledonia!U123+'New Albany'!U123+Gleason!U126+Wheatland!U131+Wilton!U120</f>
        <v>16001.940873915519</v>
      </c>
      <c r="V8" s="634"/>
      <c r="W8" s="716">
        <f>SUM(B8:U8)</f>
        <v>129746.20601847392</v>
      </c>
      <c r="X8" s="716">
        <f>Brownsville!W126+Caledonia!W123+'New Albany'!W123+Gleason!W126+Wheatland!W131+Wilton!W120</f>
        <v>129746.20601847394</v>
      </c>
      <c r="Y8" s="718">
        <f>W8-X8</f>
        <v>0</v>
      </c>
    </row>
    <row r="9" spans="1:25" outlineLevel="1">
      <c r="A9" s="277" t="s">
        <v>346</v>
      </c>
      <c r="B9" s="316">
        <f>FPLE_Tax!C71</f>
        <v>0</v>
      </c>
      <c r="C9" s="316">
        <f>FPLE_Tax!D71</f>
        <v>0</v>
      </c>
      <c r="D9" s="316">
        <f>FPLE_Tax!E71</f>
        <v>0</v>
      </c>
      <c r="E9" s="316">
        <f>FPLE_Tax!F71</f>
        <v>0</v>
      </c>
      <c r="F9" s="316">
        <f>FPLE_Tax!G71</f>
        <v>0</v>
      </c>
      <c r="G9" s="316">
        <f>FPLE_Tax!H71</f>
        <v>0</v>
      </c>
      <c r="H9" s="316">
        <f>FPLE_Tax!I71</f>
        <v>0</v>
      </c>
      <c r="I9" s="316">
        <f>FPLE_Tax!J71</f>
        <v>0</v>
      </c>
      <c r="J9" s="316">
        <f>FPLE_Tax!K71</f>
        <v>0</v>
      </c>
      <c r="K9" s="316">
        <f>FPLE_Tax!L71</f>
        <v>1132.4206040853587</v>
      </c>
      <c r="L9" s="316">
        <f>FPLE_Tax!M71</f>
        <v>7256.3827958189668</v>
      </c>
      <c r="M9" s="316">
        <f>FPLE_Tax!N71</f>
        <v>5571.928481601004</v>
      </c>
      <c r="N9" s="316">
        <f>FPLE_Tax!O71</f>
        <v>7250.802287516367</v>
      </c>
      <c r="O9" s="316">
        <f>FPLE_Tax!P71</f>
        <v>9567.57971502494</v>
      </c>
      <c r="P9" s="316">
        <f>FPLE_Tax!Q71</f>
        <v>9456.8525772082012</v>
      </c>
      <c r="Q9" s="316">
        <f>FPLE_Tax!R71</f>
        <v>12047.984191008845</v>
      </c>
      <c r="R9" s="316">
        <f>FPLE_Tax!S71</f>
        <v>10598.943052732553</v>
      </c>
      <c r="S9" s="316">
        <f>FPLE_Tax!T71</f>
        <v>11530.378299311154</v>
      </c>
      <c r="T9" s="316">
        <f>FPLE_Tax!U71</f>
        <v>13908.519952570427</v>
      </c>
      <c r="U9" s="316">
        <f>FPLE_Tax!V71</f>
        <v>13516.856772583677</v>
      </c>
      <c r="V9" s="634"/>
      <c r="W9" s="716">
        <f>SUM(B9:U9)</f>
        <v>101838.64872946149</v>
      </c>
      <c r="X9" s="716">
        <f>SUM(FPLE_Tax!C71:V71)</f>
        <v>101838.64872946149</v>
      </c>
      <c r="Y9" s="718">
        <f>W9-X9</f>
        <v>0</v>
      </c>
    </row>
    <row r="10" spans="1:25" ht="13.5" thickBot="1">
      <c r="A10" s="314" t="s">
        <v>785</v>
      </c>
      <c r="B10" s="635">
        <f t="shared" ref="B10:U10" si="0">SUM(B8:B9)</f>
        <v>296.48996776542862</v>
      </c>
      <c r="C10" s="635">
        <f t="shared" si="0"/>
        <v>297.14384874839146</v>
      </c>
      <c r="D10" s="635">
        <f t="shared" si="0"/>
        <v>297.82074675234321</v>
      </c>
      <c r="E10" s="635">
        <f t="shared" si="0"/>
        <v>540.19017382831646</v>
      </c>
      <c r="F10" s="635">
        <f t="shared" si="0"/>
        <v>619.454528435866</v>
      </c>
      <c r="G10" s="635">
        <f t="shared" si="0"/>
        <v>1002.2074053996364</v>
      </c>
      <c r="H10" s="635">
        <f t="shared" si="0"/>
        <v>2112.3288499039859</v>
      </c>
      <c r="I10" s="635">
        <f t="shared" si="0"/>
        <v>3601.8118901684611</v>
      </c>
      <c r="J10" s="635">
        <f t="shared" si="0"/>
        <v>4377.5119914194947</v>
      </c>
      <c r="K10" s="635">
        <f t="shared" si="0"/>
        <v>6953.1487521913587</v>
      </c>
      <c r="L10" s="635">
        <f t="shared" si="0"/>
        <v>13740.695484031618</v>
      </c>
      <c r="M10" s="635">
        <f t="shared" si="0"/>
        <v>12638.802281883964</v>
      </c>
      <c r="N10" s="635">
        <f t="shared" si="0"/>
        <v>14906.710138858962</v>
      </c>
      <c r="O10" s="635">
        <f t="shared" si="0"/>
        <v>17801.208440766102</v>
      </c>
      <c r="P10" s="635">
        <f t="shared" si="0"/>
        <v>18261.60854851934</v>
      </c>
      <c r="Q10" s="635">
        <f t="shared" si="0"/>
        <v>23671.763885339336</v>
      </c>
      <c r="R10" s="635">
        <f t="shared" si="0"/>
        <v>25029.31370904408</v>
      </c>
      <c r="S10" s="635">
        <f t="shared" si="0"/>
        <v>26516.263349468813</v>
      </c>
      <c r="T10" s="635">
        <f t="shared" si="0"/>
        <v>29401.583108910738</v>
      </c>
      <c r="U10" s="635">
        <f t="shared" si="0"/>
        <v>29518.797646499195</v>
      </c>
      <c r="V10" s="636"/>
      <c r="W10" s="716">
        <f>SUM(B10:U10)</f>
        <v>231584.85474793543</v>
      </c>
      <c r="X10" s="716">
        <f>X8+X9</f>
        <v>231584.85474793543</v>
      </c>
      <c r="Y10" s="718">
        <f>W10-X10</f>
        <v>0</v>
      </c>
    </row>
    <row r="11" spans="1:25">
      <c r="A11" s="314"/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636"/>
      <c r="W11" s="716"/>
      <c r="X11" s="716"/>
      <c r="Y11" s="718"/>
    </row>
    <row r="12" spans="1:25">
      <c r="A12" s="598"/>
      <c r="B12" s="316"/>
      <c r="C12" s="316"/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637"/>
      <c r="W12" s="716"/>
      <c r="X12" s="716"/>
      <c r="Y12" s="718"/>
    </row>
    <row r="13" spans="1:25">
      <c r="A13" s="1350" t="s">
        <v>345</v>
      </c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317"/>
      <c r="W13" s="716"/>
      <c r="X13" s="716"/>
      <c r="Y13" s="718"/>
    </row>
    <row r="14" spans="1:25">
      <c r="A14" s="633"/>
      <c r="B14" s="296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317"/>
      <c r="W14" s="716"/>
      <c r="X14" s="716"/>
      <c r="Y14" s="718"/>
    </row>
    <row r="15" spans="1:25">
      <c r="A15" s="277" t="s">
        <v>335</v>
      </c>
      <c r="B15" s="296">
        <f>NewCo_CF!C10</f>
        <v>123624.03367595081</v>
      </c>
      <c r="C15" s="296">
        <f>NewCo_CF!D10</f>
        <v>123040.16414335201</v>
      </c>
      <c r="D15" s="296">
        <f>NewCo_CF!E10</f>
        <v>122528.82101623941</v>
      </c>
      <c r="E15" s="296">
        <f>NewCo_CF!F10</f>
        <v>208898.30003993292</v>
      </c>
      <c r="F15" s="296">
        <f>NewCo_CF!G10</f>
        <v>219835.48571459821</v>
      </c>
      <c r="G15" s="296">
        <f>NewCo_CF!H10</f>
        <v>223020.10910985898</v>
      </c>
      <c r="H15" s="296">
        <f>NewCo_CF!I10</f>
        <v>226306.69628506326</v>
      </c>
      <c r="I15" s="296">
        <f>NewCo_CF!J10</f>
        <v>229700.32015338406</v>
      </c>
      <c r="J15" s="296">
        <f>NewCo_CF!K10</f>
        <v>233268.60972890729</v>
      </c>
      <c r="K15" s="296">
        <f>NewCo_CF!L10</f>
        <v>235988.5932867979</v>
      </c>
      <c r="L15" s="296">
        <f>NewCo_CF!M10</f>
        <v>240410.20860099664</v>
      </c>
      <c r="M15" s="296">
        <f>NewCo_CF!N10</f>
        <v>245095.57628469079</v>
      </c>
      <c r="N15" s="296">
        <f>NewCo_CF!O10</f>
        <v>249350.73879004439</v>
      </c>
      <c r="O15" s="296">
        <f>NewCo_CF!P10</f>
        <v>253772.3489547327</v>
      </c>
      <c r="P15" s="296">
        <f>NewCo_CF!Q10</f>
        <v>257772.04886117522</v>
      </c>
      <c r="Q15" s="296">
        <f>NewCo_CF!R10</f>
        <v>261928.1366757263</v>
      </c>
      <c r="R15" s="296">
        <f>NewCo_CF!S10</f>
        <v>265529.08366466878</v>
      </c>
      <c r="S15" s="296">
        <f>NewCo_CF!T10</f>
        <v>269171.90668593551</v>
      </c>
      <c r="T15" s="296">
        <f>NewCo_CF!U10</f>
        <v>272856.91380543611</v>
      </c>
      <c r="U15" s="296">
        <f>NewCo_CF!V10</f>
        <v>276593.78266094258</v>
      </c>
      <c r="V15" s="317"/>
      <c r="W15" s="716">
        <f>SUM(B15:U15)</f>
        <v>4538691.8781384332</v>
      </c>
      <c r="X15" s="716">
        <f>ENA_CF!$W$10</f>
        <v>4538691.8781384332</v>
      </c>
      <c r="Y15" s="718">
        <f>W15-X15</f>
        <v>0</v>
      </c>
    </row>
    <row r="16" spans="1:25">
      <c r="A16" s="277" t="s">
        <v>346</v>
      </c>
      <c r="B16" s="297">
        <f>NewCo_CF!C11</f>
        <v>370873.13121855934</v>
      </c>
      <c r="C16" s="297">
        <f>NewCo_CF!D11</f>
        <v>333116.63689174165</v>
      </c>
      <c r="D16" s="297">
        <f>NewCo_CF!E11</f>
        <v>341215.56702612643</v>
      </c>
      <c r="E16" s="297">
        <f>NewCo_CF!F11</f>
        <v>365553.57617057109</v>
      </c>
      <c r="F16" s="297">
        <f>NewCo_CF!G11</f>
        <v>367143.13220870157</v>
      </c>
      <c r="G16" s="297">
        <f>NewCo_CF!H11</f>
        <v>385859.70640254871</v>
      </c>
      <c r="H16" s="297">
        <f>NewCo_CF!I11</f>
        <v>373673.76139679283</v>
      </c>
      <c r="I16" s="297">
        <f>NewCo_CF!J11</f>
        <v>358774.72067538439</v>
      </c>
      <c r="J16" s="297">
        <f>NewCo_CF!K11</f>
        <v>362094.20073048549</v>
      </c>
      <c r="K16" s="297">
        <f>NewCo_CF!L11</f>
        <v>399575.78911545442</v>
      </c>
      <c r="L16" s="297">
        <f>NewCo_CF!M11</f>
        <v>383122.79129371274</v>
      </c>
      <c r="M16" s="297">
        <f>NewCo_CF!N11</f>
        <v>346174.69962349755</v>
      </c>
      <c r="N16" s="297">
        <f>NewCo_CF!O11</f>
        <v>373463.8910567367</v>
      </c>
      <c r="O16" s="297">
        <f>NewCo_CF!P11</f>
        <v>409477.33307518705</v>
      </c>
      <c r="P16" s="297">
        <f>NewCo_CF!Q11</f>
        <v>399795.47358727804</v>
      </c>
      <c r="Q16" s="297">
        <f>NewCo_CF!R11</f>
        <v>419435.93160907994</v>
      </c>
      <c r="R16" s="297">
        <f>NewCo_CF!S11</f>
        <v>362242.12176054216</v>
      </c>
      <c r="S16" s="297">
        <f>NewCo_CF!T11</f>
        <v>353966.10588849382</v>
      </c>
      <c r="T16" s="297">
        <f>NewCo_CF!U11</f>
        <v>385448.88802843948</v>
      </c>
      <c r="U16" s="297">
        <f>NewCo_CF!V11</f>
        <v>366682.21336082846</v>
      </c>
      <c r="V16" s="317"/>
      <c r="W16" s="716">
        <f>SUM(B16:U16)</f>
        <v>7457689.6711201621</v>
      </c>
      <c r="X16" s="716">
        <f>FPLE_IS!X8</f>
        <v>7457689.6711201621</v>
      </c>
      <c r="Y16" s="718">
        <f>W16-X16</f>
        <v>0</v>
      </c>
    </row>
    <row r="17" spans="1:25">
      <c r="A17" s="509" t="s">
        <v>336</v>
      </c>
      <c r="B17" s="315">
        <f>B15+B16</f>
        <v>494497.16489451018</v>
      </c>
      <c r="C17" s="315">
        <f t="shared" ref="C17:U17" si="1">C15+C16</f>
        <v>456156.80103509367</v>
      </c>
      <c r="D17" s="315">
        <f t="shared" si="1"/>
        <v>463744.38804236584</v>
      </c>
      <c r="E17" s="315">
        <f t="shared" si="1"/>
        <v>574451.87621050398</v>
      </c>
      <c r="F17" s="315">
        <f t="shared" si="1"/>
        <v>586978.61792329978</v>
      </c>
      <c r="G17" s="315">
        <f t="shared" si="1"/>
        <v>608879.81551240769</v>
      </c>
      <c r="H17" s="315">
        <f t="shared" si="1"/>
        <v>599980.45768185612</v>
      </c>
      <c r="I17" s="315">
        <f t="shared" si="1"/>
        <v>588475.0408287684</v>
      </c>
      <c r="J17" s="315">
        <f t="shared" si="1"/>
        <v>595362.81045939284</v>
      </c>
      <c r="K17" s="315">
        <f t="shared" si="1"/>
        <v>635564.38240225229</v>
      </c>
      <c r="L17" s="315">
        <f t="shared" si="1"/>
        <v>623532.99989470933</v>
      </c>
      <c r="M17" s="315">
        <f t="shared" si="1"/>
        <v>591270.27590818831</v>
      </c>
      <c r="N17" s="315">
        <f t="shared" si="1"/>
        <v>622814.62984678103</v>
      </c>
      <c r="O17" s="315">
        <f t="shared" si="1"/>
        <v>663249.6820299197</v>
      </c>
      <c r="P17" s="315">
        <f t="shared" si="1"/>
        <v>657567.52244845324</v>
      </c>
      <c r="Q17" s="315">
        <f t="shared" si="1"/>
        <v>681364.06828480621</v>
      </c>
      <c r="R17" s="315">
        <f t="shared" si="1"/>
        <v>627771.205425211</v>
      </c>
      <c r="S17" s="315">
        <f t="shared" si="1"/>
        <v>623138.01257442939</v>
      </c>
      <c r="T17" s="315">
        <f t="shared" si="1"/>
        <v>658305.80183387559</v>
      </c>
      <c r="U17" s="315">
        <f t="shared" si="1"/>
        <v>643275.99602177111</v>
      </c>
      <c r="V17" s="317"/>
      <c r="W17" s="716">
        <f>SUM(B17:U17)</f>
        <v>11996381.549258595</v>
      </c>
      <c r="X17" s="716">
        <f>X15+X16</f>
        <v>11996381.549258595</v>
      </c>
      <c r="Y17" s="718">
        <f>W17-X17</f>
        <v>0</v>
      </c>
    </row>
    <row r="18" spans="1:25">
      <c r="A18" s="509"/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315"/>
      <c r="T18" s="315"/>
      <c r="U18" s="315"/>
      <c r="V18" s="317"/>
      <c r="W18" s="716"/>
      <c r="X18" s="716"/>
      <c r="Y18" s="718"/>
    </row>
    <row r="19" spans="1:25">
      <c r="A19" s="4" t="s">
        <v>633</v>
      </c>
      <c r="B19" s="296">
        <f>-NewCo_IS!B13</f>
        <v>-38000</v>
      </c>
      <c r="C19" s="296">
        <f>-NewCo_IS!C13</f>
        <v>-39140</v>
      </c>
      <c r="D19" s="296">
        <f>-NewCo_IS!D13</f>
        <v>-40314.200000000004</v>
      </c>
      <c r="E19" s="296">
        <f>-NewCo_IS!E13</f>
        <v>-41523.626000000004</v>
      </c>
      <c r="F19" s="296">
        <f>-NewCo_IS!F13</f>
        <v>-42769.334780000005</v>
      </c>
      <c r="G19" s="296">
        <f>-NewCo_IS!G13</f>
        <v>-44052.414823400009</v>
      </c>
      <c r="H19" s="296">
        <f>-NewCo_IS!H13</f>
        <v>-45373.987268102013</v>
      </c>
      <c r="I19" s="296">
        <f>-NewCo_IS!I13</f>
        <v>-46735.206886145075</v>
      </c>
      <c r="J19" s="296">
        <f>-NewCo_IS!J13</f>
        <v>-48137.26309272943</v>
      </c>
      <c r="K19" s="296">
        <f>-NewCo_IS!K13</f>
        <v>-49581.380985511314</v>
      </c>
      <c r="L19" s="296">
        <f>-NewCo_IS!L13</f>
        <v>-51068.822415076655</v>
      </c>
      <c r="M19" s="296">
        <f>-NewCo_IS!M13</f>
        <v>-52600.887087528958</v>
      </c>
      <c r="N19" s="296">
        <f>-NewCo_IS!N13</f>
        <v>-54178.91370015483</v>
      </c>
      <c r="O19" s="296">
        <f>-NewCo_IS!O13</f>
        <v>-55804.281111159478</v>
      </c>
      <c r="P19" s="296">
        <f>-NewCo_IS!P13</f>
        <v>-57478.409544494265</v>
      </c>
      <c r="Q19" s="296">
        <f>-NewCo_IS!Q13</f>
        <v>-59202.761830829091</v>
      </c>
      <c r="R19" s="296">
        <f>-NewCo_IS!R13</f>
        <v>-60978.844685753967</v>
      </c>
      <c r="S19" s="296">
        <f>-NewCo_IS!S13</f>
        <v>-62808.210026326589</v>
      </c>
      <c r="T19" s="296">
        <f>-NewCo_IS!T13</f>
        <v>-64692.456327116386</v>
      </c>
      <c r="U19" s="296">
        <f>-NewCo_IS!U13</f>
        <v>-66633.230016929883</v>
      </c>
      <c r="V19" s="317"/>
      <c r="W19" s="716">
        <f>SUM(B19:U19)</f>
        <v>-1021074.2305812578</v>
      </c>
      <c r="X19" s="716">
        <f>-NewCo_IS!X13</f>
        <v>-1021074.230581258</v>
      </c>
      <c r="Y19" s="718">
        <f>W19-X19</f>
        <v>0</v>
      </c>
    </row>
    <row r="20" spans="1:25">
      <c r="A20" s="4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716"/>
      <c r="X20" s="716"/>
      <c r="Y20" s="718"/>
    </row>
    <row r="21" spans="1:25" outlineLevel="1">
      <c r="A21" s="277" t="s">
        <v>751</v>
      </c>
      <c r="B21" s="296">
        <f>NewCo_CF!C16</f>
        <v>25861.840802709379</v>
      </c>
      <c r="C21" s="296">
        <f>NewCo_CF!D16</f>
        <v>26242.181333865115</v>
      </c>
      <c r="D21" s="296">
        <f>NewCo_CF!E16</f>
        <v>25700.701317067131</v>
      </c>
      <c r="E21" s="296">
        <f>NewCo_CF!F16</f>
        <v>25203.179520255075</v>
      </c>
      <c r="F21" s="296">
        <f>NewCo_CF!G16</f>
        <v>25241.108558434502</v>
      </c>
      <c r="G21" s="296">
        <f>NewCo_CF!H16</f>
        <v>25357.684644168701</v>
      </c>
      <c r="H21" s="296">
        <f>NewCo_CF!I16</f>
        <v>24537.558009302829</v>
      </c>
      <c r="I21" s="296">
        <f>NewCo_CF!J16</f>
        <v>23715.818635935801</v>
      </c>
      <c r="J21" s="296">
        <f>NewCo_CF!K16</f>
        <v>22396.536552243011</v>
      </c>
      <c r="K21" s="296">
        <f>NewCo_CF!L16</f>
        <v>21455.242143802039</v>
      </c>
      <c r="L21" s="296">
        <f>NewCo_CF!M16</f>
        <v>20207.867562188327</v>
      </c>
      <c r="M21" s="296">
        <f>NewCo_CF!N16</f>
        <v>18865.326678486977</v>
      </c>
      <c r="N21" s="296">
        <f>NewCo_CF!O16</f>
        <v>17523.392600423122</v>
      </c>
      <c r="O21" s="296">
        <f>NewCo_CF!P16</f>
        <v>17699.438125699147</v>
      </c>
      <c r="P21" s="296">
        <f>NewCo_CF!Q16</f>
        <v>15925.631503276634</v>
      </c>
      <c r="Q21" s="296">
        <f>NewCo_CF!R16</f>
        <v>15752.951751480348</v>
      </c>
      <c r="R21" s="296">
        <f>NewCo_CF!S16</f>
        <v>16217.008757022881</v>
      </c>
      <c r="S21" s="296">
        <f>NewCo_CF!T16</f>
        <v>15669.799678290547</v>
      </c>
      <c r="T21" s="296">
        <f>NewCo_CF!U16</f>
        <v>15229.828951736323</v>
      </c>
      <c r="U21" s="296">
        <f>NewCo_CF!V16</f>
        <v>15135.193160610284</v>
      </c>
      <c r="V21" s="317"/>
      <c r="W21" s="716">
        <f>SUM(B21:U21)</f>
        <v>413938.29028699821</v>
      </c>
      <c r="X21" s="716">
        <f>FPLE_CF!X12</f>
        <v>413938.29028699821</v>
      </c>
      <c r="Y21" s="718">
        <f>W21-X21</f>
        <v>0</v>
      </c>
    </row>
    <row r="22" spans="1:25" outlineLevel="1">
      <c r="A22" s="277" t="s">
        <v>347</v>
      </c>
      <c r="B22" s="296">
        <f>-NewCo_IS!B23</f>
        <v>-80195.063655030797</v>
      </c>
      <c r="C22" s="296">
        <f>-NewCo_IS!C23</f>
        <v>-78991.765229294993</v>
      </c>
      <c r="D22" s="296">
        <f>-NewCo_IS!D23</f>
        <v>-77294.472108145099</v>
      </c>
      <c r="E22" s="296">
        <f>-NewCo_IS!E23</f>
        <v>-75962.102669404514</v>
      </c>
      <c r="F22" s="296">
        <f>-NewCo_IS!F23</f>
        <v>-73604.857221081445</v>
      </c>
      <c r="G22" s="296">
        <f>-NewCo_IS!G23</f>
        <v>-70810.911430527034</v>
      </c>
      <c r="H22" s="296">
        <f>-NewCo_IS!H23</f>
        <v>-67670.892539356602</v>
      </c>
      <c r="I22" s="296">
        <f>-NewCo_IS!I23</f>
        <v>-64385.85626283368</v>
      </c>
      <c r="J22" s="296">
        <f>-NewCo_IS!J23</f>
        <v>-60305.328678986989</v>
      </c>
      <c r="K22" s="296">
        <f>-NewCo_IS!K23</f>
        <v>-55783.800136892532</v>
      </c>
      <c r="L22" s="296">
        <f>-NewCo_IS!L23</f>
        <v>-51026.119096509239</v>
      </c>
      <c r="M22" s="296">
        <f>-NewCo_IS!M23</f>
        <v>-45838.663928815877</v>
      </c>
      <c r="N22" s="296">
        <f>-NewCo_IS!N23</f>
        <v>-40393.401779603009</v>
      </c>
      <c r="O22" s="296">
        <f>-NewCo_IS!O23</f>
        <v>-35077.043121149894</v>
      </c>
      <c r="P22" s="296">
        <f>-NewCo_IS!P23</f>
        <v>-29693.683778234088</v>
      </c>
      <c r="Q22" s="296">
        <f>-NewCo_IS!Q23</f>
        <v>-24114.420260095823</v>
      </c>
      <c r="R22" s="296">
        <f>-NewCo_IS!R23</f>
        <v>-18196.511978097195</v>
      </c>
      <c r="S22" s="296">
        <f>-NewCo_IS!S23</f>
        <v>-12616.520191649557</v>
      </c>
      <c r="T22" s="296">
        <f>-NewCo_IS!T23</f>
        <v>-7831.7973990417522</v>
      </c>
      <c r="U22" s="296">
        <f>-NewCo_IS!U23</f>
        <v>-3058.7268993839834</v>
      </c>
      <c r="V22" s="317"/>
      <c r="W22" s="716">
        <f>SUM(B22:U22)</f>
        <v>-972851.93836413382</v>
      </c>
      <c r="X22" s="716">
        <f>-ENA_IS!$W$38</f>
        <v>-972851.93836413382</v>
      </c>
      <c r="Y22" s="718">
        <f>W22-X22</f>
        <v>0</v>
      </c>
    </row>
    <row r="23" spans="1:25" outlineLevel="1">
      <c r="A23" s="277" t="s">
        <v>348</v>
      </c>
      <c r="B23" s="297">
        <f>-NewCo_IS!B24</f>
        <v>-184549.0546541065</v>
      </c>
      <c r="C23" s="297">
        <f>-NewCo_IS!C24</f>
        <v>-179130.9404425502</v>
      </c>
      <c r="D23" s="297">
        <f>-NewCo_IS!D24</f>
        <v>-175474.49504439029</v>
      </c>
      <c r="E23" s="297">
        <f>-NewCo_IS!E24</f>
        <v>-171138.44247438517</v>
      </c>
      <c r="F23" s="297">
        <f>-NewCo_IS!F24</f>
        <v>-166047.31273794948</v>
      </c>
      <c r="G23" s="297">
        <f>-NewCo_IS!G24</f>
        <v>-160029.51498107231</v>
      </c>
      <c r="H23" s="297">
        <f>-NewCo_IS!H24</f>
        <v>-152436.27410435051</v>
      </c>
      <c r="I23" s="297">
        <f>-NewCo_IS!I24</f>
        <v>-144998.58520638745</v>
      </c>
      <c r="J23" s="297">
        <f>-NewCo_IS!J24</f>
        <v>-137484.01268459045</v>
      </c>
      <c r="K23" s="297">
        <f>-NewCo_IS!K24</f>
        <v>-129017.53010049881</v>
      </c>
      <c r="L23" s="297">
        <f>-NewCo_IS!L24</f>
        <v>-118724.76659258787</v>
      </c>
      <c r="M23" s="297">
        <f>-NewCo_IS!M24</f>
        <v>-110618.72649701399</v>
      </c>
      <c r="N23" s="297">
        <f>-NewCo_IS!N24</f>
        <v>-104221.95303321518</v>
      </c>
      <c r="O23" s="297">
        <f>-NewCo_IS!O24</f>
        <v>-96219.551254918188</v>
      </c>
      <c r="P23" s="297">
        <f>-NewCo_IS!P24</f>
        <v>-85585.371363600905</v>
      </c>
      <c r="Q23" s="297">
        <f>-NewCo_IS!Q24</f>
        <v>-74810.879999590077</v>
      </c>
      <c r="R23" s="297">
        <f>-NewCo_IS!R24</f>
        <v>-62799.624295338435</v>
      </c>
      <c r="S23" s="297">
        <f>-NewCo_IS!S24</f>
        <v>-52390.498469753118</v>
      </c>
      <c r="T23" s="297">
        <f>-NewCo_IS!T24</f>
        <v>-41289.183638880742</v>
      </c>
      <c r="U23" s="297">
        <f>-NewCo_IS!U24</f>
        <v>-28301.507931847995</v>
      </c>
      <c r="V23" s="317"/>
      <c r="W23" s="716">
        <f>SUM(B23:U23)</f>
        <v>-2375268.2255070279</v>
      </c>
      <c r="X23" s="716">
        <f>-(FPLE_IS!Y39+FPLE_IS!Y41)</f>
        <v>-2375268.2255070275</v>
      </c>
      <c r="Y23" s="718">
        <f>W23-X23</f>
        <v>0</v>
      </c>
    </row>
    <row r="24" spans="1:25">
      <c r="A24" s="4" t="s">
        <v>349</v>
      </c>
      <c r="B24" s="296">
        <f>B22+B23</f>
        <v>-264744.1183091373</v>
      </c>
      <c r="C24" s="296">
        <f t="shared" ref="C24:U24" si="2">C22+C23</f>
        <v>-258122.70567184518</v>
      </c>
      <c r="D24" s="296">
        <f t="shared" si="2"/>
        <v>-252768.96715253539</v>
      </c>
      <c r="E24" s="296">
        <f t="shared" si="2"/>
        <v>-247100.54514378967</v>
      </c>
      <c r="F24" s="296">
        <f t="shared" si="2"/>
        <v>-239652.16995903093</v>
      </c>
      <c r="G24" s="296">
        <f t="shared" si="2"/>
        <v>-230840.42641159933</v>
      </c>
      <c r="H24" s="296">
        <f t="shared" si="2"/>
        <v>-220107.16664370711</v>
      </c>
      <c r="I24" s="296">
        <f t="shared" si="2"/>
        <v>-209384.44146922114</v>
      </c>
      <c r="J24" s="296">
        <f t="shared" si="2"/>
        <v>-197789.34136357743</v>
      </c>
      <c r="K24" s="296">
        <f t="shared" si="2"/>
        <v>-184801.33023739135</v>
      </c>
      <c r="L24" s="296">
        <f t="shared" si="2"/>
        <v>-169750.88568909711</v>
      </c>
      <c r="M24" s="296">
        <f t="shared" si="2"/>
        <v>-156457.39042582986</v>
      </c>
      <c r="N24" s="296">
        <f t="shared" si="2"/>
        <v>-144615.35481281817</v>
      </c>
      <c r="O24" s="296">
        <f t="shared" si="2"/>
        <v>-131296.5943760681</v>
      </c>
      <c r="P24" s="296">
        <f t="shared" si="2"/>
        <v>-115279.05514183499</v>
      </c>
      <c r="Q24" s="296">
        <f t="shared" si="2"/>
        <v>-98925.300259685901</v>
      </c>
      <c r="R24" s="296">
        <f t="shared" si="2"/>
        <v>-80996.136273435637</v>
      </c>
      <c r="S24" s="296">
        <f t="shared" si="2"/>
        <v>-65007.018661402675</v>
      </c>
      <c r="T24" s="296">
        <f t="shared" si="2"/>
        <v>-49120.981037922495</v>
      </c>
      <c r="U24" s="296">
        <f t="shared" si="2"/>
        <v>-31360.234831231977</v>
      </c>
      <c r="V24" s="317"/>
      <c r="W24" s="716">
        <f>SUM(B24:U24)</f>
        <v>-3348120.1638711621</v>
      </c>
      <c r="X24" s="716">
        <f>X22+X23</f>
        <v>-3348120.1638711612</v>
      </c>
      <c r="Y24" s="718">
        <f>W24-X24</f>
        <v>0</v>
      </c>
    </row>
    <row r="25" spans="1:25">
      <c r="A25" s="4"/>
      <c r="B25" s="296"/>
      <c r="C25" s="296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317"/>
      <c r="W25" s="716"/>
      <c r="X25" s="716"/>
      <c r="Y25" s="718"/>
    </row>
    <row r="26" spans="1:25">
      <c r="A26" s="4" t="s">
        <v>786</v>
      </c>
      <c r="B26" s="296">
        <f>NewCo_IS!B27</f>
        <v>17586.924019722501</v>
      </c>
      <c r="C26" s="296">
        <f>NewCo_IS!C27</f>
        <v>33647.088469493654</v>
      </c>
      <c r="D26" s="296">
        <f>NewCo_IS!D27</f>
        <v>51544.163044860659</v>
      </c>
      <c r="E26" s="296">
        <f>NewCo_IS!E27</f>
        <v>82627.632973940243</v>
      </c>
      <c r="F26" s="296">
        <f>NewCo_IS!F27</f>
        <v>117307.43805041726</v>
      </c>
      <c r="G26" s="296">
        <f>NewCo_IS!G27</f>
        <v>156465.69901904918</v>
      </c>
      <c r="H26" s="296">
        <f>NewCo_IS!H27</f>
        <v>198570.21508557265</v>
      </c>
      <c r="I26" s="296">
        <f>NewCo_IS!I27</f>
        <v>232350.42126226603</v>
      </c>
      <c r="J26" s="296">
        <f>NewCo_IS!J27</f>
        <v>266805.91795871704</v>
      </c>
      <c r="K26" s="296">
        <f>NewCo_IS!K27</f>
        <v>303155.19364875456</v>
      </c>
      <c r="L26" s="296">
        <f>NewCo_IS!L27</f>
        <v>342680.36639595398</v>
      </c>
      <c r="M26" s="296">
        <f>NewCo_IS!M27</f>
        <v>386515.15963972476</v>
      </c>
      <c r="N26" s="296">
        <f>NewCo_IS!N27</f>
        <v>433054.94744526781</v>
      </c>
      <c r="O26" s="296">
        <f>NewCo_IS!O27</f>
        <v>483213.38015746645</v>
      </c>
      <c r="P26" s="296">
        <f>NewCo_IS!P27</f>
        <v>536073.71926290623</v>
      </c>
      <c r="Q26" s="296">
        <f>NewCo_IS!Q27</f>
        <v>590025.94335088599</v>
      </c>
      <c r="R26" s="296">
        <f>NewCo_IS!R27</f>
        <v>644641.1699237033</v>
      </c>
      <c r="S26" s="296">
        <f>NewCo_IS!S27</f>
        <v>702751.72802451265</v>
      </c>
      <c r="T26" s="296">
        <f>NewCo_IS!T27</f>
        <v>765531.16006249376</v>
      </c>
      <c r="U26" s="296">
        <f>NewCo_IS!U27</f>
        <v>832494.29328477173</v>
      </c>
      <c r="V26" s="317"/>
      <c r="W26" s="716"/>
      <c r="X26" s="716"/>
      <c r="Y26" s="718"/>
    </row>
    <row r="27" spans="1:25">
      <c r="A27" s="633"/>
      <c r="B27" s="296"/>
      <c r="C27" s="296"/>
      <c r="D27" s="296"/>
      <c r="E27" s="296"/>
      <c r="F27" s="296"/>
      <c r="G27" s="296"/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317"/>
      <c r="W27" s="716"/>
      <c r="X27" s="716"/>
      <c r="Y27" s="718"/>
    </row>
    <row r="28" spans="1:25" outlineLevel="1">
      <c r="A28" s="277" t="s">
        <v>350</v>
      </c>
      <c r="B28" s="316">
        <f>ENA_Tax!B14</f>
        <v>-65600</v>
      </c>
      <c r="C28" s="316">
        <f>ENA_Tax!C14</f>
        <v>-124639.99999999997</v>
      </c>
      <c r="D28" s="316">
        <f>ENA_Tax!D14</f>
        <v>-112175.99999999999</v>
      </c>
      <c r="E28" s="316">
        <f>ENA_Tax!E14</f>
        <v>-101023.99999999997</v>
      </c>
      <c r="F28" s="316">
        <f>ENA_Tax!F14</f>
        <v>-90921.599999999991</v>
      </c>
      <c r="G28" s="316">
        <f>ENA_Tax!G14</f>
        <v>-81737.599999999991</v>
      </c>
      <c r="H28" s="316">
        <f>ENA_Tax!H14</f>
        <v>-77407.999999999985</v>
      </c>
      <c r="I28" s="316">
        <f>ENA_Tax!I14</f>
        <v>-77539.199999999997</v>
      </c>
      <c r="J28" s="316">
        <f>ENA_Tax!J14</f>
        <v>-77407.999999999985</v>
      </c>
      <c r="K28" s="316">
        <f>ENA_Tax!K14</f>
        <v>-77539.199999999997</v>
      </c>
      <c r="L28" s="316">
        <f>ENA_Tax!L14</f>
        <v>-77407.999999999985</v>
      </c>
      <c r="M28" s="316">
        <f>ENA_Tax!M14</f>
        <v>-77539.199999999997</v>
      </c>
      <c r="N28" s="316">
        <f>ENA_Tax!N14</f>
        <v>-77407.999999999985</v>
      </c>
      <c r="O28" s="316">
        <f>ENA_Tax!O14</f>
        <v>-77539.199999999997</v>
      </c>
      <c r="P28" s="316">
        <f>ENA_Tax!P14</f>
        <v>-77407.999999999985</v>
      </c>
      <c r="Q28" s="316">
        <f>ENA_Tax!Q14</f>
        <v>-38703.999999999993</v>
      </c>
      <c r="R28" s="316">
        <f>ENA_Tax!R14</f>
        <v>0</v>
      </c>
      <c r="S28" s="316">
        <f>ENA_Tax!S14</f>
        <v>0</v>
      </c>
      <c r="T28" s="316">
        <f>ENA_Tax!T14</f>
        <v>0</v>
      </c>
      <c r="U28" s="316">
        <f>ENA_Tax!U14</f>
        <v>0</v>
      </c>
      <c r="V28" s="637"/>
      <c r="W28" s="716">
        <f>SUM(B28:U28)</f>
        <v>-1311999.9999999995</v>
      </c>
      <c r="X28" s="716">
        <f>ENA_Tax!$W$14</f>
        <v>-1311999.9999999995</v>
      </c>
      <c r="Y28" s="718">
        <f>W28-X28</f>
        <v>0</v>
      </c>
    </row>
    <row r="29" spans="1:25" outlineLevel="1">
      <c r="A29" s="277" t="s">
        <v>351</v>
      </c>
      <c r="B29" s="638">
        <f>-'FPLE_Annual Summary'!E93+FPLE_Tax!C21</f>
        <v>-223178.15564244962</v>
      </c>
      <c r="C29" s="638">
        <f>-'FPLE_Annual Summary'!F93+FPLE_Tax!D21</f>
        <v>-387136.92274641379</v>
      </c>
      <c r="D29" s="638">
        <f>-'FPLE_Annual Summary'!G93+FPLE_Tax!E21</f>
        <v>-289872.93380329316</v>
      </c>
      <c r="E29" s="638">
        <f>-'FPLE_Annual Summary'!H93+FPLE_Tax!F21</f>
        <v>-226752.58352684785</v>
      </c>
      <c r="F29" s="638">
        <f>-'FPLE_Annual Summary'!I93+FPLE_Tax!G21</f>
        <v>-214028.11586554954</v>
      </c>
      <c r="G29" s="638">
        <f>-'FPLE_Annual Summary'!J93+FPLE_Tax!H21</f>
        <v>-165471.36356296262</v>
      </c>
      <c r="H29" s="638">
        <f>-'FPLE_Annual Summary'!K93+FPLE_Tax!I21</f>
        <v>-119791.95773700126</v>
      </c>
      <c r="I29" s="638">
        <f>-'FPLE_Annual Summary'!L93+FPLE_Tax!J21</f>
        <v>-113685.09153185414</v>
      </c>
      <c r="J29" s="638">
        <f>-'FPLE_Annual Summary'!M93+FPLE_Tax!K21</f>
        <v>-112683.96592445298</v>
      </c>
      <c r="K29" s="638">
        <f>-'FPLE_Annual Summary'!N93+FPLE_Tax!L21</f>
        <v>-112667.28049766296</v>
      </c>
      <c r="L29" s="638">
        <f>-'FPLE_Annual Summary'!O93+FPLE_Tax!M21</f>
        <v>-112683.96592445298</v>
      </c>
      <c r="M29" s="638">
        <f>-'FPLE_Annual Summary'!P93+FPLE_Tax!N21</f>
        <v>-112667.28049766296</v>
      </c>
      <c r="N29" s="638">
        <f>-'FPLE_Annual Summary'!Q93+FPLE_Tax!O21</f>
        <v>-112683.96592445298</v>
      </c>
      <c r="O29" s="638">
        <f>-'FPLE_Annual Summary'!R93+FPLE_Tax!P21</f>
        <v>-112667.28049766296</v>
      </c>
      <c r="P29" s="638">
        <f>-'FPLE_Annual Summary'!S93+FPLE_Tax!Q21</f>
        <v>-112683.96592445298</v>
      </c>
      <c r="Q29" s="638">
        <f>-'FPLE_Annual Summary'!T93+FPLE_Tax!R21</f>
        <v>-93550.484703969792</v>
      </c>
      <c r="R29" s="638">
        <f>-'FPLE_Annual Summary'!U93+FPLE_Tax!S21</f>
        <v>-74450.374337066663</v>
      </c>
      <c r="S29" s="638">
        <f>-'FPLE_Annual Summary'!V93+FPLE_Tax!T21</f>
        <v>-57407.043519664745</v>
      </c>
      <c r="T29" s="638">
        <f>-'FPLE_Annual Summary'!W93+FPLE_Tax!U21</f>
        <v>-54014.598919980242</v>
      </c>
      <c r="U29" s="638">
        <f>-'FPLE_Annual Summary'!X93+FPLE_Tax!V21</f>
        <v>-54002.493451822462</v>
      </c>
      <c r="V29" s="637"/>
      <c r="W29" s="716">
        <f>SUM(B29:U29)</f>
        <v>-2862079.8245396763</v>
      </c>
      <c r="X29" s="716">
        <f>-SUM('FPLE_Annual Summary'!E93:X93)+FPLE_Tax!Y21</f>
        <v>-2862079.8245396777</v>
      </c>
      <c r="Y29" s="718">
        <f>W29-X29</f>
        <v>0</v>
      </c>
    </row>
    <row r="30" spans="1:25">
      <c r="A30" s="598" t="s">
        <v>352</v>
      </c>
      <c r="B30" s="296">
        <f>B28+B29</f>
        <v>-288778.15564244962</v>
      </c>
      <c r="C30" s="296">
        <f t="shared" ref="C30:U30" si="3">C28+C29</f>
        <v>-511776.92274641374</v>
      </c>
      <c r="D30" s="296">
        <f t="shared" si="3"/>
        <v>-402048.93380329316</v>
      </c>
      <c r="E30" s="296">
        <f t="shared" si="3"/>
        <v>-327776.58352684783</v>
      </c>
      <c r="F30" s="296">
        <f t="shared" si="3"/>
        <v>-304949.71586554952</v>
      </c>
      <c r="G30" s="296">
        <f t="shared" si="3"/>
        <v>-247208.9635629626</v>
      </c>
      <c r="H30" s="296">
        <f t="shared" si="3"/>
        <v>-197199.95773700124</v>
      </c>
      <c r="I30" s="296">
        <f t="shared" si="3"/>
        <v>-191224.29153185413</v>
      </c>
      <c r="J30" s="296">
        <f t="shared" si="3"/>
        <v>-190091.96592445296</v>
      </c>
      <c r="K30" s="296">
        <f t="shared" si="3"/>
        <v>-190206.48049766297</v>
      </c>
      <c r="L30" s="296">
        <f t="shared" si="3"/>
        <v>-190091.96592445296</v>
      </c>
      <c r="M30" s="296">
        <f t="shared" si="3"/>
        <v>-190206.48049766297</v>
      </c>
      <c r="N30" s="296">
        <f t="shared" si="3"/>
        <v>-190091.96592445296</v>
      </c>
      <c r="O30" s="296">
        <f t="shared" si="3"/>
        <v>-190206.48049766297</v>
      </c>
      <c r="P30" s="296">
        <f t="shared" si="3"/>
        <v>-190091.96592445296</v>
      </c>
      <c r="Q30" s="296">
        <f t="shared" si="3"/>
        <v>-132254.48470396979</v>
      </c>
      <c r="R30" s="296">
        <f t="shared" si="3"/>
        <v>-74450.374337066663</v>
      </c>
      <c r="S30" s="296">
        <f t="shared" si="3"/>
        <v>-57407.043519664745</v>
      </c>
      <c r="T30" s="296">
        <f t="shared" si="3"/>
        <v>-54014.598919980242</v>
      </c>
      <c r="U30" s="296">
        <f t="shared" si="3"/>
        <v>-54002.493451822462</v>
      </c>
      <c r="V30" s="637"/>
      <c r="W30" s="716">
        <f>SUM(B30:U30)</f>
        <v>-4174079.8245396763</v>
      </c>
      <c r="X30" s="716">
        <f>X28+X29</f>
        <v>-4174079.8245396772</v>
      </c>
      <c r="Y30" s="718">
        <f>W30-X30</f>
        <v>0</v>
      </c>
    </row>
    <row r="31" spans="1:25">
      <c r="A31" s="598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637"/>
      <c r="W31" s="716"/>
      <c r="X31" s="716"/>
      <c r="Y31" s="720"/>
    </row>
    <row r="32" spans="1:25" ht="15">
      <c r="A32" s="598" t="s">
        <v>353</v>
      </c>
      <c r="B32" s="316">
        <f>-B10-B26*FPLE_Debt!$E$87</f>
        <v>-1243.4781842120253</v>
      </c>
      <c r="C32" s="316">
        <f>-C10-C26*FPLE_Debt!$E$87</f>
        <v>-2108.9101509518969</v>
      </c>
      <c r="D32" s="316">
        <f>-D10-D26*FPLE_Debt!$E$87</f>
        <v>-3073.2756799371491</v>
      </c>
      <c r="E32" s="316">
        <f>-E10-E26*FPLE_Debt!$E$87</f>
        <v>-4989.3704108866405</v>
      </c>
      <c r="F32" s="316">
        <f>-F10-F26*FPLE_Debt!$E$87</f>
        <v>-6936.0088849967997</v>
      </c>
      <c r="G32" s="316">
        <f>-G10-G26*FPLE_Debt!$E$87</f>
        <v>-9427.2835064253668</v>
      </c>
      <c r="H32" s="316">
        <f>-H10-H26*FPLE_Debt!$E$87</f>
        <v>-12804.571200665596</v>
      </c>
      <c r="I32" s="316">
        <f>-I10-I26*FPLE_Debt!$E$87</f>
        <v>-16112.988419675101</v>
      </c>
      <c r="J32" s="316">
        <f>-J10-J26*FPLE_Debt!$E$87</f>
        <v>-18743.984496888879</v>
      </c>
      <c r="K32" s="316">
        <f>-K10-K26*FPLE_Debt!$E$87</f>
        <v>-23276.889948662767</v>
      </c>
      <c r="L32" s="316">
        <f>-L10-L26*FPLE_Debt!$E$87</f>
        <v>-32192.715213044536</v>
      </c>
      <c r="M32" s="316">
        <f>-M10-M26*FPLE_Debt!$E$87</f>
        <v>-33451.157031715309</v>
      </c>
      <c r="N32" s="316">
        <f>-N10-N26*FPLE_Debt!$E$87</f>
        <v>-38225.053462834934</v>
      </c>
      <c r="O32" s="316">
        <f>-O10-O26*FPLE_Debt!$E$87</f>
        <v>-43820.390449245082</v>
      </c>
      <c r="P32" s="316">
        <f>-P10-P26*FPLE_Debt!$E$87</f>
        <v>-47127.116508829691</v>
      </c>
      <c r="Q32" s="316">
        <f>-Q10-Q26*FPLE_Debt!$E$87</f>
        <v>-55442.391604233213</v>
      </c>
      <c r="R32" s="316">
        <f>-R10-R26*FPLE_Debt!$E$87</f>
        <v>-59740.761320320431</v>
      </c>
      <c r="S32" s="316">
        <f>-S10-S26*FPLE_Debt!$E$87</f>
        <v>-64356.741012327206</v>
      </c>
      <c r="T32" s="316">
        <f>-T10-T26*FPLE_Debt!$E$87</f>
        <v>-70622.491727660425</v>
      </c>
      <c r="U32" s="316">
        <f>-U10-U26*FPLE_Debt!$E$87</f>
        <v>-74345.413438756164</v>
      </c>
      <c r="V32" s="639"/>
      <c r="W32" s="716">
        <f>SUM(B32:U32)</f>
        <v>-618040.9926522692</v>
      </c>
      <c r="X32" s="716">
        <f>-X10</f>
        <v>-231584.85474793543</v>
      </c>
      <c r="Y32" s="718">
        <f>W32-X32</f>
        <v>-386456.13790433377</v>
      </c>
    </row>
    <row r="33" spans="1:40" ht="15">
      <c r="A33" s="598"/>
      <c r="B33" s="640"/>
      <c r="C33" s="640"/>
      <c r="D33" s="640"/>
      <c r="E33" s="640"/>
      <c r="F33" s="640"/>
      <c r="G33" s="640"/>
      <c r="H33" s="640"/>
      <c r="I33" s="640"/>
      <c r="J33" s="640"/>
      <c r="K33" s="640"/>
      <c r="L33" s="640"/>
      <c r="M33" s="640"/>
      <c r="N33" s="640"/>
      <c r="O33" s="640"/>
      <c r="P33" s="640"/>
      <c r="Q33" s="640"/>
      <c r="R33" s="640"/>
      <c r="S33" s="640"/>
      <c r="T33" s="640"/>
      <c r="U33" s="640"/>
      <c r="V33" s="639"/>
      <c r="W33" s="716"/>
      <c r="X33" s="716"/>
      <c r="Y33" s="720"/>
    </row>
    <row r="34" spans="1:40">
      <c r="A34" s="318" t="s">
        <v>222</v>
      </c>
      <c r="B34" s="641">
        <f>B17+B19+B21+B24+B26+B30+B32</f>
        <v>-54819.822418856871</v>
      </c>
      <c r="C34" s="641">
        <f t="shared" ref="C34:U34" si="4">C17+C19+C21+C24+C26+C30+C32</f>
        <v>-295102.46773075836</v>
      </c>
      <c r="D34" s="641">
        <f t="shared" si="4"/>
        <v>-157216.12423147209</v>
      </c>
      <c r="E34" s="641">
        <f t="shared" si="4"/>
        <v>60892.563623175098</v>
      </c>
      <c r="F34" s="641">
        <f t="shared" si="4"/>
        <v>135219.93504257427</v>
      </c>
      <c r="G34" s="641">
        <f t="shared" si="4"/>
        <v>259174.11087123831</v>
      </c>
      <c r="H34" s="641">
        <f t="shared" si="4"/>
        <v>347602.54792725568</v>
      </c>
      <c r="I34" s="641">
        <f t="shared" si="4"/>
        <v>381084.35242007475</v>
      </c>
      <c r="J34" s="641">
        <f t="shared" si="4"/>
        <v>429802.71009270434</v>
      </c>
      <c r="K34" s="641">
        <f t="shared" si="4"/>
        <v>512308.73652558035</v>
      </c>
      <c r="L34" s="641">
        <f t="shared" si="4"/>
        <v>543316.84461118025</v>
      </c>
      <c r="M34" s="641">
        <f t="shared" si="4"/>
        <v>563934.84718366305</v>
      </c>
      <c r="N34" s="641">
        <f t="shared" si="4"/>
        <v>646281.68199221103</v>
      </c>
      <c r="O34" s="641">
        <f t="shared" si="4"/>
        <v>743034.75387894979</v>
      </c>
      <c r="P34" s="641">
        <f t="shared" si="4"/>
        <v>799590.32609502424</v>
      </c>
      <c r="Q34" s="641">
        <f t="shared" si="4"/>
        <v>941318.02498845453</v>
      </c>
      <c r="R34" s="641">
        <f t="shared" si="4"/>
        <v>1012463.2674893604</v>
      </c>
      <c r="S34" s="641">
        <f t="shared" si="4"/>
        <v>1091980.5270575113</v>
      </c>
      <c r="T34" s="641">
        <f t="shared" si="4"/>
        <v>1200616.2628354263</v>
      </c>
      <c r="U34" s="641">
        <f t="shared" si="4"/>
        <v>1264564.1107284124</v>
      </c>
      <c r="V34" s="642"/>
      <c r="W34" s="716"/>
      <c r="X34" s="716"/>
      <c r="Y34" s="718"/>
    </row>
    <row r="35" spans="1:40">
      <c r="A35" s="318"/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2"/>
      <c r="W35" s="716"/>
      <c r="X35" s="716"/>
      <c r="Y35" s="720"/>
    </row>
    <row r="36" spans="1:40">
      <c r="A36" s="598" t="s">
        <v>354</v>
      </c>
      <c r="B36" s="643">
        <v>0.35</v>
      </c>
      <c r="C36" s="643">
        <v>0.35</v>
      </c>
      <c r="D36" s="643">
        <v>0.35</v>
      </c>
      <c r="E36" s="643">
        <v>0.35</v>
      </c>
      <c r="F36" s="643">
        <v>0.35</v>
      </c>
      <c r="G36" s="643">
        <v>0.35</v>
      </c>
      <c r="H36" s="643">
        <v>0.35</v>
      </c>
      <c r="I36" s="643">
        <v>0.35</v>
      </c>
      <c r="J36" s="643">
        <v>0.35</v>
      </c>
      <c r="K36" s="643">
        <v>0.35</v>
      </c>
      <c r="L36" s="643">
        <v>0.35</v>
      </c>
      <c r="M36" s="643">
        <v>0.35</v>
      </c>
      <c r="N36" s="643">
        <v>0.35</v>
      </c>
      <c r="O36" s="643">
        <v>0.35</v>
      </c>
      <c r="P36" s="643">
        <v>0.35</v>
      </c>
      <c r="Q36" s="643">
        <v>0.35</v>
      </c>
      <c r="R36" s="643">
        <v>0.35</v>
      </c>
      <c r="S36" s="643">
        <v>0.35</v>
      </c>
      <c r="T36" s="643">
        <v>0.35</v>
      </c>
      <c r="U36" s="643">
        <v>0.35</v>
      </c>
      <c r="V36" s="644"/>
      <c r="W36" s="716"/>
      <c r="X36" s="334"/>
      <c r="Y36" s="718"/>
    </row>
    <row r="37" spans="1:40">
      <c r="A37" s="318" t="s">
        <v>223</v>
      </c>
      <c r="B37" s="641">
        <f t="shared" ref="B37:U37" si="5">B34*B36</f>
        <v>-19186.937846599903</v>
      </c>
      <c r="C37" s="641">
        <f t="shared" si="5"/>
        <v>-103285.86370576543</v>
      </c>
      <c r="D37" s="641">
        <f t="shared" si="5"/>
        <v>-55025.643481015228</v>
      </c>
      <c r="E37" s="641">
        <f t="shared" si="5"/>
        <v>21312.397268111283</v>
      </c>
      <c r="F37" s="641">
        <f t="shared" si="5"/>
        <v>47326.97726490099</v>
      </c>
      <c r="G37" s="641">
        <f t="shared" si="5"/>
        <v>90710.938804933408</v>
      </c>
      <c r="H37" s="641">
        <f t="shared" si="5"/>
        <v>121660.89177453949</v>
      </c>
      <c r="I37" s="641">
        <f t="shared" si="5"/>
        <v>133379.52334702614</v>
      </c>
      <c r="J37" s="641">
        <f t="shared" si="5"/>
        <v>150430.94853244652</v>
      </c>
      <c r="K37" s="641">
        <f t="shared" si="5"/>
        <v>179308.05778395312</v>
      </c>
      <c r="L37" s="641">
        <f t="shared" si="5"/>
        <v>190160.89561391308</v>
      </c>
      <c r="M37" s="641">
        <f t="shared" si="5"/>
        <v>197377.19651428206</v>
      </c>
      <c r="N37" s="641">
        <f t="shared" si="5"/>
        <v>226198.58869727384</v>
      </c>
      <c r="O37" s="641">
        <f t="shared" si="5"/>
        <v>260062.1638576324</v>
      </c>
      <c r="P37" s="641">
        <f t="shared" si="5"/>
        <v>279856.61413325847</v>
      </c>
      <c r="Q37" s="641">
        <f t="shared" si="5"/>
        <v>329461.30874595908</v>
      </c>
      <c r="R37" s="641">
        <f t="shared" si="5"/>
        <v>354362.14362127613</v>
      </c>
      <c r="S37" s="641">
        <f t="shared" si="5"/>
        <v>382193.18447012891</v>
      </c>
      <c r="T37" s="641">
        <f t="shared" si="5"/>
        <v>420215.69199239917</v>
      </c>
      <c r="U37" s="641">
        <f t="shared" si="5"/>
        <v>442597.43875494431</v>
      </c>
      <c r="V37" s="637"/>
      <c r="W37" s="716"/>
      <c r="X37" s="716"/>
      <c r="Y37" s="718"/>
    </row>
    <row r="38" spans="1:40">
      <c r="A38" s="313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317"/>
      <c r="W38" s="716"/>
      <c r="X38" s="716"/>
      <c r="Y38" s="718"/>
    </row>
    <row r="39" spans="1:40">
      <c r="A39" s="313" t="s">
        <v>564</v>
      </c>
      <c r="B39" s="319">
        <f>IF(B37&lt;0,-B37+B44,B44)</f>
        <v>32411.840148974246</v>
      </c>
      <c r="C39" s="319">
        <f>IF(C37&lt;0,-C37+B39-B40+C44,B39-B40+C44)</f>
        <v>149036.86799697505</v>
      </c>
      <c r="D39" s="319">
        <f t="shared" ref="D39:U39" si="6">IF(D37&lt;0,-D37+C39-C40+D44,C39-C40+D44)</f>
        <v>217972.98329382652</v>
      </c>
      <c r="E39" s="319">
        <f t="shared" si="6"/>
        <v>231467.70759642293</v>
      </c>
      <c r="F39" s="319">
        <f t="shared" si="6"/>
        <v>223992.55896545557</v>
      </c>
      <c r="G39" s="319">
        <f t="shared" si="6"/>
        <v>190775.2903625133</v>
      </c>
      <c r="H39" s="319">
        <f t="shared" si="6"/>
        <v>114197.27221953863</v>
      </c>
      <c r="I39" s="319">
        <f t="shared" si="6"/>
        <v>14310.800824959224</v>
      </c>
      <c r="J39" s="319">
        <f t="shared" si="6"/>
        <v>3625.2888719746588</v>
      </c>
      <c r="K39" s="319">
        <f t="shared" si="6"/>
        <v>0</v>
      </c>
      <c r="L39" s="319">
        <f t="shared" si="6"/>
        <v>0</v>
      </c>
      <c r="M39" s="319">
        <f t="shared" si="6"/>
        <v>0</v>
      </c>
      <c r="N39" s="319">
        <f t="shared" si="6"/>
        <v>0</v>
      </c>
      <c r="O39" s="319">
        <f t="shared" si="6"/>
        <v>0</v>
      </c>
      <c r="P39" s="319">
        <f t="shared" si="6"/>
        <v>0</v>
      </c>
      <c r="Q39" s="319">
        <f t="shared" si="6"/>
        <v>0</v>
      </c>
      <c r="R39" s="319">
        <f t="shared" si="6"/>
        <v>0</v>
      </c>
      <c r="S39" s="319">
        <f t="shared" si="6"/>
        <v>0</v>
      </c>
      <c r="T39" s="319">
        <f t="shared" si="6"/>
        <v>0</v>
      </c>
      <c r="U39" s="319">
        <f t="shared" si="6"/>
        <v>0</v>
      </c>
      <c r="V39" s="637"/>
      <c r="W39" s="716"/>
      <c r="X39" s="716"/>
      <c r="Y39" s="718"/>
    </row>
    <row r="40" spans="1:40">
      <c r="A40" s="313" t="s">
        <v>225</v>
      </c>
      <c r="B40" s="316">
        <f t="shared" ref="B40:U40" si="7">IF(B37&lt;0,0,IF(B39&gt;B37,B37,B39))</f>
        <v>0</v>
      </c>
      <c r="C40" s="316">
        <f t="shared" si="7"/>
        <v>0</v>
      </c>
      <c r="D40" s="316">
        <f t="shared" si="7"/>
        <v>0</v>
      </c>
      <c r="E40" s="316">
        <f t="shared" si="7"/>
        <v>21312.397268111283</v>
      </c>
      <c r="F40" s="316">
        <f t="shared" si="7"/>
        <v>47326.97726490099</v>
      </c>
      <c r="G40" s="316">
        <f t="shared" si="7"/>
        <v>90710.938804933408</v>
      </c>
      <c r="H40" s="319">
        <f t="shared" si="7"/>
        <v>114197.27221953863</v>
      </c>
      <c r="I40" s="319">
        <f t="shared" si="7"/>
        <v>14310.800824959224</v>
      </c>
      <c r="J40" s="319">
        <f t="shared" si="7"/>
        <v>3625.2888719746588</v>
      </c>
      <c r="K40" s="319">
        <f t="shared" si="7"/>
        <v>0</v>
      </c>
      <c r="L40" s="319">
        <f t="shared" si="7"/>
        <v>0</v>
      </c>
      <c r="M40" s="319">
        <f t="shared" si="7"/>
        <v>0</v>
      </c>
      <c r="N40" s="319">
        <f t="shared" si="7"/>
        <v>0</v>
      </c>
      <c r="O40" s="319">
        <f t="shared" si="7"/>
        <v>0</v>
      </c>
      <c r="P40" s="319">
        <f t="shared" si="7"/>
        <v>0</v>
      </c>
      <c r="Q40" s="319">
        <f t="shared" si="7"/>
        <v>0</v>
      </c>
      <c r="R40" s="319">
        <f t="shared" si="7"/>
        <v>0</v>
      </c>
      <c r="S40" s="319">
        <f t="shared" si="7"/>
        <v>0</v>
      </c>
      <c r="T40" s="319">
        <f t="shared" si="7"/>
        <v>0</v>
      </c>
      <c r="U40" s="319">
        <f t="shared" si="7"/>
        <v>0</v>
      </c>
      <c r="V40" s="645"/>
      <c r="W40" s="716"/>
      <c r="X40" s="716"/>
      <c r="Y40" s="718"/>
    </row>
    <row r="41" spans="1:40">
      <c r="A41" s="313"/>
      <c r="B41" s="316"/>
      <c r="C41" s="316"/>
      <c r="D41" s="316"/>
      <c r="E41" s="316"/>
      <c r="F41" s="316"/>
      <c r="G41" s="316"/>
      <c r="H41" s="316"/>
      <c r="I41" s="316"/>
      <c r="J41" s="316"/>
      <c r="K41" s="316"/>
      <c r="L41" s="316"/>
      <c r="M41" s="316"/>
      <c r="N41" s="316"/>
      <c r="O41" s="316"/>
      <c r="P41" s="316"/>
      <c r="Q41" s="316"/>
      <c r="R41" s="316"/>
      <c r="S41" s="316"/>
      <c r="T41" s="316"/>
      <c r="U41" s="316"/>
      <c r="V41" s="637"/>
      <c r="W41" s="334"/>
      <c r="X41" s="334"/>
      <c r="Y41" s="718"/>
    </row>
    <row r="42" spans="1:40" ht="13.5" thickBot="1">
      <c r="A42" s="314" t="s">
        <v>226</v>
      </c>
      <c r="B42" s="646">
        <f>IF('NewCo_Summary Output'!$P$8=1,IF(B37&lt;0,0,(B37-B40)),NewCo_Tax!B37-NewCo_Tax!B44)</f>
        <v>0</v>
      </c>
      <c r="C42" s="646">
        <f>IF('NewCo_Summary Output'!$P$8=1,IF(C37&lt;0,0,(C37-C40)),NewCo_Tax!C37-NewCo_Tax!C44)</f>
        <v>0</v>
      </c>
      <c r="D42" s="646">
        <f>IF('NewCo_Summary Output'!$P$8=1,IF(D37&lt;0,0,(D37-D40)),NewCo_Tax!D37-NewCo_Tax!D44)</f>
        <v>0</v>
      </c>
      <c r="E42" s="646">
        <f>IF('NewCo_Summary Output'!$P$8=1,IF(E37&lt;0,0,(E37-E40)),NewCo_Tax!E37-NewCo_Tax!E44)</f>
        <v>0</v>
      </c>
      <c r="F42" s="646">
        <f>IF('NewCo_Summary Output'!$P$8=1,IF(F37&lt;0,0,(F37-F40)),NewCo_Tax!F37-NewCo_Tax!F44)</f>
        <v>0</v>
      </c>
      <c r="G42" s="646">
        <f>IF('NewCo_Summary Output'!$P$8=1,IF(G37&lt;0,0,(G37-G40)),NewCo_Tax!G37-NewCo_Tax!G44)</f>
        <v>0</v>
      </c>
      <c r="H42" s="646">
        <f>IF('NewCo_Summary Output'!$P$8=1,IF(H37&lt;0,0,(H37-H40)),NewCo_Tax!H37-NewCo_Tax!H44)</f>
        <v>7463.6195550008561</v>
      </c>
      <c r="I42" s="646">
        <f>IF('NewCo_Summary Output'!$P$8=1,IF(I37&lt;0,0,(I37-I40)),NewCo_Tax!I37-NewCo_Tax!I44)</f>
        <v>119068.72252206692</v>
      </c>
      <c r="J42" s="646">
        <f>IF('NewCo_Summary Output'!$P$8=1,IF(J37&lt;0,0,(J37-J40)),NewCo_Tax!J37-NewCo_Tax!J44)</f>
        <v>146805.65966047187</v>
      </c>
      <c r="K42" s="646">
        <f>IF('NewCo_Summary Output'!$P$8=1,IF(K37&lt;0,0,(K37-K40)),NewCo_Tax!K37-NewCo_Tax!K44)</f>
        <v>179308.05778395312</v>
      </c>
      <c r="L42" s="646">
        <f>IF('NewCo_Summary Output'!$P$8=1,IF(L37&lt;0,0,(L37-L40)),NewCo_Tax!L37-NewCo_Tax!L44)</f>
        <v>190160.89561391308</v>
      </c>
      <c r="M42" s="646">
        <f>IF('NewCo_Summary Output'!$P$8=1,IF(M37&lt;0,0,(M37-M40)),NewCo_Tax!M37-NewCo_Tax!M44)</f>
        <v>197377.19651428206</v>
      </c>
      <c r="N42" s="646">
        <f>IF('NewCo_Summary Output'!$P$8=1,IF(N37&lt;0,0,(N37-N40)),NewCo_Tax!N37-NewCo_Tax!N44)</f>
        <v>226198.58869727384</v>
      </c>
      <c r="O42" s="646">
        <f>IF('NewCo_Summary Output'!$P$8=1,IF(O37&lt;0,0,(O37-O40)),NewCo_Tax!O37-NewCo_Tax!O44)</f>
        <v>260062.1638576324</v>
      </c>
      <c r="P42" s="646">
        <f>IF('NewCo_Summary Output'!$P$8=1,IF(P37&lt;0,0,(P37-P40)),NewCo_Tax!P37-NewCo_Tax!P44)</f>
        <v>279856.61413325847</v>
      </c>
      <c r="Q42" s="646">
        <f>IF('NewCo_Summary Output'!$P$8=1,IF(Q37&lt;0,0,(Q37-Q40)),NewCo_Tax!Q37-NewCo_Tax!Q44)</f>
        <v>329461.30874595908</v>
      </c>
      <c r="R42" s="646">
        <f>IF('NewCo_Summary Output'!$P$8=1,IF(R37&lt;0,0,(R37-R40)),NewCo_Tax!R37-NewCo_Tax!R44)</f>
        <v>354362.14362127613</v>
      </c>
      <c r="S42" s="646">
        <f>IF('NewCo_Summary Output'!$P$8=1,IF(S37&lt;0,0,(S37-S40)),NewCo_Tax!S37-NewCo_Tax!S44)</f>
        <v>382193.18447012891</v>
      </c>
      <c r="T42" s="646">
        <f>IF('NewCo_Summary Output'!$P$8=1,IF(T37&lt;0,0,(T37-T40)),NewCo_Tax!T37-NewCo_Tax!T44)</f>
        <v>420215.69199239917</v>
      </c>
      <c r="U42" s="646">
        <f>IF('NewCo_Summary Output'!$P$8=1,IF(U37&lt;0,0,(U37-U40)),NewCo_Tax!U37-NewCo_Tax!U44)</f>
        <v>442597.43875494431</v>
      </c>
      <c r="V42" s="647"/>
      <c r="W42" s="716"/>
      <c r="X42" s="716"/>
      <c r="Y42" s="718"/>
    </row>
    <row r="43" spans="1:40" ht="13.5" thickTop="1">
      <c r="W43" s="334"/>
      <c r="X43" s="334"/>
      <c r="Y43" s="334"/>
    </row>
    <row r="44" spans="1:40" ht="15.75">
      <c r="A44" s="550" t="s">
        <v>565</v>
      </c>
      <c r="B44" s="552">
        <f>FPLE_IS!C47</f>
        <v>13224.902302374343</v>
      </c>
      <c r="C44" s="552">
        <f>FPLE_IS!D47</f>
        <v>13339.164142235393</v>
      </c>
      <c r="D44" s="552">
        <f>FPLE_IS!E47</f>
        <v>13910.471815836238</v>
      </c>
      <c r="E44" s="552">
        <f>FPLE_IS!F47</f>
        <v>13494.724302596409</v>
      </c>
      <c r="F44" s="552">
        <f>FPLE_IS!G47</f>
        <v>13837.248637143923</v>
      </c>
      <c r="G44" s="552">
        <f>FPLE_IS!H47</f>
        <v>14109.708661958726</v>
      </c>
      <c r="H44" s="552">
        <f>FPLE_IS!I47</f>
        <v>14132.920661958728</v>
      </c>
      <c r="I44" s="552">
        <f>FPLE_IS!J47</f>
        <v>14310.800824959224</v>
      </c>
      <c r="J44" s="552">
        <f>FPLE_IS!K47</f>
        <v>3625.2888719746588</v>
      </c>
      <c r="K44" s="552">
        <f>FPLE_IS!L47</f>
        <v>0</v>
      </c>
      <c r="L44" s="552">
        <f>FPLE_IS!M47</f>
        <v>0</v>
      </c>
      <c r="M44" s="552">
        <f>FPLE_IS!N47</f>
        <v>0</v>
      </c>
      <c r="N44" s="552">
        <f>FPLE_IS!O47</f>
        <v>0</v>
      </c>
      <c r="O44" s="552">
        <f>FPLE_IS!P47</f>
        <v>0</v>
      </c>
      <c r="P44" s="552">
        <f>FPLE_IS!Q47</f>
        <v>0</v>
      </c>
      <c r="Q44" s="552">
        <f>FPLE_IS!R47</f>
        <v>0</v>
      </c>
      <c r="R44" s="552">
        <f>FPLE_IS!S47</f>
        <v>0</v>
      </c>
      <c r="S44" s="552">
        <f>FPLE_IS!T47</f>
        <v>0</v>
      </c>
      <c r="T44" s="552">
        <f>FPLE_IS!U47</f>
        <v>0</v>
      </c>
      <c r="U44" s="552">
        <f>FPLE_IS!V47</f>
        <v>0</v>
      </c>
      <c r="W44" s="334"/>
      <c r="X44" s="334"/>
      <c r="Y44" s="334"/>
    </row>
    <row r="45" spans="1:40">
      <c r="W45" s="334"/>
      <c r="X45" s="334"/>
      <c r="Y45" s="334"/>
    </row>
    <row r="46" spans="1:40">
      <c r="B46" s="302"/>
      <c r="W46" s="334"/>
      <c r="X46" s="334"/>
      <c r="Y46" s="334"/>
    </row>
    <row r="47" spans="1:40">
      <c r="V47" s="8"/>
      <c r="W47" s="723"/>
      <c r="X47" s="723"/>
      <c r="Y47" s="723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>
      <c r="V48" s="8"/>
      <c r="W48" s="723"/>
      <c r="X48" s="723"/>
      <c r="Y48" s="723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>
      <c r="B49" s="302"/>
      <c r="V49" s="8"/>
      <c r="W49" s="723"/>
      <c r="X49" s="723"/>
      <c r="Y49" s="723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s="271" customFormat="1" ht="15.75" hidden="1" outlineLevel="1">
      <c r="A50" s="1274" t="s">
        <v>727</v>
      </c>
      <c r="B50" s="1002"/>
      <c r="C50" s="100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3"/>
      <c r="V50" s="916"/>
      <c r="W50" s="916"/>
      <c r="X50" s="916"/>
      <c r="Y50" s="916"/>
      <c r="Z50" s="916"/>
      <c r="AA50" s="916"/>
      <c r="AB50" s="916"/>
      <c r="AC50" s="916"/>
      <c r="AD50" s="8"/>
      <c r="AE50" s="313"/>
      <c r="AF50" s="313"/>
      <c r="AG50" s="313"/>
      <c r="AH50" s="313"/>
      <c r="AI50" s="313"/>
      <c r="AJ50" s="313"/>
      <c r="AK50" s="313"/>
      <c r="AL50" s="313"/>
      <c r="AM50" s="313"/>
      <c r="AN50" s="313"/>
    </row>
    <row r="51" spans="1:40" s="271" customFormat="1" hidden="1" outlineLevel="1">
      <c r="A51" s="732"/>
      <c r="B51" s="313"/>
      <c r="C51" s="313"/>
      <c r="D51" s="916"/>
      <c r="E51" s="916"/>
      <c r="F51" s="916"/>
      <c r="G51" s="916"/>
      <c r="H51" s="916"/>
      <c r="I51" s="916"/>
      <c r="J51" s="916"/>
      <c r="K51" s="916"/>
      <c r="L51" s="916"/>
      <c r="M51" s="916"/>
      <c r="N51" s="916"/>
      <c r="O51" s="916"/>
      <c r="P51" s="916"/>
      <c r="Q51" s="916"/>
      <c r="R51" s="916"/>
      <c r="S51" s="916"/>
      <c r="T51" s="916"/>
      <c r="U51" s="1269"/>
      <c r="V51" s="916"/>
      <c r="W51" s="916"/>
      <c r="X51" s="916"/>
      <c r="Y51" s="916"/>
      <c r="Z51" s="916"/>
      <c r="AA51" s="916"/>
      <c r="AB51" s="916"/>
      <c r="AC51" s="916"/>
      <c r="AD51" s="8"/>
      <c r="AE51" s="313"/>
      <c r="AF51" s="313"/>
      <c r="AG51" s="313"/>
      <c r="AH51" s="313"/>
      <c r="AI51" s="313"/>
      <c r="AJ51" s="313"/>
      <c r="AK51" s="313"/>
      <c r="AL51" s="313"/>
      <c r="AM51" s="313"/>
      <c r="AN51" s="313"/>
    </row>
    <row r="52" spans="1:40" s="271" customFormat="1" hidden="1" outlineLevel="1">
      <c r="A52" s="732" t="s">
        <v>720</v>
      </c>
      <c r="B52" s="1091">
        <f>B10+B42</f>
        <v>296.48996776542862</v>
      </c>
      <c r="C52" s="1091">
        <f t="shared" ref="C52:U52" si="8">C10+C42</f>
        <v>297.14384874839146</v>
      </c>
      <c r="D52" s="1091">
        <f t="shared" si="8"/>
        <v>297.82074675234321</v>
      </c>
      <c r="E52" s="1091">
        <f t="shared" si="8"/>
        <v>540.19017382831646</v>
      </c>
      <c r="F52" s="1091">
        <f t="shared" si="8"/>
        <v>619.454528435866</v>
      </c>
      <c r="G52" s="1091">
        <f t="shared" si="8"/>
        <v>1002.2074053996364</v>
      </c>
      <c r="H52" s="1091">
        <f t="shared" si="8"/>
        <v>9575.9484049048424</v>
      </c>
      <c r="I52" s="1091">
        <f t="shared" si="8"/>
        <v>122670.53441223539</v>
      </c>
      <c r="J52" s="1091">
        <f t="shared" si="8"/>
        <v>151183.17165189137</v>
      </c>
      <c r="K52" s="1091">
        <f t="shared" si="8"/>
        <v>186261.20653614448</v>
      </c>
      <c r="L52" s="1091">
        <f t="shared" si="8"/>
        <v>203901.59109794471</v>
      </c>
      <c r="M52" s="1091">
        <f t="shared" si="8"/>
        <v>210015.99879616601</v>
      </c>
      <c r="N52" s="1091">
        <f t="shared" si="8"/>
        <v>241105.2988361328</v>
      </c>
      <c r="O52" s="1091">
        <f t="shared" si="8"/>
        <v>277863.37229839852</v>
      </c>
      <c r="P52" s="1091">
        <f t="shared" si="8"/>
        <v>298118.22268177778</v>
      </c>
      <c r="Q52" s="1091">
        <f t="shared" si="8"/>
        <v>353133.07263129839</v>
      </c>
      <c r="R52" s="1091">
        <f t="shared" si="8"/>
        <v>379391.45733032021</v>
      </c>
      <c r="S52" s="1091">
        <f t="shared" si="8"/>
        <v>408709.44781959773</v>
      </c>
      <c r="T52" s="1091">
        <f t="shared" si="8"/>
        <v>449617.27510130988</v>
      </c>
      <c r="U52" s="1268">
        <f t="shared" si="8"/>
        <v>472116.23640144349</v>
      </c>
      <c r="V52" s="916"/>
      <c r="W52" s="916"/>
      <c r="X52" s="916"/>
      <c r="Y52" s="916"/>
      <c r="Z52" s="916"/>
      <c r="AA52" s="916"/>
      <c r="AB52" s="916"/>
      <c r="AC52" s="916"/>
      <c r="AD52" s="35"/>
      <c r="AE52" s="313"/>
      <c r="AF52" s="313"/>
      <c r="AG52" s="313"/>
      <c r="AH52" s="313"/>
      <c r="AI52" s="313"/>
      <c r="AJ52" s="313"/>
      <c r="AK52" s="313"/>
      <c r="AL52" s="313"/>
      <c r="AM52" s="313"/>
      <c r="AN52" s="313"/>
    </row>
    <row r="53" spans="1:40" s="271" customFormat="1" hidden="1" outlineLevel="1">
      <c r="A53" s="732" t="s">
        <v>721</v>
      </c>
      <c r="B53" s="322">
        <f>-NewCo_IS!B34-NewCo_IS!B36-NewCo_IS!B38</f>
        <v>42798.272499977931</v>
      </c>
      <c r="C53" s="322">
        <f>-NewCo_IS!C34-NewCo_IS!C36-NewCo_IS!C38</f>
        <v>36365.020435060876</v>
      </c>
      <c r="D53" s="322">
        <f>-NewCo_IS!D34-NewCo_IS!D36-NewCo_IS!D38</f>
        <v>47008.720149094392</v>
      </c>
      <c r="E53" s="322">
        <f>-NewCo_IS!E34-NewCo_IS!E36-NewCo_IS!E38</f>
        <v>82797.699277066567</v>
      </c>
      <c r="F53" s="322">
        <f>-NewCo_IS!F34-NewCo_IS!F36-NewCo_IS!F38</f>
        <v>103058.5149087373</v>
      </c>
      <c r="G53" s="322">
        <f>-NewCo_IS!G34-NewCo_IS!G36-NewCo_IS!G38</f>
        <v>129251.65984615605</v>
      </c>
      <c r="H53" s="322">
        <f>-NewCo_IS!H34-NewCo_IS!H36-NewCo_IS!H38</f>
        <v>145336.17004074689</v>
      </c>
      <c r="I53" s="322">
        <f>-NewCo_IS!I34-NewCo_IS!I36-NewCo_IS!I38</f>
        <v>157037.99311352341</v>
      </c>
      <c r="J53" s="322">
        <f>-NewCo_IS!J34-NewCo_IS!J36-NewCo_IS!J38</f>
        <v>187074.43851775839</v>
      </c>
      <c r="K53" s="322">
        <f>-NewCo_IS!K34-NewCo_IS!K36-NewCo_IS!K38</f>
        <v>224274.29753973539</v>
      </c>
      <c r="L53" s="322">
        <f>-NewCo_IS!L34-NewCo_IS!L36-NewCo_IS!L38</f>
        <v>239622.72918396236</v>
      </c>
      <c r="M53" s="322">
        <f>-NewCo_IS!M34-NewCo_IS!M36-NewCo_IS!M38</f>
        <v>248111.24494935526</v>
      </c>
      <c r="N53" s="322">
        <f>-NewCo_IS!N34-NewCo_IS!N36-NewCo_IS!N38</f>
        <v>281630.39580072864</v>
      </c>
      <c r="O53" s="322">
        <f>-NewCo_IS!O34-NewCo_IS!O36-NewCo_IS!O38</f>
        <v>321403.6415157899</v>
      </c>
      <c r="P53" s="322">
        <f>-NewCo_IS!P34-NewCo_IS!P36-NewCo_IS!P38</f>
        <v>344580.19840195973</v>
      </c>
      <c r="Q53" s="322">
        <f>-NewCo_IS!Q34-NewCo_IS!Q36-NewCo_IS!Q38</f>
        <v>380144.76160297322</v>
      </c>
      <c r="R53" s="322">
        <f>-NewCo_IS!R34-NewCo_IS!R36-NewCo_IS!R38</f>
        <v>387212.85129844397</v>
      </c>
      <c r="S53" s="322">
        <f>-NewCo_IS!S34-NewCo_IS!S36-NewCo_IS!S38</f>
        <v>416736.51351077692</v>
      </c>
      <c r="T53" s="322">
        <f>-NewCo_IS!T34-NewCo_IS!T36-NewCo_IS!T38</f>
        <v>460891.41638211504</v>
      </c>
      <c r="U53" s="1275">
        <f>-NewCo_IS!U34-NewCo_IS!U36-NewCo_IS!U38</f>
        <v>489411.03844980424</v>
      </c>
      <c r="V53" s="916"/>
      <c r="W53" s="916"/>
      <c r="X53" s="916"/>
      <c r="Y53" s="916"/>
      <c r="Z53" s="916"/>
      <c r="AA53" s="916"/>
      <c r="AB53" s="916"/>
      <c r="AC53" s="916"/>
      <c r="AD53" s="35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</row>
    <row r="54" spans="1:40" s="271" customFormat="1" hidden="1" outlineLevel="1">
      <c r="A54" s="732"/>
      <c r="B54" s="313"/>
      <c r="C54" s="313"/>
      <c r="D54" s="916"/>
      <c r="E54" s="916"/>
      <c r="F54" s="916"/>
      <c r="G54" s="916"/>
      <c r="H54" s="916"/>
      <c r="I54" s="916"/>
      <c r="J54" s="916"/>
      <c r="K54" s="916"/>
      <c r="L54" s="916"/>
      <c r="M54" s="916"/>
      <c r="N54" s="916"/>
      <c r="O54" s="916"/>
      <c r="P54" s="916"/>
      <c r="Q54" s="916"/>
      <c r="R54" s="916"/>
      <c r="S54" s="916"/>
      <c r="T54" s="916"/>
      <c r="U54" s="1269"/>
      <c r="V54" s="916"/>
      <c r="W54" s="916"/>
      <c r="X54" s="916"/>
      <c r="Y54" s="916"/>
      <c r="Z54" s="916"/>
      <c r="AA54" s="916"/>
      <c r="AB54" s="916"/>
      <c r="AC54" s="916"/>
      <c r="AD54" s="35"/>
      <c r="AE54" s="313"/>
      <c r="AF54" s="313"/>
      <c r="AG54" s="313"/>
      <c r="AH54" s="313"/>
      <c r="AI54" s="313"/>
      <c r="AJ54" s="313"/>
      <c r="AK54" s="313"/>
      <c r="AL54" s="313"/>
      <c r="AM54" s="313"/>
      <c r="AN54" s="313"/>
    </row>
    <row r="55" spans="1:40" s="271" customFormat="1" hidden="1" outlineLevel="1">
      <c r="A55" s="732" t="s">
        <v>715</v>
      </c>
      <c r="B55" s="723">
        <f t="shared" ref="B55:U55" si="9">B52-B53</f>
        <v>-42501.782532212499</v>
      </c>
      <c r="C55" s="723">
        <f t="shared" si="9"/>
        <v>-36067.876586312486</v>
      </c>
      <c r="D55" s="723">
        <f t="shared" si="9"/>
        <v>-46710.899402342046</v>
      </c>
      <c r="E55" s="723">
        <f t="shared" si="9"/>
        <v>-82257.509103238248</v>
      </c>
      <c r="F55" s="723">
        <f t="shared" si="9"/>
        <v>-102439.06038030144</v>
      </c>
      <c r="G55" s="723">
        <f t="shared" si="9"/>
        <v>-128249.45244075642</v>
      </c>
      <c r="H55" s="723">
        <f t="shared" si="9"/>
        <v>-135760.22163584206</v>
      </c>
      <c r="I55" s="723">
        <f t="shared" si="9"/>
        <v>-34367.458701288022</v>
      </c>
      <c r="J55" s="723">
        <f t="shared" si="9"/>
        <v>-35891.266865867015</v>
      </c>
      <c r="K55" s="723">
        <f t="shared" si="9"/>
        <v>-38013.091003590904</v>
      </c>
      <c r="L55" s="723">
        <f t="shared" si="9"/>
        <v>-35721.138086017658</v>
      </c>
      <c r="M55" s="723">
        <f t="shared" si="9"/>
        <v>-38095.246153189248</v>
      </c>
      <c r="N55" s="723">
        <f t="shared" si="9"/>
        <v>-40525.096964595839</v>
      </c>
      <c r="O55" s="723">
        <f t="shared" si="9"/>
        <v>-43540.269217391382</v>
      </c>
      <c r="P55" s="723">
        <f t="shared" si="9"/>
        <v>-46461.975720181945</v>
      </c>
      <c r="Q55" s="723">
        <f t="shared" si="9"/>
        <v>-27011.688971674826</v>
      </c>
      <c r="R55" s="723">
        <f t="shared" si="9"/>
        <v>-7821.393968123768</v>
      </c>
      <c r="S55" s="723">
        <f t="shared" si="9"/>
        <v>-8027.0656911791884</v>
      </c>
      <c r="T55" s="723">
        <f t="shared" si="9"/>
        <v>-11274.141280805168</v>
      </c>
      <c r="U55" s="1270">
        <f t="shared" si="9"/>
        <v>-17294.802048360754</v>
      </c>
      <c r="V55" s="723"/>
      <c r="W55" s="723"/>
      <c r="X55" s="723"/>
      <c r="Y55" s="723"/>
      <c r="Z55" s="723"/>
      <c r="AA55" s="723"/>
      <c r="AB55" s="723"/>
      <c r="AC55" s="723"/>
      <c r="AD55" s="35"/>
      <c r="AE55" s="313"/>
      <c r="AF55" s="313"/>
      <c r="AG55" s="313"/>
      <c r="AH55" s="313"/>
      <c r="AI55" s="313"/>
      <c r="AJ55" s="313"/>
      <c r="AK55" s="313"/>
      <c r="AL55" s="313"/>
      <c r="AM55" s="313"/>
      <c r="AN55" s="313"/>
    </row>
    <row r="56" spans="1:40" s="271" customFormat="1" hidden="1" outlineLevel="1">
      <c r="A56" s="732" t="s">
        <v>716</v>
      </c>
      <c r="B56" s="723">
        <f>B55</f>
        <v>-42501.782532212499</v>
      </c>
      <c r="C56" s="723">
        <f>B56+C55</f>
        <v>-78569.659118524985</v>
      </c>
      <c r="D56" s="723">
        <f t="shared" ref="D56:U56" si="10">C56+D55</f>
        <v>-125280.55852086702</v>
      </c>
      <c r="E56" s="723">
        <f t="shared" si="10"/>
        <v>-207538.06762410526</v>
      </c>
      <c r="F56" s="723">
        <f t="shared" si="10"/>
        <v>-309977.1280044067</v>
      </c>
      <c r="G56" s="723">
        <f t="shared" si="10"/>
        <v>-438226.58044516313</v>
      </c>
      <c r="H56" s="723">
        <f t="shared" si="10"/>
        <v>-573986.80208100518</v>
      </c>
      <c r="I56" s="723">
        <f t="shared" si="10"/>
        <v>-608354.26078229316</v>
      </c>
      <c r="J56" s="723">
        <f t="shared" si="10"/>
        <v>-644245.52764816023</v>
      </c>
      <c r="K56" s="723">
        <f t="shared" si="10"/>
        <v>-682258.6186517512</v>
      </c>
      <c r="L56" s="723">
        <f t="shared" si="10"/>
        <v>-717979.75673776888</v>
      </c>
      <c r="M56" s="723">
        <f t="shared" si="10"/>
        <v>-756075.0028909581</v>
      </c>
      <c r="N56" s="723">
        <f t="shared" si="10"/>
        <v>-796600.09985555394</v>
      </c>
      <c r="O56" s="723">
        <f t="shared" si="10"/>
        <v>-840140.36907294532</v>
      </c>
      <c r="P56" s="723">
        <f t="shared" si="10"/>
        <v>-886602.34479312727</v>
      </c>
      <c r="Q56" s="723">
        <f t="shared" si="10"/>
        <v>-913614.03376480215</v>
      </c>
      <c r="R56" s="723">
        <f t="shared" si="10"/>
        <v>-921435.42773292586</v>
      </c>
      <c r="S56" s="723">
        <f t="shared" si="10"/>
        <v>-929462.49342410499</v>
      </c>
      <c r="T56" s="723">
        <f t="shared" si="10"/>
        <v>-940736.63470491022</v>
      </c>
      <c r="U56" s="1270">
        <f t="shared" si="10"/>
        <v>-958031.43675327091</v>
      </c>
      <c r="V56" s="723"/>
      <c r="W56" s="723"/>
      <c r="X56" s="723"/>
      <c r="Y56" s="723"/>
      <c r="Z56" s="723"/>
      <c r="AA56" s="723"/>
      <c r="AB56" s="723"/>
      <c r="AC56" s="723"/>
      <c r="AD56" s="35"/>
      <c r="AE56" s="313"/>
      <c r="AF56" s="313"/>
      <c r="AG56" s="313"/>
      <c r="AH56" s="313"/>
      <c r="AI56" s="313"/>
      <c r="AJ56" s="313"/>
      <c r="AK56" s="313"/>
      <c r="AL56" s="313"/>
      <c r="AM56" s="313"/>
      <c r="AN56" s="313"/>
    </row>
    <row r="57" spans="1:40" s="271" customFormat="1" hidden="1" outlineLevel="1">
      <c r="A57" s="732"/>
      <c r="B57" s="313"/>
      <c r="C57" s="313"/>
      <c r="D57" s="723"/>
      <c r="E57" s="723"/>
      <c r="F57" s="723"/>
      <c r="G57" s="723"/>
      <c r="H57" s="723"/>
      <c r="I57" s="723"/>
      <c r="J57" s="723"/>
      <c r="K57" s="723"/>
      <c r="L57" s="723"/>
      <c r="M57" s="723"/>
      <c r="N57" s="723"/>
      <c r="O57" s="723"/>
      <c r="P57" s="723"/>
      <c r="Q57" s="723"/>
      <c r="R57" s="723"/>
      <c r="S57" s="723"/>
      <c r="T57" s="723"/>
      <c r="U57" s="1270"/>
      <c r="V57" s="723"/>
      <c r="W57" s="723"/>
      <c r="X57" s="723"/>
      <c r="Y57" s="723"/>
      <c r="Z57" s="723"/>
      <c r="AA57" s="723"/>
      <c r="AB57" s="723"/>
      <c r="AC57" s="723"/>
      <c r="AD57" s="35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</row>
    <row r="58" spans="1:40" s="271" customFormat="1" hidden="1" outlineLevel="1">
      <c r="A58" s="1278" t="s">
        <v>717</v>
      </c>
      <c r="B58" s="1276">
        <f>IF(B56&gt;0,(B56),0)</f>
        <v>0</v>
      </c>
      <c r="C58" s="1276">
        <f t="shared" ref="C58:U58" si="11">IF(C56&gt;0,(C56),0)</f>
        <v>0</v>
      </c>
      <c r="D58" s="1276">
        <f t="shared" si="11"/>
        <v>0</v>
      </c>
      <c r="E58" s="1276">
        <f t="shared" si="11"/>
        <v>0</v>
      </c>
      <c r="F58" s="1276">
        <f t="shared" si="11"/>
        <v>0</v>
      </c>
      <c r="G58" s="1276">
        <f t="shared" si="11"/>
        <v>0</v>
      </c>
      <c r="H58" s="1276">
        <f t="shared" si="11"/>
        <v>0</v>
      </c>
      <c r="I58" s="1276">
        <f t="shared" si="11"/>
        <v>0</v>
      </c>
      <c r="J58" s="1276">
        <f t="shared" si="11"/>
        <v>0</v>
      </c>
      <c r="K58" s="1276">
        <f t="shared" si="11"/>
        <v>0</v>
      </c>
      <c r="L58" s="1276">
        <f t="shared" si="11"/>
        <v>0</v>
      </c>
      <c r="M58" s="1276">
        <f t="shared" si="11"/>
        <v>0</v>
      </c>
      <c r="N58" s="1276">
        <f t="shared" si="11"/>
        <v>0</v>
      </c>
      <c r="O58" s="1276">
        <f t="shared" si="11"/>
        <v>0</v>
      </c>
      <c r="P58" s="1276">
        <f t="shared" si="11"/>
        <v>0</v>
      </c>
      <c r="Q58" s="1276">
        <f t="shared" si="11"/>
        <v>0</v>
      </c>
      <c r="R58" s="1276">
        <f t="shared" si="11"/>
        <v>0</v>
      </c>
      <c r="S58" s="1276">
        <f t="shared" si="11"/>
        <v>0</v>
      </c>
      <c r="T58" s="1276">
        <f t="shared" si="11"/>
        <v>0</v>
      </c>
      <c r="U58" s="1277">
        <f t="shared" si="11"/>
        <v>0</v>
      </c>
      <c r="V58" s="723"/>
      <c r="W58" s="723"/>
      <c r="X58" s="723"/>
      <c r="Y58" s="723"/>
      <c r="Z58" s="723"/>
      <c r="AA58" s="723"/>
      <c r="AB58" s="723"/>
      <c r="AC58" s="723"/>
      <c r="AD58" s="35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</row>
    <row r="59" spans="1:40" s="271" customFormat="1" hidden="1" outlineLevel="1">
      <c r="A59" s="1266" t="s">
        <v>675</v>
      </c>
      <c r="B59" s="1267">
        <f>IF(B56&lt;0,(-B56),0)</f>
        <v>42501.782532212499</v>
      </c>
      <c r="C59" s="1267">
        <f t="shared" ref="C59:U59" si="12">IF(C56&lt;0,(-C56),0)</f>
        <v>78569.659118524985</v>
      </c>
      <c r="D59" s="1267">
        <f t="shared" si="12"/>
        <v>125280.55852086702</v>
      </c>
      <c r="E59" s="1267">
        <f t="shared" si="12"/>
        <v>207538.06762410526</v>
      </c>
      <c r="F59" s="1267">
        <f t="shared" si="12"/>
        <v>309977.1280044067</v>
      </c>
      <c r="G59" s="1267">
        <f t="shared" si="12"/>
        <v>438226.58044516313</v>
      </c>
      <c r="H59" s="1267">
        <f t="shared" si="12"/>
        <v>573986.80208100518</v>
      </c>
      <c r="I59" s="1267">
        <f t="shared" si="12"/>
        <v>608354.26078229316</v>
      </c>
      <c r="J59" s="1267">
        <f t="shared" si="12"/>
        <v>644245.52764816023</v>
      </c>
      <c r="K59" s="1267">
        <f t="shared" si="12"/>
        <v>682258.6186517512</v>
      </c>
      <c r="L59" s="1267">
        <f t="shared" si="12"/>
        <v>717979.75673776888</v>
      </c>
      <c r="M59" s="1267">
        <f t="shared" si="12"/>
        <v>756075.0028909581</v>
      </c>
      <c r="N59" s="1267">
        <f t="shared" si="12"/>
        <v>796600.09985555394</v>
      </c>
      <c r="O59" s="1267">
        <f t="shared" si="12"/>
        <v>840140.36907294532</v>
      </c>
      <c r="P59" s="1267">
        <f t="shared" si="12"/>
        <v>886602.34479312727</v>
      </c>
      <c r="Q59" s="1267">
        <f t="shared" si="12"/>
        <v>913614.03376480215</v>
      </c>
      <c r="R59" s="1267">
        <f t="shared" si="12"/>
        <v>921435.42773292586</v>
      </c>
      <c r="S59" s="1267">
        <f t="shared" si="12"/>
        <v>929462.49342410499</v>
      </c>
      <c r="T59" s="1267">
        <f t="shared" si="12"/>
        <v>940736.63470491022</v>
      </c>
      <c r="U59" s="1271">
        <f t="shared" si="12"/>
        <v>958031.43675327091</v>
      </c>
      <c r="V59" s="723"/>
      <c r="W59" s="723"/>
      <c r="X59" s="723"/>
      <c r="Y59" s="723"/>
      <c r="Z59" s="723"/>
      <c r="AA59" s="723"/>
      <c r="AB59" s="723"/>
      <c r="AC59" s="723"/>
      <c r="AD59" s="35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</row>
    <row r="60" spans="1:40" collapsed="1">
      <c r="V60" s="8"/>
      <c r="W60" s="35"/>
      <c r="X60" s="35"/>
      <c r="Y60" s="35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>
      <c r="V61" s="8"/>
      <c r="W61" s="35"/>
      <c r="X61" s="35"/>
      <c r="Y61" s="35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</sheetData>
  <mergeCells count="1">
    <mergeCell ref="X5:Y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B2:AN201"/>
  <sheetViews>
    <sheetView zoomScale="75" zoomScaleNormal="75" workbookViewId="0"/>
  </sheetViews>
  <sheetFormatPr defaultRowHeight="12.75" outlineLevelRow="1"/>
  <cols>
    <col min="1" max="1" width="1.7109375" style="271" customWidth="1"/>
    <col min="2" max="2" width="24" style="271" customWidth="1"/>
    <col min="3" max="3" width="5.7109375" style="271" customWidth="1"/>
    <col min="4" max="24" width="11.7109375" style="271" customWidth="1"/>
    <col min="25" max="25" width="13.140625" style="271" bestFit="1" customWidth="1"/>
    <col min="26" max="16384" width="9.140625" style="271"/>
  </cols>
  <sheetData>
    <row r="2" spans="2:24" s="7" customFormat="1" ht="18.75">
      <c r="B2" s="270" t="s">
        <v>575</v>
      </c>
      <c r="C2" s="557"/>
      <c r="D2" s="557"/>
      <c r="E2" s="557"/>
      <c r="F2" s="557"/>
    </row>
    <row r="3" spans="2:24">
      <c r="B3" s="1185"/>
      <c r="C3" s="313"/>
    </row>
    <row r="4" spans="2:24" s="566" customFormat="1">
      <c r="B4" s="291" t="s">
        <v>5</v>
      </c>
      <c r="C4" s="1186"/>
      <c r="D4" s="566">
        <v>2001</v>
      </c>
      <c r="E4" s="566">
        <f>+D4+1</f>
        <v>2002</v>
      </c>
      <c r="F4" s="566">
        <f t="shared" ref="F4:W4" si="0">+E4+1</f>
        <v>2003</v>
      </c>
      <c r="G4" s="566">
        <f t="shared" si="0"/>
        <v>2004</v>
      </c>
      <c r="H4" s="566">
        <f t="shared" si="0"/>
        <v>2005</v>
      </c>
      <c r="I4" s="566">
        <f t="shared" si="0"/>
        <v>2006</v>
      </c>
      <c r="J4" s="566">
        <f t="shared" si="0"/>
        <v>2007</v>
      </c>
      <c r="K4" s="566">
        <f t="shared" si="0"/>
        <v>2008</v>
      </c>
      <c r="L4" s="566">
        <f t="shared" si="0"/>
        <v>2009</v>
      </c>
      <c r="M4" s="566">
        <f t="shared" si="0"/>
        <v>2010</v>
      </c>
      <c r="N4" s="566">
        <f t="shared" si="0"/>
        <v>2011</v>
      </c>
      <c r="O4" s="566">
        <f t="shared" si="0"/>
        <v>2012</v>
      </c>
      <c r="P4" s="566">
        <f t="shared" si="0"/>
        <v>2013</v>
      </c>
      <c r="Q4" s="566">
        <f t="shared" si="0"/>
        <v>2014</v>
      </c>
      <c r="R4" s="566">
        <f t="shared" si="0"/>
        <v>2015</v>
      </c>
      <c r="S4" s="566">
        <f t="shared" si="0"/>
        <v>2016</v>
      </c>
      <c r="T4" s="566">
        <f t="shared" si="0"/>
        <v>2017</v>
      </c>
      <c r="U4" s="566">
        <f t="shared" si="0"/>
        <v>2018</v>
      </c>
      <c r="V4" s="566">
        <f t="shared" si="0"/>
        <v>2019</v>
      </c>
      <c r="W4" s="566">
        <f t="shared" si="0"/>
        <v>2020</v>
      </c>
    </row>
    <row r="5" spans="2:24" ht="13.5" thickBot="1">
      <c r="C5" s="313"/>
    </row>
    <row r="6" spans="2:24">
      <c r="B6" s="1218" t="s">
        <v>576</v>
      </c>
      <c r="C6" s="762"/>
      <c r="D6" s="1227">
        <v>0</v>
      </c>
      <c r="E6" s="1227">
        <f>Devel_Schedule!D23+Devel_Schedule!D24+Devel_Schedule!D26</f>
        <v>1500</v>
      </c>
      <c r="F6" s="1227">
        <f>Devel_Schedule!E27+Devel_Schedule!E28+Devel_Schedule!E29+Devel_Schedule!E33</f>
        <v>3500</v>
      </c>
      <c r="G6" s="1227">
        <f>Devel_Schedule!F33</f>
        <v>3000</v>
      </c>
      <c r="H6" s="1228">
        <f>Devel_Schedule!G33</f>
        <v>3000</v>
      </c>
    </row>
    <row r="7" spans="2:24">
      <c r="B7" s="784" t="s">
        <v>577</v>
      </c>
      <c r="C7" s="313"/>
      <c r="D7" s="1229">
        <v>0</v>
      </c>
      <c r="E7" s="1229">
        <v>485</v>
      </c>
      <c r="F7" s="1229">
        <v>0</v>
      </c>
      <c r="G7" s="1229">
        <v>0</v>
      </c>
      <c r="H7" s="1230">
        <v>0</v>
      </c>
    </row>
    <row r="8" spans="2:24">
      <c r="B8" s="1219" t="s">
        <v>578</v>
      </c>
      <c r="C8" s="313"/>
      <c r="D8" s="1231">
        <f>Devel_Financials!S6</f>
        <v>453</v>
      </c>
      <c r="E8" s="1231">
        <f>Devel_Financials!K6</f>
        <v>220</v>
      </c>
      <c r="F8" s="1231">
        <f>Devel_Financials!O6</f>
        <v>750</v>
      </c>
      <c r="G8" s="1231">
        <v>0</v>
      </c>
      <c r="H8" s="1232">
        <v>0</v>
      </c>
    </row>
    <row r="9" spans="2:24">
      <c r="B9" s="1220" t="s">
        <v>636</v>
      </c>
      <c r="C9" s="314"/>
      <c r="D9" s="1233">
        <f>SUM(D6:D8)</f>
        <v>453</v>
      </c>
      <c r="E9" s="1233">
        <f>SUM(E6:E8)</f>
        <v>2205</v>
      </c>
      <c r="F9" s="1233">
        <f>SUM(F6:F8)</f>
        <v>4250</v>
      </c>
      <c r="G9" s="1233">
        <f>SUM(G6:G8)</f>
        <v>3000</v>
      </c>
      <c r="H9" s="1234">
        <f>SUM(H6:H8)</f>
        <v>3000</v>
      </c>
    </row>
    <row r="10" spans="2:24" ht="13.5" thickBot="1">
      <c r="B10" s="1221" t="s">
        <v>637</v>
      </c>
      <c r="C10" s="1222"/>
      <c r="D10" s="1235">
        <f>D9</f>
        <v>453</v>
      </c>
      <c r="E10" s="1235">
        <f>D10+E9</f>
        <v>2658</v>
      </c>
      <c r="F10" s="1235">
        <f>E10+F9</f>
        <v>6908</v>
      </c>
      <c r="G10" s="1235">
        <f>F10+G9</f>
        <v>9908</v>
      </c>
      <c r="H10" s="1236">
        <f>G10+H9</f>
        <v>12908</v>
      </c>
      <c r="I10" s="334"/>
    </row>
    <row r="11" spans="2:24" ht="12" customHeight="1">
      <c r="B11" s="271" t="s">
        <v>686</v>
      </c>
      <c r="C11" s="313"/>
    </row>
    <row r="12" spans="2:24" ht="12" customHeight="1">
      <c r="C12" s="313"/>
    </row>
    <row r="13" spans="2:24" ht="12" customHeight="1">
      <c r="C13" s="313"/>
    </row>
    <row r="14" spans="2:24" ht="15.75">
      <c r="B14" s="737" t="s">
        <v>579</v>
      </c>
      <c r="C14" s="313"/>
      <c r="X14" s="566" t="s">
        <v>580</v>
      </c>
    </row>
    <row r="15" spans="2:24">
      <c r="B15" s="271" t="s">
        <v>581</v>
      </c>
      <c r="C15" s="1091"/>
      <c r="D15" s="295">
        <f>D6*300</f>
        <v>0</v>
      </c>
      <c r="E15" s="295">
        <f>+E6*Devel_Financials!$C$7</f>
        <v>825000</v>
      </c>
      <c r="F15" s="295">
        <f>+F6*Devel_Financials!$C$7</f>
        <v>1925000</v>
      </c>
      <c r="G15" s="295">
        <f>+G6*Devel_Financials!$C$7</f>
        <v>1650000</v>
      </c>
      <c r="H15" s="295">
        <f>+H6*Devel_Financials!$C$7</f>
        <v>1650000</v>
      </c>
      <c r="X15" s="302">
        <f>SUM(D15:W15)</f>
        <v>6050000</v>
      </c>
    </row>
    <row r="16" spans="2:24">
      <c r="B16" s="271" t="s">
        <v>582</v>
      </c>
      <c r="C16" s="1091"/>
      <c r="D16" s="302">
        <v>0</v>
      </c>
      <c r="E16" s="295">
        <f>E7*Devel_Financials!$G$7</f>
        <v>533500</v>
      </c>
      <c r="F16" s="295">
        <f>F7*Devel_Financials!$G$7</f>
        <v>0</v>
      </c>
      <c r="G16" s="295">
        <f>G7*Devel_Financials!$G$7</f>
        <v>0</v>
      </c>
      <c r="H16" s="295">
        <f>H7*Devel_Financials!$G$7</f>
        <v>0</v>
      </c>
      <c r="X16" s="302">
        <f>SUM(D16:W16)</f>
        <v>533500</v>
      </c>
    </row>
    <row r="17" spans="2:24">
      <c r="B17" s="914" t="s">
        <v>583</v>
      </c>
      <c r="C17" s="1091"/>
      <c r="D17" s="297">
        <f>Devel_Financials!S8</f>
        <v>192525</v>
      </c>
      <c r="E17" s="297">
        <f>Devel_Financials!K8</f>
        <v>165000</v>
      </c>
      <c r="F17" s="297">
        <f>Devel_Financials!O8</f>
        <v>562500</v>
      </c>
      <c r="G17" s="297">
        <v>0</v>
      </c>
      <c r="H17" s="297">
        <v>0</v>
      </c>
      <c r="X17" s="1190">
        <f>SUM(D17:W17)</f>
        <v>920025</v>
      </c>
    </row>
    <row r="18" spans="2:24">
      <c r="B18" s="271" t="s">
        <v>584</v>
      </c>
      <c r="C18" s="1091"/>
      <c r="D18" s="295">
        <f>SUM(D15:D17)</f>
        <v>192525</v>
      </c>
      <c r="E18" s="295">
        <f>SUM(E15:E17)</f>
        <v>1523500</v>
      </c>
      <c r="F18" s="295">
        <f>SUM(F15:F17)</f>
        <v>2487500</v>
      </c>
      <c r="G18" s="295">
        <f>SUM(G15:G17)</f>
        <v>1650000</v>
      </c>
      <c r="H18" s="295">
        <f>SUM(H15:H17)</f>
        <v>1650000</v>
      </c>
      <c r="X18" s="1191">
        <f>SUM(D18:W18)</f>
        <v>7503525</v>
      </c>
    </row>
    <row r="19" spans="2:24">
      <c r="C19" s="302"/>
      <c r="D19" s="1187"/>
      <c r="E19" s="1028"/>
      <c r="F19" s="1028"/>
      <c r="G19" s="1028"/>
      <c r="H19" s="1028"/>
    </row>
    <row r="20" spans="2:24" ht="15.75">
      <c r="B20" s="737" t="s">
        <v>129</v>
      </c>
      <c r="D20" s="295">
        <f>+(D15+D17)*Devel_Financials!$C$9+D16*Devel_Financials!$G$9</f>
        <v>57757.5</v>
      </c>
      <c r="E20" s="295">
        <f>+(E15+E17)*Devel_Financials!$C$9+E16*Devel_Financials!$G$9</f>
        <v>563750</v>
      </c>
      <c r="F20" s="295">
        <f>+(F15+F17)*Devel_Financials!$C$9+F16*Devel_Financials!$G$9</f>
        <v>746250</v>
      </c>
      <c r="G20" s="295">
        <f>+(G15+G17)*Devel_Financials!$C$9+G16*Devel_Financials!$G$9</f>
        <v>495000</v>
      </c>
      <c r="H20" s="295">
        <f>+(H15+H17)*Devel_Financials!$C$9+H16*Devel_Financials!$G$9</f>
        <v>495000</v>
      </c>
      <c r="X20" s="302">
        <f>SUM(D20:W20)</f>
        <v>2357757.5</v>
      </c>
    </row>
    <row r="21" spans="2:24" ht="15.75">
      <c r="B21" s="1226" t="s">
        <v>130</v>
      </c>
      <c r="D21" s="1190">
        <f>+D18-D20</f>
        <v>134767.5</v>
      </c>
      <c r="E21" s="1190">
        <f>+E18-E20</f>
        <v>959750</v>
      </c>
      <c r="F21" s="1190">
        <f>+F18-F20</f>
        <v>1741250</v>
      </c>
      <c r="G21" s="1190">
        <f>+G18-G20</f>
        <v>1155000</v>
      </c>
      <c r="H21" s="1190">
        <f>+H18-H20</f>
        <v>1155000</v>
      </c>
      <c r="X21" s="1190">
        <f>SUM(D21:W21)</f>
        <v>5145767.5</v>
      </c>
    </row>
    <row r="22" spans="2:24">
      <c r="B22" s="271" t="s">
        <v>663</v>
      </c>
      <c r="D22" s="302">
        <f>D20+D21</f>
        <v>192525</v>
      </c>
      <c r="E22" s="302">
        <f>E20+E21</f>
        <v>1523500</v>
      </c>
      <c r="F22" s="302">
        <f>F20+F21</f>
        <v>2487500</v>
      </c>
      <c r="G22" s="302">
        <f>G20+G21</f>
        <v>1650000</v>
      </c>
      <c r="H22" s="302">
        <f>H20+H21</f>
        <v>1650000</v>
      </c>
      <c r="X22" s="1191">
        <f>SUM(D22:W22)</f>
        <v>7503525</v>
      </c>
    </row>
    <row r="23" spans="2:24">
      <c r="D23" s="302"/>
      <c r="E23" s="302"/>
      <c r="F23" s="302"/>
      <c r="G23" s="302"/>
      <c r="H23" s="302"/>
      <c r="J23" s="1191"/>
    </row>
    <row r="25" spans="2:24" ht="15.75">
      <c r="B25" s="737" t="s">
        <v>30</v>
      </c>
      <c r="F25" s="295"/>
      <c r="G25" s="295"/>
      <c r="H25" s="295"/>
    </row>
    <row r="26" spans="2:24">
      <c r="B26" s="302" t="s">
        <v>585</v>
      </c>
      <c r="D26" s="295">
        <f>Devel_Financials!C159</f>
        <v>3465.45</v>
      </c>
      <c r="E26" s="295">
        <f>Devel_Financials!D159</f>
        <v>6480.3914999999997</v>
      </c>
      <c r="F26" s="295">
        <f>Devel_Financials!E159</f>
        <v>7428.8851649999988</v>
      </c>
      <c r="G26" s="295">
        <f>Devel_Financials!F159</f>
        <v>7920.3344913000001</v>
      </c>
      <c r="H26" s="295">
        <f>Devel_Financials!G159</f>
        <v>8486.0726692499993</v>
      </c>
      <c r="I26" s="295">
        <f>Devel_Financials!H159</f>
        <v>9713.7245154015</v>
      </c>
      <c r="J26" s="295">
        <f>Devel_Financials!I159</f>
        <v>11073.645947557708</v>
      </c>
      <c r="K26" s="295">
        <f>Devel_Financials!J159</f>
        <v>11516.591785460017</v>
      </c>
      <c r="L26" s="295">
        <f>Devel_Financials!K159</f>
        <v>11977.25545687842</v>
      </c>
      <c r="M26" s="295">
        <f>Devel_Financials!L159</f>
        <v>12456.345675153558</v>
      </c>
      <c r="N26" s="295">
        <f>Devel_Financials!M159</f>
        <v>12954.599502159699</v>
      </c>
      <c r="O26" s="295">
        <f>Devel_Financials!N159</f>
        <v>14120.513457354073</v>
      </c>
      <c r="P26" s="295">
        <f>Devel_Financials!O159</f>
        <v>15391.359668515939</v>
      </c>
      <c r="Q26" s="295">
        <f>Devel_Financials!P159</f>
        <v>16776.582038682373</v>
      </c>
      <c r="R26" s="295">
        <f>Devel_Financials!Q159</f>
        <v>18286.474422163788</v>
      </c>
      <c r="S26" s="295">
        <f>Devel_Financials!R159</f>
        <v>26226.654105471745</v>
      </c>
      <c r="T26" s="295">
        <f>Devel_Financials!S159</f>
        <v>24915.321400198158</v>
      </c>
      <c r="U26" s="295">
        <f>Devel_Financials!T159</f>
        <v>23669.55533018825</v>
      </c>
      <c r="V26" s="295">
        <f>Devel_Financials!U159</f>
        <v>22486.077563678838</v>
      </c>
      <c r="W26" s="295">
        <f>Devel_Financials!V159</f>
        <v>21361.7736854949</v>
      </c>
    </row>
    <row r="27" spans="2:24">
      <c r="B27" s="302" t="s">
        <v>586</v>
      </c>
      <c r="D27" s="295">
        <v>0</v>
      </c>
      <c r="E27" s="295">
        <f>Devel_Financials!C91</f>
        <v>2970</v>
      </c>
      <c r="F27" s="295">
        <f>Devel_Financials!D91</f>
        <v>5553.9</v>
      </c>
      <c r="G27" s="295">
        <f>Devel_Financials!E91</f>
        <v>6366.7890000000007</v>
      </c>
      <c r="H27" s="295">
        <f>Devel_Financials!F91</f>
        <v>6787.9765800000014</v>
      </c>
      <c r="I27" s="295">
        <f>Devel_Financials!G91</f>
        <v>7272.8320500000009</v>
      </c>
      <c r="J27" s="295">
        <f>Devel_Financials!H91</f>
        <v>8324.9684199000003</v>
      </c>
      <c r="K27" s="295">
        <f>Devel_Financials!I91</f>
        <v>9490.4639986860002</v>
      </c>
      <c r="L27" s="295">
        <f>Devel_Financials!J91</f>
        <v>9870.0825586334395</v>
      </c>
      <c r="M27" s="295">
        <f>Devel_Financials!K91</f>
        <v>10264.885860978779</v>
      </c>
      <c r="N27" s="295">
        <f>Devel_Financials!L91</f>
        <v>10675.481295417929</v>
      </c>
      <c r="O27" s="295">
        <f>Devel_Financials!M91</f>
        <v>11102.500547234647</v>
      </c>
      <c r="P27" s="295">
        <f>Devel_Financials!N91</f>
        <v>12101.725596485765</v>
      </c>
      <c r="Q27" s="295">
        <f>Devel_Financials!O91</f>
        <v>13190.880900169483</v>
      </c>
      <c r="R27" s="295">
        <f>Devel_Financials!P91</f>
        <v>14378.060181184734</v>
      </c>
      <c r="S27" s="295">
        <f>Devel_Financials!Q91</f>
        <v>15672.085597491359</v>
      </c>
      <c r="T27" s="295">
        <f>Devel_Financials!R91</f>
        <v>22477.070133244186</v>
      </c>
      <c r="U27" s="295">
        <f>Devel_Financials!S91</f>
        <v>21353.216626581976</v>
      </c>
      <c r="V27" s="295">
        <f>Devel_Financials!T91</f>
        <v>20285.555795252876</v>
      </c>
      <c r="W27" s="295">
        <f>Devel_Financials!U91</f>
        <v>19271.278005490232</v>
      </c>
    </row>
    <row r="28" spans="2:24">
      <c r="B28" s="1190" t="s">
        <v>587</v>
      </c>
      <c r="C28" s="313"/>
      <c r="D28" s="297">
        <v>0</v>
      </c>
      <c r="E28" s="297">
        <v>0</v>
      </c>
      <c r="F28" s="297">
        <f>Devel_Financials!C125</f>
        <v>10125</v>
      </c>
      <c r="G28" s="297">
        <f>Devel_Financials!D125</f>
        <v>18933.75</v>
      </c>
      <c r="H28" s="297">
        <f>Devel_Financials!E125</f>
        <v>21704.962500000001</v>
      </c>
      <c r="I28" s="297">
        <f>Devel_Financials!F125</f>
        <v>23140.829249999999</v>
      </c>
      <c r="J28" s="297">
        <f>Devel_Financials!G125</f>
        <v>24793.745624999996</v>
      </c>
      <c r="K28" s="297">
        <f>Devel_Financials!H125</f>
        <v>28380.574158749998</v>
      </c>
      <c r="L28" s="297">
        <f>Devel_Financials!I125</f>
        <v>32353.854540975</v>
      </c>
      <c r="M28" s="297">
        <f>Devel_Financials!J125</f>
        <v>33648.008722614002</v>
      </c>
      <c r="N28" s="297">
        <f>Devel_Financials!K125</f>
        <v>34993.929071518563</v>
      </c>
      <c r="O28" s="297">
        <f>Devel_Financials!L125</f>
        <v>36393.686234379311</v>
      </c>
      <c r="P28" s="297">
        <f>Devel_Financials!M125</f>
        <v>37849.433683754483</v>
      </c>
      <c r="Q28" s="297">
        <f>Devel_Financials!N125</f>
        <v>41255.882715292384</v>
      </c>
      <c r="R28" s="297">
        <f>Devel_Financials!O125</f>
        <v>44968.912159668696</v>
      </c>
      <c r="S28" s="297">
        <f>Devel_Financials!P125</f>
        <v>49016.114254038883</v>
      </c>
      <c r="T28" s="297">
        <f>Devel_Financials!Q125</f>
        <v>53427.564536902384</v>
      </c>
      <c r="U28" s="297">
        <f>Devel_Financials!R125</f>
        <v>76626.37545424157</v>
      </c>
      <c r="V28" s="297">
        <f>Devel_Financials!S125</f>
        <v>72795.056681529502</v>
      </c>
      <c r="W28" s="297">
        <f>Devel_Financials!T125</f>
        <v>69155.303847453033</v>
      </c>
    </row>
    <row r="29" spans="2:24">
      <c r="B29" s="302" t="s">
        <v>588</v>
      </c>
      <c r="D29" s="295">
        <f>SUM(D26:D28)</f>
        <v>3465.45</v>
      </c>
      <c r="E29" s="295">
        <f t="shared" ref="E29:W29" si="1">SUM(E26:E28)</f>
        <v>9450.3914999999997</v>
      </c>
      <c r="F29" s="295">
        <f t="shared" si="1"/>
        <v>23107.785164999998</v>
      </c>
      <c r="G29" s="295">
        <f t="shared" si="1"/>
        <v>33220.873491300001</v>
      </c>
      <c r="H29" s="295">
        <f t="shared" si="1"/>
        <v>36979.011749249999</v>
      </c>
      <c r="I29" s="295">
        <f t="shared" si="1"/>
        <v>40127.385815401503</v>
      </c>
      <c r="J29" s="295">
        <f t="shared" si="1"/>
        <v>44192.359992457707</v>
      </c>
      <c r="K29" s="295">
        <f t="shared" si="1"/>
        <v>49387.629942896019</v>
      </c>
      <c r="L29" s="295">
        <f t="shared" si="1"/>
        <v>54201.192556486858</v>
      </c>
      <c r="M29" s="295">
        <f t="shared" si="1"/>
        <v>56369.240258746337</v>
      </c>
      <c r="N29" s="295">
        <f t="shared" si="1"/>
        <v>58624.00986909619</v>
      </c>
      <c r="O29" s="295">
        <f t="shared" si="1"/>
        <v>61616.700238968027</v>
      </c>
      <c r="P29" s="295">
        <f t="shared" si="1"/>
        <v>65342.518948756187</v>
      </c>
      <c r="Q29" s="295">
        <f t="shared" si="1"/>
        <v>71223.345654144243</v>
      </c>
      <c r="R29" s="295">
        <f t="shared" si="1"/>
        <v>77633.446763017215</v>
      </c>
      <c r="S29" s="295">
        <f t="shared" si="1"/>
        <v>90914.853957001993</v>
      </c>
      <c r="T29" s="295">
        <f t="shared" si="1"/>
        <v>100819.95607034472</v>
      </c>
      <c r="U29" s="295">
        <f t="shared" si="1"/>
        <v>121649.1474110118</v>
      </c>
      <c r="V29" s="295">
        <f t="shared" si="1"/>
        <v>115566.69004046122</v>
      </c>
      <c r="W29" s="295">
        <f t="shared" si="1"/>
        <v>109788.35553843816</v>
      </c>
    </row>
    <row r="30" spans="2:24">
      <c r="B30" s="302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</row>
    <row r="31" spans="2:24" s="302" customFormat="1">
      <c r="B31" s="302" t="s">
        <v>589</v>
      </c>
      <c r="D31" s="295">
        <f>+Devel_Financials!C21*$D$6/500</f>
        <v>0</v>
      </c>
      <c r="E31" s="295">
        <f>+Devel_Financials!D21*$D$6/500</f>
        <v>0</v>
      </c>
      <c r="F31" s="295">
        <f>+Devel_Financials!E21*$D$6/500</f>
        <v>0</v>
      </c>
      <c r="G31" s="295">
        <f>+Devel_Financials!F21*$D$6/500</f>
        <v>0</v>
      </c>
      <c r="H31" s="295">
        <f>+Devel_Financials!G21*$D$6/500</f>
        <v>0</v>
      </c>
      <c r="I31" s="295">
        <f>+Devel_Financials!H21*$D$6/500</f>
        <v>0</v>
      </c>
      <c r="J31" s="295">
        <f>+Devel_Financials!I21*$D$6/500</f>
        <v>0</v>
      </c>
      <c r="K31" s="295">
        <f>+Devel_Financials!J21*$D$6/500</f>
        <v>0</v>
      </c>
      <c r="L31" s="295">
        <f>+Devel_Financials!K21*$D$6/500</f>
        <v>0</v>
      </c>
      <c r="M31" s="295">
        <f>+Devel_Financials!L21*$D$6/500</f>
        <v>0</v>
      </c>
      <c r="N31" s="295">
        <f>+Devel_Financials!M21*$D$6/500</f>
        <v>0</v>
      </c>
      <c r="O31" s="295">
        <f>+Devel_Financials!N21*$D$6/500</f>
        <v>0</v>
      </c>
      <c r="P31" s="295">
        <f>+Devel_Financials!O21*$D$6/500</f>
        <v>0</v>
      </c>
      <c r="Q31" s="295">
        <f>+Devel_Financials!P21*$D$6/500</f>
        <v>0</v>
      </c>
      <c r="R31" s="295">
        <f>+Devel_Financials!Q21*$D$6/500</f>
        <v>0</v>
      </c>
      <c r="S31" s="295">
        <f>+Devel_Financials!R21*$D$6/500</f>
        <v>0</v>
      </c>
      <c r="T31" s="295">
        <f>+Devel_Financials!S21*$D$6/500</f>
        <v>0</v>
      </c>
      <c r="U31" s="295">
        <f>+Devel_Financials!T21*$D$6/500</f>
        <v>0</v>
      </c>
      <c r="V31" s="295">
        <f>+Devel_Financials!U21*$D$6/500</f>
        <v>0</v>
      </c>
      <c r="W31" s="295">
        <f>+Devel_Financials!V21*$D$6/500</f>
        <v>0</v>
      </c>
    </row>
    <row r="32" spans="2:24" s="302" customFormat="1">
      <c r="B32" s="302" t="s">
        <v>590</v>
      </c>
      <c r="D32" s="302">
        <v>0</v>
      </c>
      <c r="E32" s="295">
        <f>+Devel_Financials!C21*$E$6/500</f>
        <v>14850</v>
      </c>
      <c r="F32" s="295">
        <f>+Devel_Financials!D21*$E$6/500</f>
        <v>27769.5</v>
      </c>
      <c r="G32" s="295">
        <f>+Devel_Financials!E21*$E$6/500</f>
        <v>31833.945</v>
      </c>
      <c r="H32" s="295">
        <f>+Devel_Financials!F21*$E$6/500</f>
        <v>33939.882899999997</v>
      </c>
      <c r="I32" s="295">
        <f>+Devel_Financials!G21*$E$6/500</f>
        <v>36364.160250000001</v>
      </c>
      <c r="J32" s="295">
        <f>+Devel_Financials!H21*$E$6/500</f>
        <v>41624.842099500005</v>
      </c>
      <c r="K32" s="295">
        <f>+Devel_Financials!I21*$E$6/500</f>
        <v>47452.319993430014</v>
      </c>
      <c r="L32" s="295">
        <f>+Devel_Financials!J21*$E$6/500</f>
        <v>49350.412793167205</v>
      </c>
      <c r="M32" s="295">
        <f>+Devel_Financials!K21*$E$6/500</f>
        <v>51324.429304893885</v>
      </c>
      <c r="N32" s="295">
        <f>+Devel_Financials!L21*$E$6/500</f>
        <v>53377.406477089651</v>
      </c>
      <c r="O32" s="295">
        <f>+Devel_Financials!M21*$E$6/500</f>
        <v>55512.502736173243</v>
      </c>
      <c r="P32" s="295">
        <f>+Devel_Financials!N21*$E$6/500</f>
        <v>60508.627982428829</v>
      </c>
      <c r="Q32" s="295">
        <f>+Devel_Financials!O21*$E$6/500</f>
        <v>65954.404500847435</v>
      </c>
      <c r="R32" s="295">
        <f>+Devel_Financials!P21*$E$6/500</f>
        <v>71890.300905923694</v>
      </c>
      <c r="S32" s="295">
        <f>+Devel_Financials!Q21*$E$6/500</f>
        <v>78360.427987456831</v>
      </c>
      <c r="T32" s="295">
        <f>+Devel_Financials!R21*$E$6/500</f>
        <v>112385.350666221</v>
      </c>
      <c r="U32" s="295">
        <f>+Devel_Financials!S21*$E$6/500</f>
        <v>106766.08313290995</v>
      </c>
      <c r="V32" s="295">
        <f>+Devel_Financials!T21*$E$6/500</f>
        <v>101427.77897626445</v>
      </c>
      <c r="W32" s="295">
        <f>+Devel_Financials!U21*$E$6/500</f>
        <v>96356.390027451213</v>
      </c>
    </row>
    <row r="33" spans="2:25" s="302" customFormat="1">
      <c r="B33" s="302" t="s">
        <v>591</v>
      </c>
      <c r="D33" s="302">
        <v>0</v>
      </c>
      <c r="E33" s="302">
        <v>0</v>
      </c>
      <c r="F33" s="295">
        <f>+Devel_Financials!C21*$F$6/500</f>
        <v>34650</v>
      </c>
      <c r="G33" s="295">
        <f>+Devel_Financials!D21*$F$6/500</f>
        <v>64795.5</v>
      </c>
      <c r="H33" s="295">
        <f>+Devel_Financials!E21*$F$6/500</f>
        <v>74279.205000000002</v>
      </c>
      <c r="I33" s="295">
        <f>+Devel_Financials!F21*$F$6/500</f>
        <v>79193.060099999988</v>
      </c>
      <c r="J33" s="295">
        <f>+Devel_Financials!G21*$F$6/500</f>
        <v>84849.707250000007</v>
      </c>
      <c r="K33" s="295">
        <f>+Devel_Financials!H21*$F$6/500</f>
        <v>97124.631565500022</v>
      </c>
      <c r="L33" s="295">
        <f>+Devel_Financials!I21*$F$6/500</f>
        <v>110722.07998467001</v>
      </c>
      <c r="M33" s="295">
        <f>+Devel_Financials!J21*$F$6/500</f>
        <v>115150.9631840568</v>
      </c>
      <c r="N33" s="295">
        <f>+Devel_Financials!K21*$F$6/500</f>
        <v>119757.00171141907</v>
      </c>
      <c r="O33" s="295">
        <f>+Devel_Financials!L21*$F$6/500</f>
        <v>124547.28177987585</v>
      </c>
      <c r="P33" s="295">
        <f>+Devel_Financials!M21*$F$6/500</f>
        <v>129529.17305107089</v>
      </c>
      <c r="Q33" s="295">
        <f>+Devel_Financials!N21*$F$6/500</f>
        <v>141186.79862566729</v>
      </c>
      <c r="R33" s="295">
        <f>+Devel_Financials!O21*$F$6/500</f>
        <v>153893.61050197732</v>
      </c>
      <c r="S33" s="295">
        <f>+Devel_Financials!P21*$F$6/500</f>
        <v>167744.0354471553</v>
      </c>
      <c r="T33" s="295">
        <f>+Devel_Financials!Q21*$F$6/500</f>
        <v>182840.99863739929</v>
      </c>
      <c r="U33" s="295">
        <f>+Devel_Financials!R21*$F$6/500</f>
        <v>262232.48488784896</v>
      </c>
      <c r="V33" s="295">
        <f>+Devel_Financials!S21*$F$6/500</f>
        <v>249120.86064345652</v>
      </c>
      <c r="W33" s="295">
        <f>+Devel_Financials!T21*$F$6/500</f>
        <v>236664.81761128371</v>
      </c>
    </row>
    <row r="34" spans="2:25" s="302" customFormat="1">
      <c r="B34" s="302" t="s">
        <v>592</v>
      </c>
      <c r="D34" s="302">
        <v>0</v>
      </c>
      <c r="E34" s="302">
        <v>0</v>
      </c>
      <c r="F34" s="295">
        <v>0</v>
      </c>
      <c r="G34" s="295">
        <f>+Devel_Financials!C21*6</f>
        <v>29700</v>
      </c>
      <c r="H34" s="295">
        <f>+Devel_Financials!D21*6</f>
        <v>55539</v>
      </c>
      <c r="I34" s="295">
        <f>+Devel_Financials!E21*6</f>
        <v>63667.89</v>
      </c>
      <c r="J34" s="295">
        <f>+Devel_Financials!F21*6</f>
        <v>67879.765799999994</v>
      </c>
      <c r="K34" s="295">
        <f>+Devel_Financials!G21*6</f>
        <v>72728.320500000002</v>
      </c>
      <c r="L34" s="295">
        <f>+Devel_Financials!H21*6</f>
        <v>83249.68419900001</v>
      </c>
      <c r="M34" s="295">
        <f>+Devel_Financials!I21*6</f>
        <v>94904.639986860013</v>
      </c>
      <c r="N34" s="295">
        <f>+Devel_Financials!J21*6</f>
        <v>98700.825586334409</v>
      </c>
      <c r="O34" s="295">
        <f>+Devel_Financials!K21*6</f>
        <v>102648.85860978777</v>
      </c>
      <c r="P34" s="295">
        <f>+Devel_Financials!L21*6</f>
        <v>106754.8129541793</v>
      </c>
      <c r="Q34" s="295">
        <f>+Devel_Financials!M21*6</f>
        <v>111025.00547234647</v>
      </c>
      <c r="R34" s="295">
        <f>+Devel_Financials!N21*6</f>
        <v>121017.25596485766</v>
      </c>
      <c r="S34" s="295">
        <f>+Devel_Financials!O21*6</f>
        <v>131908.80900169484</v>
      </c>
      <c r="T34" s="295">
        <f>+Devel_Financials!P21*6</f>
        <v>143780.60181184739</v>
      </c>
      <c r="U34" s="295">
        <f>+Devel_Financials!Q21*6</f>
        <v>156720.85597491366</v>
      </c>
      <c r="V34" s="295">
        <f>+Devel_Financials!R21*6</f>
        <v>224770.701332442</v>
      </c>
      <c r="W34" s="295">
        <f>+Devel_Financials!S21*6</f>
        <v>213532.16626581986</v>
      </c>
    </row>
    <row r="35" spans="2:25" s="302" customFormat="1">
      <c r="B35" s="1190" t="s">
        <v>593</v>
      </c>
      <c r="C35" s="1192"/>
      <c r="D35" s="1190">
        <v>0</v>
      </c>
      <c r="E35" s="1190">
        <v>0</v>
      </c>
      <c r="F35" s="297">
        <v>0</v>
      </c>
      <c r="G35" s="297">
        <v>0</v>
      </c>
      <c r="H35" s="297">
        <f>+Devel_Financials!C21*6</f>
        <v>29700</v>
      </c>
      <c r="I35" s="297">
        <f>+Devel_Financials!D21*6</f>
        <v>55539</v>
      </c>
      <c r="J35" s="297">
        <f>+Devel_Financials!E21*6</f>
        <v>63667.89</v>
      </c>
      <c r="K35" s="297">
        <f>+Devel_Financials!F21*6</f>
        <v>67879.765799999994</v>
      </c>
      <c r="L35" s="297">
        <f>+Devel_Financials!G21*6</f>
        <v>72728.320500000002</v>
      </c>
      <c r="M35" s="297">
        <f>+Devel_Financials!H21*6</f>
        <v>83249.68419900001</v>
      </c>
      <c r="N35" s="297">
        <f>+Devel_Financials!I21*6</f>
        <v>94904.639986860013</v>
      </c>
      <c r="O35" s="297">
        <f>+Devel_Financials!J21*6</f>
        <v>98700.825586334409</v>
      </c>
      <c r="P35" s="297">
        <f>+Devel_Financials!K21*6</f>
        <v>102648.85860978777</v>
      </c>
      <c r="Q35" s="297">
        <f>+Devel_Financials!L21*6</f>
        <v>106754.8129541793</v>
      </c>
      <c r="R35" s="297">
        <f>+Devel_Financials!M21*6</f>
        <v>111025.00547234647</v>
      </c>
      <c r="S35" s="297">
        <f>+Devel_Financials!N21*6</f>
        <v>121017.25596485766</v>
      </c>
      <c r="T35" s="297">
        <f>+Devel_Financials!O21*6</f>
        <v>131908.80900169484</v>
      </c>
      <c r="U35" s="297">
        <f>+Devel_Financials!P21*6</f>
        <v>143780.60181184739</v>
      </c>
      <c r="V35" s="297">
        <f>+Devel_Financials!Q21*6</f>
        <v>156720.85597491366</v>
      </c>
      <c r="W35" s="297">
        <f>+Devel_Financials!R21*6</f>
        <v>224770.701332442</v>
      </c>
    </row>
    <row r="36" spans="2:25" s="302" customFormat="1">
      <c r="B36" s="302" t="s">
        <v>594</v>
      </c>
      <c r="D36" s="302">
        <f>SUM(D31:D35)</f>
        <v>0</v>
      </c>
      <c r="E36" s="302">
        <f t="shared" ref="E36:W36" si="2">SUM(E31:E35)</f>
        <v>14850</v>
      </c>
      <c r="F36" s="302">
        <f t="shared" si="2"/>
        <v>62419.5</v>
      </c>
      <c r="G36" s="302">
        <f t="shared" si="2"/>
        <v>126329.44500000001</v>
      </c>
      <c r="H36" s="302">
        <f t="shared" si="2"/>
        <v>193458.08789999998</v>
      </c>
      <c r="I36" s="302">
        <f t="shared" si="2"/>
        <v>234764.11034999997</v>
      </c>
      <c r="J36" s="302">
        <f t="shared" si="2"/>
        <v>258022.20514949999</v>
      </c>
      <c r="K36" s="302">
        <f t="shared" si="2"/>
        <v>285185.03785893007</v>
      </c>
      <c r="L36" s="302">
        <f t="shared" si="2"/>
        <v>316050.49747683725</v>
      </c>
      <c r="M36" s="302">
        <f t="shared" si="2"/>
        <v>344629.71667481074</v>
      </c>
      <c r="N36" s="302">
        <f t="shared" si="2"/>
        <v>366739.87376170314</v>
      </c>
      <c r="O36" s="302">
        <f t="shared" si="2"/>
        <v>381409.46871217125</v>
      </c>
      <c r="P36" s="302">
        <f t="shared" si="2"/>
        <v>399441.47259746678</v>
      </c>
      <c r="Q36" s="302">
        <f t="shared" si="2"/>
        <v>424921.02155304054</v>
      </c>
      <c r="R36" s="302">
        <f t="shared" si="2"/>
        <v>457826.17284510517</v>
      </c>
      <c r="S36" s="302">
        <f t="shared" si="2"/>
        <v>499030.52840116463</v>
      </c>
      <c r="T36" s="302">
        <f t="shared" si="2"/>
        <v>570915.76011716248</v>
      </c>
      <c r="U36" s="302">
        <f t="shared" si="2"/>
        <v>669500.02580752003</v>
      </c>
      <c r="V36" s="302">
        <f t="shared" si="2"/>
        <v>732040.19692707667</v>
      </c>
      <c r="W36" s="302">
        <f t="shared" si="2"/>
        <v>771324.07523699687</v>
      </c>
    </row>
    <row r="37" spans="2:25" s="302" customFormat="1"/>
    <row r="38" spans="2:25" s="302" customFormat="1">
      <c r="B38" s="1190" t="s">
        <v>595</v>
      </c>
      <c r="D38" s="1190">
        <v>0</v>
      </c>
      <c r="E38" s="1190">
        <f>Devel_Financials!C55*Devel_Summary!$E$7/Devel_Financials!$G$6</f>
        <v>31628.535959985711</v>
      </c>
      <c r="F38" s="1190">
        <f>Devel_Financials!D55*Devel_Summary!$E$7/Devel_Financials!$G$6</f>
        <v>26895.348934966321</v>
      </c>
      <c r="G38" s="1190">
        <f>Devel_Financials!E55*Devel_Summary!$E$7/Devel_Financials!$G$6</f>
        <v>26162.966178918588</v>
      </c>
      <c r="H38" s="1190">
        <f>Devel_Financials!F55*Devel_Summary!$E$7/Devel_Financials!$G$6</f>
        <v>26456.67906383441</v>
      </c>
      <c r="I38" s="1190">
        <f>Devel_Financials!G55*Devel_Summary!$E$7/Devel_Financials!$G$6</f>
        <v>29327.289282381316</v>
      </c>
      <c r="J38" s="1190">
        <f>Devel_Financials!H55*Devel_Summary!$E$7/Devel_Financials!$G$6</f>
        <v>29393.966427413397</v>
      </c>
      <c r="K38" s="1190">
        <f>Devel_Financials!I55*Devel_Summary!$E$7/Devel_Financials!$G$6</f>
        <v>32940.788069921386</v>
      </c>
      <c r="L38" s="1190">
        <f>Devel_Financials!J55*Devel_Summary!$E$7/Devel_Financials!$G$6</f>
        <v>34155.202111640821</v>
      </c>
      <c r="M38" s="1190">
        <f>Devel_Financials!K55*Devel_Summary!$E$7/Devel_Financials!$G$6</f>
        <v>35464.347273669155</v>
      </c>
      <c r="N38" s="1190">
        <f>Devel_Financials!L55*Devel_Summary!$E$7/Devel_Financials!$G$6</f>
        <v>38823.061173655187</v>
      </c>
      <c r="O38" s="1190">
        <f>Devel_Financials!M55*Devel_Summary!$E$7/Devel_Financials!$G$6</f>
        <v>3175.9803863025895</v>
      </c>
      <c r="P38" s="1190">
        <f>Devel_Financials!N55*Devel_Summary!$E$7/Devel_Financials!$G$6</f>
        <v>-134.25013967440159</v>
      </c>
      <c r="Q38" s="1190">
        <f>Devel_Financials!O55*Devel_Summary!$E$7/Devel_Financials!$G$6</f>
        <v>750.39516161366396</v>
      </c>
      <c r="R38" s="1190">
        <f>Devel_Financials!P55*Devel_Summary!$E$7/Devel_Financials!$G$6</f>
        <v>1523.2184196103692</v>
      </c>
      <c r="S38" s="1190">
        <f>Devel_Financials!Q55*Devel_Summary!$E$7/Devel_Financials!$G$6</f>
        <v>2387.4320120428947</v>
      </c>
      <c r="T38" s="1190">
        <f>Devel_Financials!R55*Devel_Summary!$E$7/Devel_Financials!$G$6</f>
        <v>3560.5536304483344</v>
      </c>
      <c r="U38" s="1190">
        <f>Devel_Financials!S55*Devel_Summary!$E$7/Devel_Financials!$G$6</f>
        <v>4577.2997740094715</v>
      </c>
      <c r="V38" s="1190">
        <f>Devel_Financials!T55*Devel_Summary!$E$7/Devel_Financials!$G$6</f>
        <v>5536.5532723467113</v>
      </c>
      <c r="W38" s="1190">
        <f>Devel_Financials!U55*Devel_Summary!$E$7/Devel_Financials!$G$6</f>
        <v>5601.5204158587849</v>
      </c>
    </row>
    <row r="39" spans="2:25" s="302" customFormat="1"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</row>
    <row r="40" spans="2:25" s="302" customFormat="1" ht="13.5" thickBot="1">
      <c r="B40" s="1127" t="s">
        <v>596</v>
      </c>
      <c r="C40" s="1191"/>
      <c r="D40" s="1127">
        <f>D29+D36+D38</f>
        <v>3465.45</v>
      </c>
      <c r="E40" s="1127">
        <f t="shared" ref="E40:W40" si="3">E29+E36+E38</f>
        <v>55928.927459985709</v>
      </c>
      <c r="F40" s="1127">
        <f t="shared" si="3"/>
        <v>112422.63409996632</v>
      </c>
      <c r="G40" s="1127">
        <f t="shared" si="3"/>
        <v>185713.28467021859</v>
      </c>
      <c r="H40" s="1127">
        <f t="shared" si="3"/>
        <v>256893.77871308441</v>
      </c>
      <c r="I40" s="1127">
        <f t="shared" si="3"/>
        <v>304218.78544778278</v>
      </c>
      <c r="J40" s="1127">
        <f t="shared" si="3"/>
        <v>331608.53156937112</v>
      </c>
      <c r="K40" s="1127">
        <f t="shared" si="3"/>
        <v>367513.45587174746</v>
      </c>
      <c r="L40" s="1127">
        <f t="shared" si="3"/>
        <v>404406.89214496495</v>
      </c>
      <c r="M40" s="1127">
        <f t="shared" si="3"/>
        <v>436463.3042072262</v>
      </c>
      <c r="N40" s="1127">
        <f t="shared" si="3"/>
        <v>464186.94480445457</v>
      </c>
      <c r="O40" s="1127">
        <f t="shared" si="3"/>
        <v>446202.14933744184</v>
      </c>
      <c r="P40" s="1127">
        <f t="shared" si="3"/>
        <v>464649.74140654854</v>
      </c>
      <c r="Q40" s="1127">
        <f t="shared" si="3"/>
        <v>496894.76236879843</v>
      </c>
      <c r="R40" s="1127">
        <f t="shared" si="3"/>
        <v>536982.8380277328</v>
      </c>
      <c r="S40" s="1127">
        <f t="shared" si="3"/>
        <v>592332.81437020947</v>
      </c>
      <c r="T40" s="1127">
        <f t="shared" si="3"/>
        <v>675296.26981795544</v>
      </c>
      <c r="U40" s="1127">
        <f t="shared" si="3"/>
        <v>795726.47299254127</v>
      </c>
      <c r="V40" s="1127">
        <f t="shared" si="3"/>
        <v>853143.44023988466</v>
      </c>
      <c r="W40" s="1127">
        <f t="shared" si="3"/>
        <v>886713.95119129389</v>
      </c>
      <c r="Y40" s="1193">
        <f>SUM(D40:W40)</f>
        <v>8670764.4287412073</v>
      </c>
    </row>
    <row r="41" spans="2:25" ht="13.5" thickTop="1">
      <c r="D41" s="302"/>
      <c r="E41" s="302"/>
      <c r="F41" s="302"/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Q41" s="302"/>
      <c r="R41" s="302"/>
      <c r="S41" s="302"/>
      <c r="T41" s="302"/>
      <c r="U41" s="302"/>
      <c r="V41" s="302"/>
      <c r="W41" s="302"/>
    </row>
    <row r="42" spans="2:25">
      <c r="F42" s="295"/>
      <c r="G42" s="295"/>
      <c r="H42" s="295"/>
    </row>
    <row r="43" spans="2:25" ht="15.75">
      <c r="B43" s="737" t="s">
        <v>597</v>
      </c>
    </row>
    <row r="44" spans="2:25">
      <c r="B44" s="295" t="s">
        <v>585</v>
      </c>
      <c r="D44" s="295">
        <f>Devel_Financials!C160</f>
        <v>2310.3000000000002</v>
      </c>
      <c r="E44" s="295">
        <f>Devel_Financials!D160</f>
        <v>8247.7710000000006</v>
      </c>
      <c r="F44" s="295">
        <f>Devel_Financials!E160</f>
        <v>8000.3378699999994</v>
      </c>
      <c r="G44" s="295">
        <f>Devel_Financials!F160</f>
        <v>7920.3344913000001</v>
      </c>
      <c r="H44" s="295">
        <f>Devel_Financials!G160</f>
        <v>7920.3344913000001</v>
      </c>
      <c r="I44" s="295">
        <f>Devel_Financials!H160</f>
        <v>8570.9333959424985</v>
      </c>
      <c r="J44" s="295">
        <f>Devel_Financials!I160</f>
        <v>8742.3520638613481</v>
      </c>
      <c r="K44" s="295">
        <f>Devel_Financials!J160</f>
        <v>9092.0461464158034</v>
      </c>
      <c r="L44" s="295">
        <f>Devel_Financials!K160</f>
        <v>9455.7279922724356</v>
      </c>
      <c r="M44" s="295">
        <f>Devel_Financials!L160</f>
        <v>9833.9571119633347</v>
      </c>
      <c r="N44" s="295">
        <f>Devel_Financials!M160</f>
        <v>6818.2102642945792</v>
      </c>
      <c r="O44" s="295">
        <f>Devel_Financials!N160</f>
        <v>7431.8491880810907</v>
      </c>
      <c r="P44" s="295">
        <f>Devel_Financials!O160</f>
        <v>8100.7156150083892</v>
      </c>
      <c r="Q44" s="295">
        <f>Devel_Financials!P160</f>
        <v>8829.7800203591451</v>
      </c>
      <c r="R44" s="295">
        <f>Devel_Financials!Q160</f>
        <v>9624.4602221914665</v>
      </c>
      <c r="S44" s="295">
        <f>Devel_Financials!R160</f>
        <v>31471.984926566092</v>
      </c>
      <c r="T44" s="295">
        <f>Devel_Financials!S160</f>
        <v>29898.385680237789</v>
      </c>
      <c r="U44" s="295">
        <f>Devel_Financials!T160</f>
        <v>28403.4663962259</v>
      </c>
      <c r="V44" s="295">
        <f>Devel_Financials!U160</f>
        <v>26983.293076414604</v>
      </c>
      <c r="W44" s="295">
        <f>Devel_Financials!V160</f>
        <v>25634.12842259388</v>
      </c>
    </row>
    <row r="45" spans="2:25">
      <c r="B45" s="295" t="s">
        <v>586</v>
      </c>
      <c r="D45" s="295">
        <v>0</v>
      </c>
      <c r="E45" s="295">
        <f>Devel_Financials!C92</f>
        <v>1980</v>
      </c>
      <c r="F45" s="295">
        <f>Devel_Financials!D92</f>
        <v>7068.6</v>
      </c>
      <c r="G45" s="295">
        <f>Devel_Financials!E92</f>
        <v>6856.5420000000013</v>
      </c>
      <c r="H45" s="295">
        <f>Devel_Financials!F92</f>
        <v>6787.9765800000014</v>
      </c>
      <c r="I45" s="295">
        <f>Devel_Financials!G92</f>
        <v>6787.9765800000014</v>
      </c>
      <c r="J45" s="295">
        <f>Devel_Financials!H92</f>
        <v>7345.5603705000003</v>
      </c>
      <c r="K45" s="295">
        <f>Devel_Financials!I92</f>
        <v>7492.4715779099997</v>
      </c>
      <c r="L45" s="295">
        <f>Devel_Financials!J92</f>
        <v>7792.1704410263992</v>
      </c>
      <c r="M45" s="295">
        <f>Devel_Financials!K92</f>
        <v>8103.8572586674554</v>
      </c>
      <c r="N45" s="295">
        <f>Devel_Financials!L92</f>
        <v>8428.0115490141543</v>
      </c>
      <c r="O45" s="295">
        <f>Devel_Financials!M92</f>
        <v>5843.4213406498147</v>
      </c>
      <c r="P45" s="295">
        <f>Devel_Financials!N92</f>
        <v>6369.3292613082976</v>
      </c>
      <c r="Q45" s="295">
        <f>Devel_Financials!O92</f>
        <v>6942.5688948260431</v>
      </c>
      <c r="R45" s="295">
        <f>Devel_Financials!P92</f>
        <v>7567.4000953603863</v>
      </c>
      <c r="S45" s="295">
        <f>Devel_Financials!Q92</f>
        <v>8248.4661039428211</v>
      </c>
      <c r="T45" s="295">
        <f>Devel_Financials!R92</f>
        <v>26972.484159893022</v>
      </c>
      <c r="U45" s="295">
        <f>Devel_Financials!S92</f>
        <v>25623.859951898372</v>
      </c>
      <c r="V45" s="295">
        <f>Devel_Financials!T92</f>
        <v>24342.666954303451</v>
      </c>
      <c r="W45" s="295">
        <f>Devel_Financials!U92</f>
        <v>23125.533606588277</v>
      </c>
    </row>
    <row r="46" spans="2:25">
      <c r="B46" s="297" t="s">
        <v>587</v>
      </c>
      <c r="C46" s="1042"/>
      <c r="D46" s="297">
        <v>0</v>
      </c>
      <c r="E46" s="297">
        <v>0</v>
      </c>
      <c r="F46" s="297">
        <f>Devel_Financials!C126</f>
        <v>6750</v>
      </c>
      <c r="G46" s="297">
        <f>Devel_Financials!D126</f>
        <v>24097.500000000004</v>
      </c>
      <c r="H46" s="297">
        <f>Devel_Financials!E126</f>
        <v>23374.575000000001</v>
      </c>
      <c r="I46" s="297">
        <f>Devel_Financials!F126</f>
        <v>23140.829249999999</v>
      </c>
      <c r="J46" s="297">
        <f>Devel_Financials!G126</f>
        <v>23140.829249999999</v>
      </c>
      <c r="K46" s="297">
        <f>Devel_Financials!H126</f>
        <v>25041.683081249997</v>
      </c>
      <c r="L46" s="297">
        <f>Devel_Financials!I126</f>
        <v>25542.516742874999</v>
      </c>
      <c r="M46" s="297">
        <f>Devel_Financials!J126</f>
        <v>26564.217412590002</v>
      </c>
      <c r="N46" s="297">
        <f>Devel_Financials!K126</f>
        <v>27626.786109093602</v>
      </c>
      <c r="O46" s="297">
        <f>Devel_Financials!L126</f>
        <v>28731.857553457347</v>
      </c>
      <c r="P46" s="297">
        <f>Devel_Financials!M126</f>
        <v>19920.754570397097</v>
      </c>
      <c r="Q46" s="297">
        <f>Devel_Financials!N126</f>
        <v>21713.622481732833</v>
      </c>
      <c r="R46" s="297">
        <f>Devel_Financials!O126</f>
        <v>23667.84850508879</v>
      </c>
      <c r="S46" s="297">
        <f>Devel_Financials!P126</f>
        <v>25797.954870546782</v>
      </c>
      <c r="T46" s="297">
        <f>Devel_Financials!Q126</f>
        <v>28119.770808895992</v>
      </c>
      <c r="U46" s="297">
        <f>Devel_Financials!R126</f>
        <v>91951.650545089884</v>
      </c>
      <c r="V46" s="297">
        <f>Devel_Financials!S126</f>
        <v>87354.068017835394</v>
      </c>
      <c r="W46" s="297">
        <f>Devel_Financials!T126</f>
        <v>82986.36461694364</v>
      </c>
    </row>
    <row r="47" spans="2:25">
      <c r="B47" s="302" t="s">
        <v>588</v>
      </c>
      <c r="D47" s="295">
        <f t="shared" ref="D47:W47" si="4">SUM(D44:D46)</f>
        <v>2310.3000000000002</v>
      </c>
      <c r="E47" s="295">
        <f t="shared" si="4"/>
        <v>10227.771000000001</v>
      </c>
      <c r="F47" s="295">
        <f t="shared" si="4"/>
        <v>21818.937870000002</v>
      </c>
      <c r="G47" s="295">
        <f t="shared" si="4"/>
        <v>38874.376491300005</v>
      </c>
      <c r="H47" s="295">
        <f t="shared" si="4"/>
        <v>38082.886071300003</v>
      </c>
      <c r="I47" s="295">
        <f t="shared" si="4"/>
        <v>38499.739225942496</v>
      </c>
      <c r="J47" s="295">
        <f t="shared" si="4"/>
        <v>39228.741684361346</v>
      </c>
      <c r="K47" s="295">
        <f t="shared" si="4"/>
        <v>41626.200805575805</v>
      </c>
      <c r="L47" s="295">
        <f t="shared" si="4"/>
        <v>42790.415176173832</v>
      </c>
      <c r="M47" s="295">
        <f t="shared" si="4"/>
        <v>44502.031783220795</v>
      </c>
      <c r="N47" s="295">
        <f t="shared" si="4"/>
        <v>42873.007922402336</v>
      </c>
      <c r="O47" s="295">
        <f t="shared" si="4"/>
        <v>42007.128082188254</v>
      </c>
      <c r="P47" s="295">
        <f t="shared" si="4"/>
        <v>34390.799446713783</v>
      </c>
      <c r="Q47" s="295">
        <f t="shared" si="4"/>
        <v>37485.971396918023</v>
      </c>
      <c r="R47" s="295">
        <f t="shared" si="4"/>
        <v>40859.708822640641</v>
      </c>
      <c r="S47" s="295">
        <f t="shared" si="4"/>
        <v>65518.405901055696</v>
      </c>
      <c r="T47" s="295">
        <f t="shared" si="4"/>
        <v>84990.640649026798</v>
      </c>
      <c r="U47" s="295">
        <f t="shared" si="4"/>
        <v>145978.97689321416</v>
      </c>
      <c r="V47" s="295">
        <f t="shared" si="4"/>
        <v>138680.02804855345</v>
      </c>
      <c r="W47" s="295">
        <f t="shared" si="4"/>
        <v>131746.0266461258</v>
      </c>
    </row>
    <row r="48" spans="2:25">
      <c r="B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</row>
    <row r="49" spans="2:25" s="295" customFormat="1">
      <c r="B49" s="295" t="s">
        <v>589</v>
      </c>
      <c r="D49" s="295">
        <v>0</v>
      </c>
      <c r="E49" s="295">
        <v>0</v>
      </c>
      <c r="F49" s="295">
        <v>0</v>
      </c>
      <c r="G49" s="295">
        <v>0</v>
      </c>
      <c r="H49" s="295">
        <v>0</v>
      </c>
      <c r="I49" s="295">
        <v>0</v>
      </c>
      <c r="J49" s="295">
        <v>0</v>
      </c>
      <c r="K49" s="295">
        <v>0</v>
      </c>
      <c r="L49" s="295">
        <v>0</v>
      </c>
      <c r="M49" s="295">
        <v>0</v>
      </c>
      <c r="N49" s="295">
        <v>0</v>
      </c>
      <c r="O49" s="295">
        <v>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5">
        <v>0</v>
      </c>
      <c r="W49" s="295">
        <v>0</v>
      </c>
    </row>
    <row r="50" spans="2:25" s="295" customFormat="1">
      <c r="B50" s="295" t="s">
        <v>590</v>
      </c>
      <c r="D50" s="295">
        <v>0</v>
      </c>
      <c r="E50" s="295">
        <f>+Devel_Financials!C22*$E$6/500</f>
        <v>9900</v>
      </c>
      <c r="F50" s="295">
        <f>+Devel_Financials!D22*$E$6/500</f>
        <v>35343.000000000007</v>
      </c>
      <c r="G50" s="295">
        <f>+Devel_Financials!E22*$E$6/500</f>
        <v>34282.710000000006</v>
      </c>
      <c r="H50" s="295">
        <f>+Devel_Financials!F22*$E$6/500</f>
        <v>33939.882899999997</v>
      </c>
      <c r="I50" s="295">
        <f>+Devel_Financials!G22*$E$6/500</f>
        <v>33939.882899999997</v>
      </c>
      <c r="J50" s="295">
        <f>+Devel_Financials!H22*$E$6/500</f>
        <v>36727.801852500001</v>
      </c>
      <c r="K50" s="295">
        <f>+Devel_Financials!I22*$E$6/500</f>
        <v>37462.357889550003</v>
      </c>
      <c r="L50" s="295">
        <f>+Devel_Financials!J22*$E$6/500</f>
        <v>38960.852205132011</v>
      </c>
      <c r="M50" s="295">
        <f>+Devel_Financials!K22*$E$6/500</f>
        <v>40519.286293337282</v>
      </c>
      <c r="N50" s="295">
        <f>+Devel_Financials!L22*$E$6/500</f>
        <v>42140.057745070771</v>
      </c>
      <c r="O50" s="295">
        <f>+Devel_Financials!M22*$E$6/500</f>
        <v>29217.106703249072</v>
      </c>
      <c r="P50" s="295">
        <f>+Devel_Financials!N22*$E$6/500</f>
        <v>31846.64630654149</v>
      </c>
      <c r="Q50" s="295">
        <f>+Devel_Financials!O22*$E$6/500</f>
        <v>34712.844474130223</v>
      </c>
      <c r="R50" s="295">
        <f>+Devel_Financials!P22*$E$6/500</f>
        <v>37837.00047680195</v>
      </c>
      <c r="S50" s="295">
        <f>+Devel_Financials!Q22*$E$6/500</f>
        <v>41242.330519714124</v>
      </c>
      <c r="T50" s="295">
        <f>+Devel_Financials!R22*$E$6/500</f>
        <v>134862.42079946518</v>
      </c>
      <c r="U50" s="295">
        <f>+Devel_Financials!S22*$E$6/500</f>
        <v>128119.29975949191</v>
      </c>
      <c r="V50" s="295">
        <f>+Devel_Financials!T22*$E$6/500</f>
        <v>121713.33477151734</v>
      </c>
      <c r="W50" s="295">
        <f>+Devel_Financials!U22*$E$6/500</f>
        <v>115627.66803294147</v>
      </c>
    </row>
    <row r="51" spans="2:25" s="295" customFormat="1">
      <c r="B51" s="295" t="s">
        <v>591</v>
      </c>
      <c r="D51" s="295">
        <v>0</v>
      </c>
      <c r="E51" s="295">
        <v>0</v>
      </c>
      <c r="F51" s="295">
        <f>+Devel_Financials!C22*$F$6/500</f>
        <v>23100</v>
      </c>
      <c r="G51" s="295">
        <f>+Devel_Financials!D22*$F$6/500</f>
        <v>82467.000000000015</v>
      </c>
      <c r="H51" s="295">
        <f>+Devel_Financials!E22*$F$6/500</f>
        <v>79992.99000000002</v>
      </c>
      <c r="I51" s="295">
        <f>+Devel_Financials!F22*$F$6/500</f>
        <v>79193.060099999988</v>
      </c>
      <c r="J51" s="295">
        <f>+Devel_Financials!G22*$F$6/500</f>
        <v>79193.060099999988</v>
      </c>
      <c r="K51" s="295">
        <f>+Devel_Financials!H22*$F$6/500</f>
        <v>85698.204322500009</v>
      </c>
      <c r="L51" s="295">
        <f>+Devel_Financials!I22*$F$6/500</f>
        <v>87412.168408950005</v>
      </c>
      <c r="M51" s="295">
        <f>+Devel_Financials!J22*$F$6/500</f>
        <v>90908.655145308017</v>
      </c>
      <c r="N51" s="295">
        <f>+Devel_Financials!K22*$F$6/500</f>
        <v>94545.001351120329</v>
      </c>
      <c r="O51" s="295">
        <f>+Devel_Financials!L22*$F$6/500</f>
        <v>98326.801405165141</v>
      </c>
      <c r="P51" s="295">
        <f>+Devel_Financials!M22*$F$6/500</f>
        <v>68173.248974247821</v>
      </c>
      <c r="Q51" s="295">
        <f>+Devel_Financials!N22*$F$6/500</f>
        <v>74308.84138193015</v>
      </c>
      <c r="R51" s="295">
        <f>+Devel_Financials!O22*$F$6/500</f>
        <v>80996.637106303853</v>
      </c>
      <c r="S51" s="295">
        <f>+Devel_Financials!P22*$F$6/500</f>
        <v>88286.334445871224</v>
      </c>
      <c r="T51" s="295">
        <f>+Devel_Financials!Q22*$F$6/500</f>
        <v>96232.104545999639</v>
      </c>
      <c r="U51" s="295">
        <f>+Devel_Financials!R22*$F$6/500</f>
        <v>314678.98186541873</v>
      </c>
      <c r="V51" s="295">
        <f>+Devel_Financials!S22*$F$6/500</f>
        <v>298945.03277214785</v>
      </c>
      <c r="W51" s="295">
        <f>+Devel_Financials!T22*$F$6/500</f>
        <v>283997.78113354044</v>
      </c>
    </row>
    <row r="52" spans="2:25" s="295" customFormat="1">
      <c r="B52" s="295" t="s">
        <v>592</v>
      </c>
      <c r="D52" s="295">
        <v>0</v>
      </c>
      <c r="E52" s="295">
        <v>0</v>
      </c>
      <c r="F52" s="295">
        <v>0</v>
      </c>
      <c r="G52" s="295">
        <f>+Devel_Financials!C22*6</f>
        <v>19800</v>
      </c>
      <c r="H52" s="295">
        <f>+Devel_Financials!D22*6</f>
        <v>70686.000000000015</v>
      </c>
      <c r="I52" s="295">
        <f>+Devel_Financials!E22*6</f>
        <v>68565.420000000013</v>
      </c>
      <c r="J52" s="295">
        <f>+Devel_Financials!F22*6</f>
        <v>67879.765799999994</v>
      </c>
      <c r="K52" s="295">
        <f>+Devel_Financials!G22*6</f>
        <v>67879.765799999994</v>
      </c>
      <c r="L52" s="295">
        <f>+Devel_Financials!H22*6</f>
        <v>73455.603705000001</v>
      </c>
      <c r="M52" s="295">
        <f>+Devel_Financials!I22*6</f>
        <v>74924.715779100006</v>
      </c>
      <c r="N52" s="295">
        <f>+Devel_Financials!J22*6</f>
        <v>77921.704410264007</v>
      </c>
      <c r="O52" s="295">
        <f>+Devel_Financials!K22*6</f>
        <v>81038.572586674563</v>
      </c>
      <c r="P52" s="295">
        <f>+Devel_Financials!L22*6</f>
        <v>84280.115490141543</v>
      </c>
      <c r="Q52" s="295">
        <f>+Devel_Financials!M22*6</f>
        <v>58434.213406498136</v>
      </c>
      <c r="R52" s="295">
        <f>+Devel_Financials!N22*6</f>
        <v>63693.292613082987</v>
      </c>
      <c r="S52" s="295">
        <f>+Devel_Financials!O22*6</f>
        <v>69425.688948260446</v>
      </c>
      <c r="T52" s="295">
        <f>+Devel_Financials!P22*6</f>
        <v>75674.0009536039</v>
      </c>
      <c r="U52" s="295">
        <f>+Devel_Financials!Q22*6</f>
        <v>82484.661039428247</v>
      </c>
      <c r="V52" s="295">
        <f>+Devel_Financials!R22*6</f>
        <v>269724.84159893036</v>
      </c>
      <c r="W52" s="295">
        <f>+Devel_Financials!S22*6</f>
        <v>256238.59951898386</v>
      </c>
    </row>
    <row r="53" spans="2:25" s="295" customFormat="1">
      <c r="B53" s="297" t="s">
        <v>593</v>
      </c>
      <c r="C53" s="298"/>
      <c r="D53" s="297">
        <v>0</v>
      </c>
      <c r="E53" s="297">
        <v>0</v>
      </c>
      <c r="F53" s="297">
        <v>0</v>
      </c>
      <c r="G53" s="297"/>
      <c r="H53" s="297">
        <f>+Devel_Financials!C22*6</f>
        <v>19800</v>
      </c>
      <c r="I53" s="297">
        <f>+Devel_Financials!D22*6</f>
        <v>70686.000000000015</v>
      </c>
      <c r="J53" s="297">
        <f>+Devel_Financials!E22*6</f>
        <v>68565.420000000013</v>
      </c>
      <c r="K53" s="297">
        <f>+Devel_Financials!F22*6</f>
        <v>67879.765799999994</v>
      </c>
      <c r="L53" s="297">
        <f>+Devel_Financials!G22*6</f>
        <v>67879.765799999994</v>
      </c>
      <c r="M53" s="297">
        <f>+Devel_Financials!H22*6</f>
        <v>73455.603705000001</v>
      </c>
      <c r="N53" s="297">
        <f>+Devel_Financials!I22*6</f>
        <v>74924.715779100006</v>
      </c>
      <c r="O53" s="297">
        <f>+Devel_Financials!J22*6</f>
        <v>77921.704410264007</v>
      </c>
      <c r="P53" s="297">
        <f>+Devel_Financials!K22*6</f>
        <v>81038.572586674563</v>
      </c>
      <c r="Q53" s="297">
        <f>+Devel_Financials!L22*6</f>
        <v>84280.115490141543</v>
      </c>
      <c r="R53" s="297">
        <f>+Devel_Financials!M22*6</f>
        <v>58434.213406498136</v>
      </c>
      <c r="S53" s="297">
        <f>+Devel_Financials!N22*6</f>
        <v>63693.292613082987</v>
      </c>
      <c r="T53" s="297">
        <f>+Devel_Financials!O22*6</f>
        <v>69425.688948260446</v>
      </c>
      <c r="U53" s="297">
        <f>+Devel_Financials!P22*6</f>
        <v>75674.0009536039</v>
      </c>
      <c r="V53" s="297">
        <f>+Devel_Financials!Q22*6</f>
        <v>82484.661039428247</v>
      </c>
      <c r="W53" s="297">
        <f>+Devel_Financials!R22*6</f>
        <v>269724.84159893036</v>
      </c>
    </row>
    <row r="54" spans="2:25" s="295" customFormat="1">
      <c r="B54" s="302" t="s">
        <v>598</v>
      </c>
      <c r="C54" s="302"/>
      <c r="D54" s="302">
        <f t="shared" ref="D54:W54" si="5">SUM(D49:D53)</f>
        <v>0</v>
      </c>
      <c r="E54" s="302">
        <f t="shared" si="5"/>
        <v>9900</v>
      </c>
      <c r="F54" s="302">
        <f t="shared" si="5"/>
        <v>58443.000000000007</v>
      </c>
      <c r="G54" s="302">
        <f t="shared" si="5"/>
        <v>136549.71000000002</v>
      </c>
      <c r="H54" s="302">
        <f t="shared" si="5"/>
        <v>204418.87290000002</v>
      </c>
      <c r="I54" s="302">
        <f t="shared" si="5"/>
        <v>252384.36300000001</v>
      </c>
      <c r="J54" s="302">
        <f t="shared" si="5"/>
        <v>252366.04775249999</v>
      </c>
      <c r="K54" s="302">
        <f t="shared" si="5"/>
        <v>258920.09381205001</v>
      </c>
      <c r="L54" s="302">
        <f t="shared" si="5"/>
        <v>267708.390119082</v>
      </c>
      <c r="M54" s="302">
        <f t="shared" si="5"/>
        <v>279808.26092274534</v>
      </c>
      <c r="N54" s="302">
        <f t="shared" si="5"/>
        <v>289531.47928555513</v>
      </c>
      <c r="O54" s="302">
        <f t="shared" si="5"/>
        <v>286504.18510535278</v>
      </c>
      <c r="P54" s="302">
        <f t="shared" si="5"/>
        <v>265338.58335760538</v>
      </c>
      <c r="Q54" s="302">
        <f t="shared" si="5"/>
        <v>251736.01475270005</v>
      </c>
      <c r="R54" s="302">
        <f t="shared" si="5"/>
        <v>240961.14360268693</v>
      </c>
      <c r="S54" s="302">
        <f t="shared" si="5"/>
        <v>262647.64652692876</v>
      </c>
      <c r="T54" s="302">
        <f t="shared" si="5"/>
        <v>376194.21524732915</v>
      </c>
      <c r="U54" s="302">
        <f t="shared" si="5"/>
        <v>600956.94361794274</v>
      </c>
      <c r="V54" s="302">
        <f t="shared" si="5"/>
        <v>772867.87018202373</v>
      </c>
      <c r="W54" s="302">
        <f t="shared" si="5"/>
        <v>925588.89028439601</v>
      </c>
    </row>
    <row r="55" spans="2:25" s="295" customFormat="1">
      <c r="B55" s="302"/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  <c r="U55" s="302"/>
      <c r="V55" s="302"/>
      <c r="W55" s="302"/>
    </row>
    <row r="56" spans="2:25" s="295" customFormat="1">
      <c r="B56" s="1190" t="s">
        <v>595</v>
      </c>
      <c r="C56" s="302"/>
      <c r="D56" s="1190">
        <v>0</v>
      </c>
      <c r="E56" s="1190">
        <f>Devel_Financials!C56*Devel_Summary!$E$7/Devel_Financials!$G$6</f>
        <v>67481.971160518733</v>
      </c>
      <c r="F56" s="1190">
        <f>Devel_Financials!D56*Devel_Summary!$E$7/Devel_Financials!$G$6</f>
        <v>88401.968188318846</v>
      </c>
      <c r="G56" s="1190">
        <f>Devel_Financials!E56*Devel_Summary!$E$7/Devel_Financials!$G$6</f>
        <v>67535.88620971331</v>
      </c>
      <c r="H56" s="1190">
        <f>Devel_Financials!F56*Devel_Summary!$E$7/Devel_Financials!$G$6</f>
        <v>53605.3794090925</v>
      </c>
      <c r="I56" s="1190">
        <f>Devel_Financials!G56*Devel_Summary!$E$7/Devel_Financials!$G$6</f>
        <v>54948.511993855383</v>
      </c>
      <c r="J56" s="1190">
        <f>Devel_Financials!H56*Devel_Summary!$E$7/Devel_Financials!$G$6</f>
        <v>43901.844157765532</v>
      </c>
      <c r="K56" s="1190">
        <f>Devel_Financials!I56*Devel_Summary!$E$7/Devel_Financials!$G$6</f>
        <v>34453.29436348578</v>
      </c>
      <c r="L56" s="1190">
        <f>Devel_Financials!J56*Devel_Summary!$E$7/Devel_Financials!$G$6</f>
        <v>33887.919908885975</v>
      </c>
      <c r="M56" s="1190">
        <f>Devel_Financials!K56*Devel_Summary!$E$7/Devel_Financials!$G$6</f>
        <v>33361.989156239644</v>
      </c>
      <c r="N56" s="1190">
        <f>Devel_Financials!L56*Devel_Summary!$E$7/Devel_Financials!$G$6</f>
        <v>34376.515086182328</v>
      </c>
      <c r="O56" s="1190">
        <f>Devel_Financials!M56*Devel_Summary!$E$7/Devel_Financials!$G$6</f>
        <v>3713.1474791853402</v>
      </c>
      <c r="P56" s="1190">
        <f>Devel_Financials!N56*Devel_Summary!$E$7/Devel_Financials!$G$6</f>
        <v>2544.4663173154909</v>
      </c>
      <c r="Q56" s="1190">
        <f>Devel_Financials!O56*Devel_Summary!$E$7/Devel_Financials!$G$6</f>
        <v>2035.9283732536735</v>
      </c>
      <c r="R56" s="1190">
        <f>Devel_Financials!P56*Devel_Summary!$E$7/Devel_Financials!$G$6</f>
        <v>1346.9720683218422</v>
      </c>
      <c r="S56" s="1190">
        <f>Devel_Financials!Q56*Devel_Summary!$E$7/Devel_Financials!$G$6</f>
        <v>746.31440686958206</v>
      </c>
      <c r="T56" s="1190">
        <f>Devel_Financials!R56*Devel_Summary!$E$7/Devel_Financials!$G$6</f>
        <v>444.18946061202138</v>
      </c>
      <c r="U56" s="1190">
        <f>Devel_Financials!S56*Devel_Summary!$E$7/Devel_Financials!$G$6</f>
        <v>-125.06841994221645</v>
      </c>
      <c r="V56" s="1190">
        <f>Devel_Financials!T56*Devel_Summary!$E$7/Devel_Financials!$G$6</f>
        <v>16263.279606332595</v>
      </c>
      <c r="W56" s="1190">
        <f>Devel_Financials!U56*Devel_Summary!$E$7/Devel_Financials!$G$6</f>
        <v>24848.394283495392</v>
      </c>
    </row>
    <row r="57" spans="2:25" s="295" customFormat="1"/>
    <row r="58" spans="2:25" s="295" customFormat="1" ht="13.5" thickBot="1">
      <c r="B58" s="1114" t="s">
        <v>596</v>
      </c>
      <c r="C58" s="628"/>
      <c r="D58" s="1114">
        <f>D47+D54+D56</f>
        <v>2310.3000000000002</v>
      </c>
      <c r="E58" s="1114">
        <f t="shared" ref="E58:W58" si="6">E47+E54+E56</f>
        <v>87609.742160518741</v>
      </c>
      <c r="F58" s="1114">
        <f t="shared" si="6"/>
        <v>168663.90605831885</v>
      </c>
      <c r="G58" s="1114">
        <f t="shared" si="6"/>
        <v>242959.97270101332</v>
      </c>
      <c r="H58" s="1114">
        <f t="shared" si="6"/>
        <v>296107.13838039251</v>
      </c>
      <c r="I58" s="1114">
        <f t="shared" si="6"/>
        <v>345832.61421979789</v>
      </c>
      <c r="J58" s="1114">
        <f t="shared" si="6"/>
        <v>335496.63359462691</v>
      </c>
      <c r="K58" s="1114">
        <f t="shared" si="6"/>
        <v>334999.58898111159</v>
      </c>
      <c r="L58" s="1114">
        <f t="shared" si="6"/>
        <v>344386.72520414181</v>
      </c>
      <c r="M58" s="1114">
        <f t="shared" si="6"/>
        <v>357672.28186220583</v>
      </c>
      <c r="N58" s="1114">
        <f t="shared" si="6"/>
        <v>366781.00229413982</v>
      </c>
      <c r="O58" s="1114">
        <f t="shared" si="6"/>
        <v>332224.4606667264</v>
      </c>
      <c r="P58" s="1114">
        <f t="shared" si="6"/>
        <v>302273.84912163462</v>
      </c>
      <c r="Q58" s="1114">
        <f t="shared" si="6"/>
        <v>291257.91452287172</v>
      </c>
      <c r="R58" s="1114">
        <f t="shared" si="6"/>
        <v>283167.82449364942</v>
      </c>
      <c r="S58" s="1114">
        <f t="shared" si="6"/>
        <v>328912.36683485401</v>
      </c>
      <c r="T58" s="1114">
        <f t="shared" si="6"/>
        <v>461629.04535696795</v>
      </c>
      <c r="U58" s="1114">
        <f t="shared" si="6"/>
        <v>746810.85209121474</v>
      </c>
      <c r="V58" s="1114">
        <f t="shared" si="6"/>
        <v>927811.17783690966</v>
      </c>
      <c r="W58" s="1114">
        <f t="shared" si="6"/>
        <v>1082183.3112140172</v>
      </c>
      <c r="Y58" s="1193">
        <f>SUM(D58:W58)</f>
        <v>7639090.7075951137</v>
      </c>
    </row>
    <row r="59" spans="2:25" s="295" customFormat="1" ht="13.5" thickTop="1">
      <c r="B59" s="628"/>
      <c r="C59" s="628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315"/>
      <c r="T59" s="315"/>
      <c r="U59" s="315"/>
      <c r="V59" s="315"/>
      <c r="W59" s="315"/>
      <c r="Y59" s="1193"/>
    </row>
    <row r="60" spans="2:25" s="295" customFormat="1">
      <c r="B60" s="628"/>
      <c r="C60" s="628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W60" s="315"/>
      <c r="Y60" s="1193"/>
    </row>
    <row r="61" spans="2:25" s="295" customFormat="1" ht="15.75">
      <c r="B61" s="737" t="s">
        <v>23</v>
      </c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315"/>
      <c r="T61" s="315"/>
      <c r="U61" s="315"/>
      <c r="V61" s="315"/>
      <c r="W61" s="315"/>
      <c r="Y61" s="1193"/>
    </row>
    <row r="62" spans="2:25" s="295" customFormat="1">
      <c r="B62" s="295" t="s">
        <v>585</v>
      </c>
      <c r="C62" s="315"/>
      <c r="D62" s="296">
        <f>Devel_Financials!C187</f>
        <v>19625.028048780488</v>
      </c>
      <c r="E62" s="296">
        <f>Devel_Financials!D187</f>
        <v>27520.493951219512</v>
      </c>
      <c r="F62" s="296">
        <f>Devel_Financials!E187</f>
        <v>28415.87607317073</v>
      </c>
      <c r="G62" s="296">
        <f>Devel_Financials!F187</f>
        <v>28568.096668780487</v>
      </c>
      <c r="H62" s="296">
        <f>Devel_Financials!G187</f>
        <v>28841.112145121951</v>
      </c>
      <c r="I62" s="296">
        <f>Devel_Financials!H187</f>
        <v>30190.410008782928</v>
      </c>
      <c r="J62" s="296">
        <f>Devel_Financials!I187</f>
        <v>31646.966370012531</v>
      </c>
      <c r="K62" s="296">
        <f>Devel_Financials!J187</f>
        <v>31612.505504813034</v>
      </c>
      <c r="L62" s="296">
        <f>Devel_Financials!K187</f>
        <v>31606.854125005557</v>
      </c>
      <c r="M62" s="296">
        <f>Devel_Financials!L187</f>
        <v>31631.164610005784</v>
      </c>
      <c r="N62" s="296">
        <f>Devel_Financials!M187</f>
        <v>31686.635434406009</v>
      </c>
      <c r="O62" s="296">
        <f>Devel_Financials!N187</f>
        <v>32827.732483502557</v>
      </c>
      <c r="P62" s="296">
        <f>Devel_Financials!O187</f>
        <v>34031.637087017785</v>
      </c>
      <c r="Q62" s="296">
        <f>Devel_Financials!P187</f>
        <v>35313.705184849387</v>
      </c>
      <c r="R62" s="296">
        <f>Devel_Financials!Q187</f>
        <v>36690.674751485829</v>
      </c>
      <c r="S62" s="296">
        <f>Devel_Financials!R187</f>
        <v>49062.466025157308</v>
      </c>
      <c r="T62" s="296">
        <f>Devel_Financials!S187</f>
        <v>46930.217723899441</v>
      </c>
      <c r="U62" s="296">
        <f>Devel_Financials!T187</f>
        <v>44904.581837704471</v>
      </c>
      <c r="V62" s="296">
        <f>Devel_Financials!U187</f>
        <v>42980.227745819248</v>
      </c>
      <c r="W62" s="296">
        <f>Devel_Financials!V187</f>
        <v>41152.091358528291</v>
      </c>
      <c r="Y62" s="1337"/>
    </row>
    <row r="63" spans="2:25" s="295" customFormat="1">
      <c r="B63" s="295" t="s">
        <v>586</v>
      </c>
      <c r="C63" s="315"/>
      <c r="D63" s="296">
        <v>0</v>
      </c>
      <c r="E63" s="296">
        <f>Devel_Financials!C119</f>
        <v>16819.268292682926</v>
      </c>
      <c r="F63" s="296">
        <f>Devel_Financials!D119</f>
        <v>23585.931707317075</v>
      </c>
      <c r="G63" s="296">
        <f>Devel_Financials!E119</f>
        <v>24353.302439024388</v>
      </c>
      <c r="H63" s="296">
        <f>Devel_Financials!F119</f>
        <v>24483.760292682931</v>
      </c>
      <c r="I63" s="296">
        <f>Devel_Financials!G119</f>
        <v>24717.743170731708</v>
      </c>
      <c r="J63" s="296">
        <f>Devel_Financials!H119</f>
        <v>25874.13401609756</v>
      </c>
      <c r="K63" s="296">
        <f>Devel_Financials!I119</f>
        <v>27122.44877835122</v>
      </c>
      <c r="L63" s="296">
        <f>Devel_Financials!J119</f>
        <v>27092.914729485266</v>
      </c>
      <c r="M63" s="296">
        <f>Devel_Financials!K119</f>
        <v>27088.071318664683</v>
      </c>
      <c r="N63" s="296">
        <f>Devel_Financials!L119</f>
        <v>27108.906171411269</v>
      </c>
      <c r="O63" s="296">
        <f>Devel_Financials!M119</f>
        <v>27156.446418267718</v>
      </c>
      <c r="P63" s="296">
        <f>Devel_Financials!N119</f>
        <v>28134.402595911812</v>
      </c>
      <c r="Q63" s="296">
        <f>Devel_Financials!O119</f>
        <v>29166.186829543873</v>
      </c>
      <c r="R63" s="296">
        <f>Devel_Financials!P119</f>
        <v>30264.95964420282</v>
      </c>
      <c r="S63" s="296">
        <f>Devel_Financials!Q119</f>
        <v>31445.066012181072</v>
      </c>
      <c r="T63" s="296">
        <f>Devel_Financials!R119</f>
        <v>42048.081517470222</v>
      </c>
      <c r="U63" s="296">
        <f>Devel_Financials!S119</f>
        <v>40220.677441596708</v>
      </c>
      <c r="V63" s="296">
        <f>Devel_Financials!T119</f>
        <v>38484.643569516869</v>
      </c>
      <c r="W63" s="296">
        <f>Devel_Financials!U119</f>
        <v>36835.411391041023</v>
      </c>
      <c r="Y63" s="1337"/>
    </row>
    <row r="64" spans="2:25" s="295" customFormat="1">
      <c r="B64" s="297" t="s">
        <v>587</v>
      </c>
      <c r="C64" s="315"/>
      <c r="D64" s="297">
        <v>0</v>
      </c>
      <c r="E64" s="297">
        <v>0</v>
      </c>
      <c r="F64" s="297">
        <f>Devel_Financials!C153</f>
        <v>57338.414634146342</v>
      </c>
      <c r="G64" s="297">
        <f>Devel_Financials!D153</f>
        <v>80406.585365853651</v>
      </c>
      <c r="H64" s="297">
        <f>Devel_Financials!E153</f>
        <v>83022.621951219509</v>
      </c>
      <c r="I64" s="297">
        <f>Devel_Financials!F153</f>
        <v>83467.364634146332</v>
      </c>
      <c r="J64" s="297">
        <f>Devel_Financials!G153</f>
        <v>84265.033536585368</v>
      </c>
      <c r="K64" s="297">
        <f>Devel_Financials!H153</f>
        <v>88207.275054878046</v>
      </c>
      <c r="L64" s="297">
        <f>Devel_Financials!I153</f>
        <v>92462.893562560974</v>
      </c>
      <c r="M64" s="297">
        <f>Devel_Financials!J153</f>
        <v>92362.209305063414</v>
      </c>
      <c r="N64" s="297">
        <f>Devel_Financials!K153</f>
        <v>92345.697677265955</v>
      </c>
      <c r="O64" s="297">
        <f>Devel_Financials!L153</f>
        <v>92416.725584356609</v>
      </c>
      <c r="P64" s="297">
        <f>Devel_Financials!M153</f>
        <v>92578.794607730873</v>
      </c>
      <c r="Q64" s="297">
        <f>Devel_Financials!N153</f>
        <v>95912.736122426635</v>
      </c>
      <c r="R64" s="297">
        <f>Devel_Financials!O153</f>
        <v>99430.18237344503</v>
      </c>
      <c r="S64" s="297">
        <f>Devel_Financials!P153</f>
        <v>103175.9987870551</v>
      </c>
      <c r="T64" s="297">
        <f>Devel_Financials!Q153</f>
        <v>107199.08867789006</v>
      </c>
      <c r="U64" s="297">
        <f>Devel_Financials!R153</f>
        <v>143345.73244592125</v>
      </c>
      <c r="V64" s="297">
        <f>Devel_Financials!S153</f>
        <v>137115.9458236252</v>
      </c>
      <c r="W64" s="297">
        <f>Devel_Financials!T153</f>
        <v>131197.64853244397</v>
      </c>
      <c r="Y64" s="1337"/>
    </row>
    <row r="65" spans="2:25" s="295" customFormat="1">
      <c r="B65" s="302" t="s">
        <v>588</v>
      </c>
      <c r="C65" s="315"/>
      <c r="D65" s="296">
        <f>SUM(D62:D64)</f>
        <v>19625.028048780488</v>
      </c>
      <c r="E65" s="296">
        <f t="shared" ref="E65:W65" si="7">SUM(E62:E64)</f>
        <v>44339.762243902442</v>
      </c>
      <c r="F65" s="296">
        <f t="shared" si="7"/>
        <v>109340.22241463415</v>
      </c>
      <c r="G65" s="296">
        <f t="shared" si="7"/>
        <v>133327.98447365852</v>
      </c>
      <c r="H65" s="296">
        <f t="shared" si="7"/>
        <v>136347.49438902439</v>
      </c>
      <c r="I65" s="296">
        <f t="shared" si="7"/>
        <v>138375.51781366096</v>
      </c>
      <c r="J65" s="296">
        <f t="shared" si="7"/>
        <v>141786.13392269547</v>
      </c>
      <c r="K65" s="296">
        <f t="shared" si="7"/>
        <v>146942.22933804229</v>
      </c>
      <c r="L65" s="296">
        <f t="shared" si="7"/>
        <v>151162.66241705179</v>
      </c>
      <c r="M65" s="296">
        <f t="shared" si="7"/>
        <v>151081.44523373389</v>
      </c>
      <c r="N65" s="296">
        <f t="shared" si="7"/>
        <v>151141.23928308324</v>
      </c>
      <c r="O65" s="296">
        <f t="shared" si="7"/>
        <v>152400.90448612688</v>
      </c>
      <c r="P65" s="296">
        <f t="shared" si="7"/>
        <v>154744.83429066045</v>
      </c>
      <c r="Q65" s="296">
        <f t="shared" si="7"/>
        <v>160392.6281368199</v>
      </c>
      <c r="R65" s="296">
        <f t="shared" si="7"/>
        <v>166385.81676913367</v>
      </c>
      <c r="S65" s="296">
        <f t="shared" si="7"/>
        <v>183683.5308243935</v>
      </c>
      <c r="T65" s="296">
        <f t="shared" si="7"/>
        <v>196177.38791925972</v>
      </c>
      <c r="U65" s="296">
        <f t="shared" si="7"/>
        <v>228470.99172522244</v>
      </c>
      <c r="V65" s="296">
        <f t="shared" si="7"/>
        <v>218580.81713896131</v>
      </c>
      <c r="W65" s="296">
        <f t="shared" si="7"/>
        <v>209185.15128201328</v>
      </c>
      <c r="Y65" s="1337"/>
    </row>
    <row r="66" spans="2:25" s="295" customFormat="1">
      <c r="C66" s="315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Y66" s="1337"/>
    </row>
    <row r="67" spans="2:25" s="295" customFormat="1">
      <c r="B67" s="295" t="s">
        <v>589</v>
      </c>
      <c r="C67" s="315"/>
      <c r="D67" s="296">
        <v>0</v>
      </c>
      <c r="E67" s="296">
        <v>0</v>
      </c>
      <c r="F67" s="296">
        <v>0</v>
      </c>
      <c r="G67" s="296">
        <v>0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  <c r="M67" s="296">
        <v>0</v>
      </c>
      <c r="N67" s="296">
        <v>0</v>
      </c>
      <c r="O67" s="296">
        <v>0</v>
      </c>
      <c r="P67" s="296">
        <v>0</v>
      </c>
      <c r="Q67" s="296">
        <v>0</v>
      </c>
      <c r="R67" s="296">
        <v>0</v>
      </c>
      <c r="S67" s="296">
        <v>0</v>
      </c>
      <c r="T67" s="296">
        <v>0</v>
      </c>
      <c r="U67" s="296">
        <v>0</v>
      </c>
      <c r="V67" s="296">
        <v>0</v>
      </c>
      <c r="W67" s="296">
        <v>0</v>
      </c>
      <c r="Y67" s="1337"/>
    </row>
    <row r="68" spans="2:25" s="295" customFormat="1">
      <c r="B68" s="295" t="s">
        <v>590</v>
      </c>
      <c r="C68" s="315"/>
      <c r="D68" s="296">
        <v>0</v>
      </c>
      <c r="E68" s="296">
        <f>$E$6/500*Devel_Financials!C49</f>
        <v>84096.341463414632</v>
      </c>
      <c r="F68" s="296">
        <f>$E$6/500*Devel_Financials!D49</f>
        <v>117929.65853658537</v>
      </c>
      <c r="G68" s="296">
        <f>$E$6/500*Devel_Financials!E49</f>
        <v>121766.51219512196</v>
      </c>
      <c r="H68" s="296">
        <f>$E$6/500*Devel_Financials!F49</f>
        <v>122418.80146341462</v>
      </c>
      <c r="I68" s="296">
        <f>$E$6/500*Devel_Financials!G49</f>
        <v>123588.71585365853</v>
      </c>
      <c r="J68" s="296">
        <f>$E$6/500*Devel_Financials!H49</f>
        <v>129370.67008048781</v>
      </c>
      <c r="K68" s="296">
        <f>$E$6/500*Devel_Financials!I49</f>
        <v>135612.24389175611</v>
      </c>
      <c r="L68" s="296">
        <f>$E$6/500*Devel_Financials!J49</f>
        <v>135464.57364742632</v>
      </c>
      <c r="M68" s="296">
        <f>$E$6/500*Devel_Financials!K49</f>
        <v>135440.35659332338</v>
      </c>
      <c r="N68" s="296">
        <f>$E$6/500*Devel_Financials!L49</f>
        <v>135544.53085705632</v>
      </c>
      <c r="O68" s="296">
        <f>$E$6/500*Devel_Financials!M49</f>
        <v>135782.23209133861</v>
      </c>
      <c r="P68" s="296">
        <f>$E$6/500*Devel_Financials!N49</f>
        <v>140672.01297955905</v>
      </c>
      <c r="Q68" s="296">
        <f>$E$6/500*Devel_Financials!O49</f>
        <v>145830.93414771938</v>
      </c>
      <c r="R68" s="296">
        <f>$E$6/500*Devel_Financials!P49</f>
        <v>151324.79822101412</v>
      </c>
      <c r="S68" s="296">
        <f>$E$6/500*Devel_Financials!Q49</f>
        <v>157225.3300609054</v>
      </c>
      <c r="T68" s="296">
        <f>$E$6/500*Devel_Financials!R49</f>
        <v>210240.40758735122</v>
      </c>
      <c r="U68" s="296">
        <f>$E$6/500*Devel_Financials!S49</f>
        <v>201103.38720798364</v>
      </c>
      <c r="V68" s="296">
        <f>$E$6/500*Devel_Financials!T49</f>
        <v>192423.21784758448</v>
      </c>
      <c r="W68" s="296">
        <f>$E$6/500*Devel_Financials!U49</f>
        <v>184177.05695520525</v>
      </c>
      <c r="Y68" s="1337"/>
    </row>
    <row r="69" spans="2:25" s="295" customFormat="1">
      <c r="B69" s="295" t="s">
        <v>591</v>
      </c>
      <c r="C69" s="315"/>
      <c r="D69" s="296">
        <v>0</v>
      </c>
      <c r="E69" s="296">
        <v>0</v>
      </c>
      <c r="F69" s="296">
        <f>$F$6/500*Devel_Financials!C49</f>
        <v>196224.79674796746</v>
      </c>
      <c r="G69" s="296">
        <f>$F$6/500*Devel_Financials!D49</f>
        <v>275169.20325203252</v>
      </c>
      <c r="H69" s="296">
        <f>$F$6/500*Devel_Financials!E49</f>
        <v>284121.86178861791</v>
      </c>
      <c r="I69" s="296">
        <f>$F$6/500*Devel_Financials!F49</f>
        <v>285643.87008130079</v>
      </c>
      <c r="J69" s="296">
        <f>$F$6/500*Devel_Financials!G49</f>
        <v>288373.67032520322</v>
      </c>
      <c r="K69" s="296">
        <f>$F$6/500*Devel_Financials!H49</f>
        <v>301864.89685447153</v>
      </c>
      <c r="L69" s="296">
        <f>$F$6/500*Devel_Financials!I49</f>
        <v>316428.56908076425</v>
      </c>
      <c r="M69" s="296">
        <f>$F$6/500*Devel_Financials!J49</f>
        <v>316084.00517732813</v>
      </c>
      <c r="N69" s="296">
        <f>$F$6/500*Devel_Financials!K49</f>
        <v>316027.49871775456</v>
      </c>
      <c r="O69" s="296">
        <f>$F$6/500*Devel_Financials!L49</f>
        <v>316270.57199979812</v>
      </c>
      <c r="P69" s="296">
        <f>$F$6/500*Devel_Financials!M49</f>
        <v>316825.20821312338</v>
      </c>
      <c r="Q69" s="296">
        <f>$F$6/500*Devel_Financials!N49</f>
        <v>328234.69695230445</v>
      </c>
      <c r="R69" s="296">
        <f>$F$6/500*Devel_Financials!O49</f>
        <v>340272.17967801192</v>
      </c>
      <c r="S69" s="296">
        <f>$F$6/500*Devel_Financials!P49</f>
        <v>353091.19584903296</v>
      </c>
      <c r="T69" s="296">
        <f>$F$6/500*Devel_Financials!Q49</f>
        <v>366859.10347544594</v>
      </c>
      <c r="U69" s="296">
        <f>$F$6/500*Devel_Financials!R49</f>
        <v>490560.95103715284</v>
      </c>
      <c r="V69" s="296">
        <f>$F$6/500*Devel_Financials!S49</f>
        <v>469241.2368186285</v>
      </c>
      <c r="W69" s="296">
        <f>$F$6/500*Devel_Financials!T49</f>
        <v>448987.50831103045</v>
      </c>
      <c r="Y69" s="1337"/>
    </row>
    <row r="70" spans="2:25" s="295" customFormat="1">
      <c r="B70" s="295" t="s">
        <v>592</v>
      </c>
      <c r="C70" s="315"/>
      <c r="D70" s="296">
        <v>0</v>
      </c>
      <c r="E70" s="296">
        <v>0</v>
      </c>
      <c r="F70" s="296">
        <v>0</v>
      </c>
      <c r="G70" s="296">
        <f>$G$6/500*Devel_Financials!C49</f>
        <v>168192.68292682926</v>
      </c>
      <c r="H70" s="296">
        <f>$G$6/500*Devel_Financials!D49</f>
        <v>235859.31707317074</v>
      </c>
      <c r="I70" s="296">
        <f>$G$6/500*Devel_Financials!E49</f>
        <v>243533.02439024393</v>
      </c>
      <c r="J70" s="296">
        <f>$G$6/500*Devel_Financials!F49</f>
        <v>244837.60292682925</v>
      </c>
      <c r="K70" s="296">
        <f>$G$6/500*Devel_Financials!G49</f>
        <v>247177.43170731707</v>
      </c>
      <c r="L70" s="296">
        <f>$G$6/500*Devel_Financials!H49</f>
        <v>258741.34016097561</v>
      </c>
      <c r="M70" s="296">
        <f>$G$6/500*Devel_Financials!I49</f>
        <v>271224.48778351222</v>
      </c>
      <c r="N70" s="296">
        <f>$G$6/500*Devel_Financials!J49</f>
        <v>270929.14729485265</v>
      </c>
      <c r="O70" s="296">
        <f>$G$6/500*Devel_Financials!K49</f>
        <v>270880.71318664675</v>
      </c>
      <c r="P70" s="296">
        <f>$G$6/500*Devel_Financials!L49</f>
        <v>271089.06171411264</v>
      </c>
      <c r="Q70" s="296">
        <f>$G$6/500*Devel_Financials!M49</f>
        <v>271564.46418267721</v>
      </c>
      <c r="R70" s="296">
        <f>$G$6/500*Devel_Financials!N49</f>
        <v>281344.02595911809</v>
      </c>
      <c r="S70" s="296">
        <f>$G$6/500*Devel_Financials!O49</f>
        <v>291661.86829543876</v>
      </c>
      <c r="T70" s="296">
        <f>$G$6/500*Devel_Financials!P49</f>
        <v>302649.59644202824</v>
      </c>
      <c r="U70" s="296">
        <f>$G$6/500*Devel_Financials!Q49</f>
        <v>314450.6601218108</v>
      </c>
      <c r="V70" s="296">
        <f>$G$6/500*Devel_Financials!R49</f>
        <v>420480.81517470244</v>
      </c>
      <c r="W70" s="296">
        <f>$G$6/500*Devel_Financials!S49</f>
        <v>402206.77441596729</v>
      </c>
      <c r="Y70" s="1337"/>
    </row>
    <row r="71" spans="2:25" s="295" customFormat="1">
      <c r="B71" s="297" t="s">
        <v>593</v>
      </c>
      <c r="C71" s="315"/>
      <c r="D71" s="297">
        <v>0</v>
      </c>
      <c r="E71" s="297">
        <v>0</v>
      </c>
      <c r="F71" s="297">
        <v>0</v>
      </c>
      <c r="G71" s="297">
        <v>0</v>
      </c>
      <c r="H71" s="297">
        <f>$H$6/500*Devel_Financials!C49</f>
        <v>168192.68292682926</v>
      </c>
      <c r="I71" s="297">
        <f>$H$6/500*Devel_Financials!D49</f>
        <v>235859.31707317074</v>
      </c>
      <c r="J71" s="297">
        <f>$H$6/500*Devel_Financials!E49</f>
        <v>243533.02439024393</v>
      </c>
      <c r="K71" s="297">
        <f>$H$6/500*Devel_Financials!F49</f>
        <v>244837.60292682925</v>
      </c>
      <c r="L71" s="297">
        <f>$H$6/500*Devel_Financials!G49</f>
        <v>247177.43170731707</v>
      </c>
      <c r="M71" s="297">
        <f>$H$6/500*Devel_Financials!H49</f>
        <v>258741.34016097561</v>
      </c>
      <c r="N71" s="297">
        <f>$H$6/500*Devel_Financials!I49</f>
        <v>271224.48778351222</v>
      </c>
      <c r="O71" s="297">
        <f>$H$6/500*Devel_Financials!J49</f>
        <v>270929.14729485265</v>
      </c>
      <c r="P71" s="297">
        <f>$H$6/500*Devel_Financials!K49</f>
        <v>270880.71318664675</v>
      </c>
      <c r="Q71" s="297">
        <f>$H$6/500*Devel_Financials!L49</f>
        <v>271089.06171411264</v>
      </c>
      <c r="R71" s="297">
        <f>$H$6/500*Devel_Financials!M49</f>
        <v>271564.46418267721</v>
      </c>
      <c r="S71" s="297">
        <f>$H$6/500*Devel_Financials!N49</f>
        <v>281344.02595911809</v>
      </c>
      <c r="T71" s="297">
        <f>$H$6/500*Devel_Financials!O49</f>
        <v>291661.86829543876</v>
      </c>
      <c r="U71" s="297">
        <f>$H$6/500*Devel_Financials!P49</f>
        <v>302649.59644202824</v>
      </c>
      <c r="V71" s="297">
        <f>$H$6/500*Devel_Financials!Q49</f>
        <v>314450.6601218108</v>
      </c>
      <c r="W71" s="297">
        <f>$H$6/500*Devel_Financials!R49</f>
        <v>420480.81517470244</v>
      </c>
      <c r="Y71" s="1337"/>
    </row>
    <row r="72" spans="2:25" s="295" customFormat="1">
      <c r="B72" s="302" t="s">
        <v>598</v>
      </c>
      <c r="C72" s="315"/>
      <c r="D72" s="296">
        <f>SUM(D67:D71)</f>
        <v>0</v>
      </c>
      <c r="E72" s="296">
        <f t="shared" ref="E72:W72" si="8">SUM(E67:E71)</f>
        <v>84096.341463414632</v>
      </c>
      <c r="F72" s="296">
        <f t="shared" si="8"/>
        <v>314154.45528455282</v>
      </c>
      <c r="G72" s="296">
        <f t="shared" si="8"/>
        <v>565128.3983739838</v>
      </c>
      <c r="H72" s="296">
        <f t="shared" si="8"/>
        <v>810592.66325203259</v>
      </c>
      <c r="I72" s="296">
        <f t="shared" si="8"/>
        <v>888624.92739837407</v>
      </c>
      <c r="J72" s="296">
        <f t="shared" si="8"/>
        <v>906114.96772276424</v>
      </c>
      <c r="K72" s="296">
        <f t="shared" si="8"/>
        <v>929492.17538037396</v>
      </c>
      <c r="L72" s="296">
        <f t="shared" si="8"/>
        <v>957811.91459648334</v>
      </c>
      <c r="M72" s="296">
        <f t="shared" si="8"/>
        <v>981490.18971513934</v>
      </c>
      <c r="N72" s="296">
        <f t="shared" si="8"/>
        <v>993725.66465317574</v>
      </c>
      <c r="O72" s="296">
        <f t="shared" si="8"/>
        <v>993862.66457263613</v>
      </c>
      <c r="P72" s="296">
        <f t="shared" si="8"/>
        <v>999466.99609344173</v>
      </c>
      <c r="Q72" s="296">
        <f t="shared" si="8"/>
        <v>1016719.1569968137</v>
      </c>
      <c r="R72" s="296">
        <f t="shared" si="8"/>
        <v>1044505.4680408214</v>
      </c>
      <c r="S72" s="296">
        <f t="shared" si="8"/>
        <v>1083322.4201644952</v>
      </c>
      <c r="T72" s="296">
        <f t="shared" si="8"/>
        <v>1171410.9758002642</v>
      </c>
      <c r="U72" s="296">
        <f t="shared" si="8"/>
        <v>1308764.5948089755</v>
      </c>
      <c r="V72" s="296">
        <f t="shared" si="8"/>
        <v>1396595.9299627263</v>
      </c>
      <c r="W72" s="296">
        <f t="shared" si="8"/>
        <v>1455852.1548569053</v>
      </c>
      <c r="Y72" s="1337"/>
    </row>
    <row r="73" spans="2:25" s="295" customFormat="1">
      <c r="B73" s="302"/>
      <c r="C73" s="315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Y73" s="1337"/>
    </row>
    <row r="74" spans="2:25" s="295" customFormat="1">
      <c r="B74" s="1190" t="s">
        <v>595</v>
      </c>
      <c r="C74" s="315"/>
      <c r="D74" s="297">
        <v>0</v>
      </c>
      <c r="E74" s="297">
        <f>$E$7/Devel_Financials!$G$6*Devel_Financials!C85</f>
        <v>90551.84708940766</v>
      </c>
      <c r="F74" s="297">
        <f>$E$7/Devel_Financials!$G$6*Devel_Financials!D85</f>
        <v>81839.006717145938</v>
      </c>
      <c r="G74" s="297">
        <f>$E$7/Devel_Financials!$G$6*Devel_Financials!E85</f>
        <v>79680.907331681228</v>
      </c>
      <c r="H74" s="297">
        <f>$E$7/Devel_Financials!$G$6*Devel_Financials!F85</f>
        <v>79166.332395628517</v>
      </c>
      <c r="I74" s="297">
        <f>$E$7/Devel_Financials!$G$6*Devel_Financials!G85</f>
        <v>82722.488019600845</v>
      </c>
      <c r="J74" s="297">
        <f>$E$7/Devel_Financials!$G$6*Devel_Financials!H85</f>
        <v>81724.195901952815</v>
      </c>
      <c r="K74" s="297">
        <f>$E$7/Devel_Financials!$G$6*Devel_Financials!I85</f>
        <v>86260.056588532563</v>
      </c>
      <c r="L74" s="297">
        <f>$E$7/Devel_Financials!$G$6*Devel_Financials!J85</f>
        <v>86885.955397003534</v>
      </c>
      <c r="M74" s="297">
        <f>$E$7/Devel_Financials!$G$6*Devel_Financials!K85</f>
        <v>87539.831902559963</v>
      </c>
      <c r="N74" s="297">
        <f>$E$7/Devel_Financials!$G$6*Devel_Financials!L85</f>
        <v>91354.750088413246</v>
      </c>
      <c r="O74" s="297">
        <f>$E$7/Devel_Financials!$G$6*Devel_Financials!M85</f>
        <v>32094.544333963509</v>
      </c>
      <c r="P74" s="297">
        <f>$E$7/Devel_Financials!$G$6*Devel_Financials!N85</f>
        <v>25563.16678494943</v>
      </c>
      <c r="Q74" s="297">
        <f>$E$7/Devel_Financials!$G$6*Devel_Financials!O85</f>
        <v>25751.113339995649</v>
      </c>
      <c r="R74" s="297">
        <f>$E$7/Devel_Financials!$G$6*Devel_Financials!P85</f>
        <v>25654.185325473045</v>
      </c>
      <c r="S74" s="297">
        <f>$E$7/Devel_Financials!$G$6*Devel_Financials!Q85</f>
        <v>25608.081702987009</v>
      </c>
      <c r="T74" s="297">
        <f>$E$7/Devel_Financials!$G$6*Devel_Financials!R85</f>
        <v>25963.13465602418</v>
      </c>
      <c r="U74" s="297">
        <f>$E$7/Devel_Financials!$G$6*Devel_Financials!S85</f>
        <v>25955.11680135447</v>
      </c>
      <c r="V74" s="297">
        <f>$E$7/Devel_Financials!$G$6*Devel_Financials!T85</f>
        <v>26785.858979425549</v>
      </c>
      <c r="W74" s="297">
        <f>$E$7/Devel_Financials!$G$6*Devel_Financials!U85</f>
        <v>26891.496611152492</v>
      </c>
      <c r="Y74" s="1337"/>
    </row>
    <row r="75" spans="2:25" s="295" customFormat="1">
      <c r="C75" s="315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Y75" s="1337"/>
    </row>
    <row r="76" spans="2:25" s="295" customFormat="1" ht="13.5" thickBot="1">
      <c r="B76" s="1114" t="s">
        <v>596</v>
      </c>
      <c r="C76" s="315"/>
      <c r="D76" s="1338">
        <f>D65+D72+D74</f>
        <v>19625.028048780488</v>
      </c>
      <c r="E76" s="1338">
        <f t="shared" ref="E76:W76" si="9">E65+E72+E74</f>
        <v>218987.95079672473</v>
      </c>
      <c r="F76" s="1338">
        <f t="shared" si="9"/>
        <v>505333.68441633286</v>
      </c>
      <c r="G76" s="1338">
        <f t="shared" si="9"/>
        <v>778137.29017932352</v>
      </c>
      <c r="H76" s="1338">
        <f t="shared" si="9"/>
        <v>1026106.4900366855</v>
      </c>
      <c r="I76" s="1338">
        <f t="shared" si="9"/>
        <v>1109722.9332316357</v>
      </c>
      <c r="J76" s="1338">
        <f t="shared" si="9"/>
        <v>1129625.2975474126</v>
      </c>
      <c r="K76" s="1338">
        <f t="shared" si="9"/>
        <v>1162694.4613069489</v>
      </c>
      <c r="L76" s="1338">
        <f t="shared" si="9"/>
        <v>1195860.5324105388</v>
      </c>
      <c r="M76" s="1338">
        <f t="shared" si="9"/>
        <v>1220111.4668514333</v>
      </c>
      <c r="N76" s="1338">
        <f t="shared" si="9"/>
        <v>1236221.6540246722</v>
      </c>
      <c r="O76" s="1338">
        <f t="shared" si="9"/>
        <v>1178358.1133927265</v>
      </c>
      <c r="P76" s="1338">
        <f t="shared" si="9"/>
        <v>1179774.9971690516</v>
      </c>
      <c r="Q76" s="1338">
        <f t="shared" si="9"/>
        <v>1202862.8984736293</v>
      </c>
      <c r="R76" s="1338">
        <f t="shared" si="9"/>
        <v>1236545.470135428</v>
      </c>
      <c r="S76" s="1338">
        <f t="shared" si="9"/>
        <v>1292614.0326918757</v>
      </c>
      <c r="T76" s="1338">
        <f t="shared" si="9"/>
        <v>1393551.498375548</v>
      </c>
      <c r="U76" s="1338">
        <f t="shared" si="9"/>
        <v>1563190.7033355525</v>
      </c>
      <c r="V76" s="1338">
        <f t="shared" si="9"/>
        <v>1641962.6060811132</v>
      </c>
      <c r="W76" s="1338">
        <f t="shared" si="9"/>
        <v>1691928.8027500713</v>
      </c>
      <c r="Y76" s="1337"/>
    </row>
    <row r="77" spans="2:25" s="295" customFormat="1" ht="13.5" thickTop="1">
      <c r="B77" s="628"/>
      <c r="C77" s="628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Y77" s="1337"/>
    </row>
    <row r="78" spans="2:25">
      <c r="B78" s="914"/>
      <c r="C78" s="914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</row>
    <row r="79" spans="2:25">
      <c r="B79" s="565" t="s">
        <v>599</v>
      </c>
    </row>
    <row r="80" spans="2:25">
      <c r="B80" s="271" t="s">
        <v>600</v>
      </c>
    </row>
    <row r="81" spans="2:23">
      <c r="B81" s="271" t="s">
        <v>601</v>
      </c>
    </row>
    <row r="82" spans="2:23">
      <c r="B82" s="271" t="s">
        <v>602</v>
      </c>
    </row>
    <row r="83" spans="2:23">
      <c r="B83" s="271" t="s">
        <v>603</v>
      </c>
    </row>
    <row r="84" spans="2:23">
      <c r="B84" s="271" t="s">
        <v>604</v>
      </c>
    </row>
    <row r="86" spans="2:23">
      <c r="B86" s="565" t="s">
        <v>605</v>
      </c>
    </row>
    <row r="87" spans="2:23">
      <c r="B87" s="271" t="s">
        <v>606</v>
      </c>
    </row>
    <row r="88" spans="2:23">
      <c r="B88" s="271" t="s">
        <v>607</v>
      </c>
    </row>
    <row r="94" spans="2:23" hidden="1" outlineLevel="1">
      <c r="B94" s="291" t="s">
        <v>5</v>
      </c>
      <c r="C94" s="1186"/>
      <c r="D94" s="566">
        <v>2001</v>
      </c>
      <c r="E94" s="566">
        <f>+D94+1</f>
        <v>2002</v>
      </c>
      <c r="F94" s="566">
        <f t="shared" ref="F94:W94" si="10">+E94+1</f>
        <v>2003</v>
      </c>
      <c r="G94" s="566">
        <f t="shared" si="10"/>
        <v>2004</v>
      </c>
      <c r="H94" s="566">
        <f t="shared" si="10"/>
        <v>2005</v>
      </c>
      <c r="I94" s="566">
        <f t="shared" si="10"/>
        <v>2006</v>
      </c>
      <c r="J94" s="566">
        <f t="shared" si="10"/>
        <v>2007</v>
      </c>
      <c r="K94" s="566">
        <f t="shared" si="10"/>
        <v>2008</v>
      </c>
      <c r="L94" s="566">
        <f t="shared" si="10"/>
        <v>2009</v>
      </c>
      <c r="M94" s="566">
        <f t="shared" si="10"/>
        <v>2010</v>
      </c>
      <c r="N94" s="566">
        <f t="shared" si="10"/>
        <v>2011</v>
      </c>
      <c r="O94" s="566">
        <f t="shared" si="10"/>
        <v>2012</v>
      </c>
      <c r="P94" s="566">
        <f t="shared" si="10"/>
        <v>2013</v>
      </c>
      <c r="Q94" s="566">
        <f t="shared" si="10"/>
        <v>2014</v>
      </c>
      <c r="R94" s="566">
        <f t="shared" si="10"/>
        <v>2015</v>
      </c>
      <c r="S94" s="566">
        <f t="shared" si="10"/>
        <v>2016</v>
      </c>
      <c r="T94" s="566">
        <f t="shared" si="10"/>
        <v>2017</v>
      </c>
      <c r="U94" s="566">
        <f t="shared" si="10"/>
        <v>2018</v>
      </c>
      <c r="V94" s="566">
        <f t="shared" si="10"/>
        <v>2019</v>
      </c>
      <c r="W94" s="566">
        <f t="shared" si="10"/>
        <v>2020</v>
      </c>
    </row>
    <row r="95" spans="2:23" hidden="1" outlineLevel="1">
      <c r="B95" s="291"/>
      <c r="C95" s="1186"/>
      <c r="D95" s="566"/>
      <c r="E95" s="566"/>
      <c r="F95" s="566"/>
      <c r="G95" s="566"/>
      <c r="H95" s="566"/>
      <c r="I95" s="566"/>
      <c r="J95" s="566"/>
      <c r="K95" s="566"/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</row>
    <row r="96" spans="2:23" ht="15.75" hidden="1" outlineLevel="1">
      <c r="B96" s="737" t="s">
        <v>392</v>
      </c>
    </row>
    <row r="97" spans="2:23" hidden="1" outlineLevel="1"/>
    <row r="98" spans="2:23" hidden="1" outlineLevel="1">
      <c r="B98" s="302" t="s">
        <v>585</v>
      </c>
      <c r="C98" s="1282">
        <v>30</v>
      </c>
      <c r="D98" s="295">
        <f>90%/$C$98*Devel_Financials!$S$8</f>
        <v>5775.75</v>
      </c>
      <c r="E98" s="295">
        <f>90%/$C$98*Devel_Financials!$S$8</f>
        <v>5775.75</v>
      </c>
      <c r="F98" s="295">
        <f>90%/$C$98*Devel_Financials!$S$8</f>
        <v>5775.75</v>
      </c>
      <c r="G98" s="295">
        <f>90%/$C$98*Devel_Financials!$S$8</f>
        <v>5775.75</v>
      </c>
      <c r="H98" s="295">
        <f>90%/$C$98*Devel_Financials!$S$8</f>
        <v>5775.75</v>
      </c>
      <c r="I98" s="295">
        <f>90%/$C$98*Devel_Financials!$S$8</f>
        <v>5775.75</v>
      </c>
      <c r="J98" s="295">
        <f>90%/$C$98*Devel_Financials!$S$8</f>
        <v>5775.75</v>
      </c>
      <c r="K98" s="295">
        <f>90%/$C$98*Devel_Financials!$S$8</f>
        <v>5775.75</v>
      </c>
      <c r="L98" s="295">
        <f>90%/$C$98*Devel_Financials!$S$8</f>
        <v>5775.75</v>
      </c>
      <c r="M98" s="295">
        <f>90%/$C$98*Devel_Financials!$S$8</f>
        <v>5775.75</v>
      </c>
      <c r="N98" s="295">
        <f>90%/$C$98*Devel_Financials!$S$8</f>
        <v>5775.75</v>
      </c>
      <c r="O98" s="295">
        <f>90%/$C$98*Devel_Financials!$S$8</f>
        <v>5775.75</v>
      </c>
      <c r="P98" s="295">
        <f>90%/$C$98*Devel_Financials!$S$8</f>
        <v>5775.75</v>
      </c>
      <c r="Q98" s="295">
        <f>90%/$C$98*Devel_Financials!$S$8</f>
        <v>5775.75</v>
      </c>
      <c r="R98" s="295">
        <f>90%/$C$98*Devel_Financials!$S$8</f>
        <v>5775.75</v>
      </c>
      <c r="S98" s="295">
        <f>90%/$C$98*Devel_Financials!$S$8</f>
        <v>5775.75</v>
      </c>
      <c r="T98" s="295">
        <f>90%/$C$98*Devel_Financials!$S$8</f>
        <v>5775.75</v>
      </c>
      <c r="U98" s="295">
        <f>90%/$C$98*Devel_Financials!$S$8</f>
        <v>5775.75</v>
      </c>
      <c r="V98" s="295">
        <f>90%/$C$98*Devel_Financials!$S$8</f>
        <v>5775.75</v>
      </c>
      <c r="W98" s="295">
        <f>90%/$C$98*Devel_Financials!$S$8</f>
        <v>5775.75</v>
      </c>
    </row>
    <row r="99" spans="2:23" hidden="1" outlineLevel="1">
      <c r="B99" s="302" t="s">
        <v>586</v>
      </c>
      <c r="C99" s="1282">
        <v>30</v>
      </c>
      <c r="D99" s="295">
        <v>0</v>
      </c>
      <c r="E99" s="295">
        <f>90%/$C$99*Devel_Financials!$K$8</f>
        <v>4950</v>
      </c>
      <c r="F99" s="295">
        <f>90%/$C$99*Devel_Financials!$K$8</f>
        <v>4950</v>
      </c>
      <c r="G99" s="295">
        <f>90%/$C$99*Devel_Financials!$K$8</f>
        <v>4950</v>
      </c>
      <c r="H99" s="295">
        <f>90%/$C$99*Devel_Financials!$K$8</f>
        <v>4950</v>
      </c>
      <c r="I99" s="295">
        <f>90%/$C$99*Devel_Financials!$K$8</f>
        <v>4950</v>
      </c>
      <c r="J99" s="295">
        <f>90%/$C$99*Devel_Financials!$K$8</f>
        <v>4950</v>
      </c>
      <c r="K99" s="295">
        <f>90%/$C$99*Devel_Financials!$K$8</f>
        <v>4950</v>
      </c>
      <c r="L99" s="295">
        <f>90%/$C$99*Devel_Financials!$K$8</f>
        <v>4950</v>
      </c>
      <c r="M99" s="295">
        <f>90%/$C$99*Devel_Financials!$K$8</f>
        <v>4950</v>
      </c>
      <c r="N99" s="295">
        <f>90%/$C$99*Devel_Financials!$K$8</f>
        <v>4950</v>
      </c>
      <c r="O99" s="295">
        <f>90%/$C$99*Devel_Financials!$K$8</f>
        <v>4950</v>
      </c>
      <c r="P99" s="295">
        <f>90%/$C$99*Devel_Financials!$K$8</f>
        <v>4950</v>
      </c>
      <c r="Q99" s="295">
        <f>90%/$C$99*Devel_Financials!$K$8</f>
        <v>4950</v>
      </c>
      <c r="R99" s="295">
        <f>90%/$C$99*Devel_Financials!$K$8</f>
        <v>4950</v>
      </c>
      <c r="S99" s="295">
        <f>90%/$C$99*Devel_Financials!$K$8</f>
        <v>4950</v>
      </c>
      <c r="T99" s="295">
        <f>90%/$C$99*Devel_Financials!$K$8</f>
        <v>4950</v>
      </c>
      <c r="U99" s="295">
        <f>90%/$C$99*Devel_Financials!$K$8</f>
        <v>4950</v>
      </c>
      <c r="V99" s="295">
        <f>90%/$C$99*Devel_Financials!$K$8</f>
        <v>4950</v>
      </c>
      <c r="W99" s="295">
        <f>90%/$C$99*Devel_Financials!$K$8</f>
        <v>4950</v>
      </c>
    </row>
    <row r="100" spans="2:23" hidden="1" outlineLevel="1">
      <c r="B100" s="1190" t="s">
        <v>587</v>
      </c>
      <c r="C100" s="1283">
        <v>30</v>
      </c>
      <c r="D100" s="297">
        <v>0</v>
      </c>
      <c r="E100" s="297">
        <v>0</v>
      </c>
      <c r="F100" s="297">
        <f>90%/$C$100*Devel_Financials!$O$8</f>
        <v>16875</v>
      </c>
      <c r="G100" s="297">
        <f>90%/$C$100*Devel_Financials!$O$8</f>
        <v>16875</v>
      </c>
      <c r="H100" s="297">
        <f>90%/$C$100*Devel_Financials!$O$8</f>
        <v>16875</v>
      </c>
      <c r="I100" s="297">
        <f>90%/$C$100*Devel_Financials!$O$8</f>
        <v>16875</v>
      </c>
      <c r="J100" s="297">
        <f>90%/$C$100*Devel_Financials!$O$8</f>
        <v>16875</v>
      </c>
      <c r="K100" s="297">
        <f>90%/$C$100*Devel_Financials!$O$8</f>
        <v>16875</v>
      </c>
      <c r="L100" s="297">
        <f>90%/$C$100*Devel_Financials!$O$8</f>
        <v>16875</v>
      </c>
      <c r="M100" s="297">
        <f>90%/$C$100*Devel_Financials!$O$8</f>
        <v>16875</v>
      </c>
      <c r="N100" s="297">
        <f>90%/$C$100*Devel_Financials!$O$8</f>
        <v>16875</v>
      </c>
      <c r="O100" s="297">
        <f>90%/$C$100*Devel_Financials!$O$8</f>
        <v>16875</v>
      </c>
      <c r="P100" s="297">
        <f>90%/$C$100*Devel_Financials!$O$8</f>
        <v>16875</v>
      </c>
      <c r="Q100" s="297">
        <f>90%/$C$100*Devel_Financials!$O$8</f>
        <v>16875</v>
      </c>
      <c r="R100" s="297">
        <f>90%/$C$100*Devel_Financials!$O$8</f>
        <v>16875</v>
      </c>
      <c r="S100" s="297">
        <f>90%/$C$100*Devel_Financials!$O$8</f>
        <v>16875</v>
      </c>
      <c r="T100" s="297">
        <f>90%/$C$100*Devel_Financials!$O$8</f>
        <v>16875</v>
      </c>
      <c r="U100" s="297">
        <f>90%/$C$100*Devel_Financials!$O$8</f>
        <v>16875</v>
      </c>
      <c r="V100" s="297">
        <f>90%/$C$100*Devel_Financials!$O$8</f>
        <v>16875</v>
      </c>
      <c r="W100" s="297">
        <f>90%/$C$100*Devel_Financials!$O$8</f>
        <v>16875</v>
      </c>
    </row>
    <row r="101" spans="2:23" hidden="1" outlineLevel="1">
      <c r="B101" s="302" t="s">
        <v>588</v>
      </c>
      <c r="C101" s="1282"/>
      <c r="D101" s="295">
        <f>SUM(D98:D100)</f>
        <v>5775.75</v>
      </c>
      <c r="E101" s="295">
        <f t="shared" ref="E101:W101" si="11">SUM(E98:E100)</f>
        <v>10725.75</v>
      </c>
      <c r="F101" s="295">
        <f t="shared" si="11"/>
        <v>27600.75</v>
      </c>
      <c r="G101" s="295">
        <f t="shared" si="11"/>
        <v>27600.75</v>
      </c>
      <c r="H101" s="295">
        <f t="shared" si="11"/>
        <v>27600.75</v>
      </c>
      <c r="I101" s="295">
        <f t="shared" si="11"/>
        <v>27600.75</v>
      </c>
      <c r="J101" s="295">
        <f t="shared" si="11"/>
        <v>27600.75</v>
      </c>
      <c r="K101" s="295">
        <f t="shared" si="11"/>
        <v>27600.75</v>
      </c>
      <c r="L101" s="295">
        <f t="shared" si="11"/>
        <v>27600.75</v>
      </c>
      <c r="M101" s="295">
        <f t="shared" si="11"/>
        <v>27600.75</v>
      </c>
      <c r="N101" s="295">
        <f t="shared" si="11"/>
        <v>27600.75</v>
      </c>
      <c r="O101" s="295">
        <f t="shared" si="11"/>
        <v>27600.75</v>
      </c>
      <c r="P101" s="295">
        <f t="shared" si="11"/>
        <v>27600.75</v>
      </c>
      <c r="Q101" s="295">
        <f t="shared" si="11"/>
        <v>27600.75</v>
      </c>
      <c r="R101" s="295">
        <f t="shared" si="11"/>
        <v>27600.75</v>
      </c>
      <c r="S101" s="295">
        <f t="shared" si="11"/>
        <v>27600.75</v>
      </c>
      <c r="T101" s="295">
        <f t="shared" si="11"/>
        <v>27600.75</v>
      </c>
      <c r="U101" s="295">
        <f t="shared" si="11"/>
        <v>27600.75</v>
      </c>
      <c r="V101" s="295">
        <f t="shared" si="11"/>
        <v>27600.75</v>
      </c>
      <c r="W101" s="295">
        <f t="shared" si="11"/>
        <v>27600.75</v>
      </c>
    </row>
    <row r="102" spans="2:23" hidden="1" outlineLevel="1">
      <c r="B102" s="302"/>
      <c r="C102" s="1282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</row>
    <row r="103" spans="2:23" hidden="1" outlineLevel="1">
      <c r="B103" s="302" t="s">
        <v>589</v>
      </c>
      <c r="C103" s="1282">
        <v>30</v>
      </c>
      <c r="D103" s="295">
        <v>0</v>
      </c>
      <c r="E103" s="295">
        <f t="shared" ref="E103:W103" si="12">90%/30*$D$15</f>
        <v>0</v>
      </c>
      <c r="F103" s="295">
        <f t="shared" si="12"/>
        <v>0</v>
      </c>
      <c r="G103" s="295">
        <f t="shared" si="12"/>
        <v>0</v>
      </c>
      <c r="H103" s="295">
        <f t="shared" si="12"/>
        <v>0</v>
      </c>
      <c r="I103" s="295">
        <f t="shared" si="12"/>
        <v>0</v>
      </c>
      <c r="J103" s="295">
        <f t="shared" si="12"/>
        <v>0</v>
      </c>
      <c r="K103" s="295">
        <f t="shared" si="12"/>
        <v>0</v>
      </c>
      <c r="L103" s="295">
        <f t="shared" si="12"/>
        <v>0</v>
      </c>
      <c r="M103" s="295">
        <f t="shared" si="12"/>
        <v>0</v>
      </c>
      <c r="N103" s="295">
        <f t="shared" si="12"/>
        <v>0</v>
      </c>
      <c r="O103" s="295">
        <f t="shared" si="12"/>
        <v>0</v>
      </c>
      <c r="P103" s="295">
        <f t="shared" si="12"/>
        <v>0</v>
      </c>
      <c r="Q103" s="295">
        <f t="shared" si="12"/>
        <v>0</v>
      </c>
      <c r="R103" s="295">
        <f t="shared" si="12"/>
        <v>0</v>
      </c>
      <c r="S103" s="295">
        <f t="shared" si="12"/>
        <v>0</v>
      </c>
      <c r="T103" s="295">
        <f t="shared" si="12"/>
        <v>0</v>
      </c>
      <c r="U103" s="295">
        <f t="shared" si="12"/>
        <v>0</v>
      </c>
      <c r="V103" s="295">
        <f t="shared" si="12"/>
        <v>0</v>
      </c>
      <c r="W103" s="295">
        <f t="shared" si="12"/>
        <v>0</v>
      </c>
    </row>
    <row r="104" spans="2:23" hidden="1" outlineLevel="1">
      <c r="B104" s="302" t="s">
        <v>590</v>
      </c>
      <c r="C104" s="1282">
        <v>30</v>
      </c>
      <c r="D104" s="295">
        <v>0</v>
      </c>
      <c r="E104" s="295">
        <f t="shared" ref="E104:W104" si="13">90%/30*$E$15</f>
        <v>24750.000000000004</v>
      </c>
      <c r="F104" s="295">
        <f t="shared" si="13"/>
        <v>24750.000000000004</v>
      </c>
      <c r="G104" s="295">
        <f t="shared" si="13"/>
        <v>24750.000000000004</v>
      </c>
      <c r="H104" s="295">
        <f t="shared" si="13"/>
        <v>24750.000000000004</v>
      </c>
      <c r="I104" s="295">
        <f t="shared" si="13"/>
        <v>24750.000000000004</v>
      </c>
      <c r="J104" s="295">
        <f t="shared" si="13"/>
        <v>24750.000000000004</v>
      </c>
      <c r="K104" s="295">
        <f t="shared" si="13"/>
        <v>24750.000000000004</v>
      </c>
      <c r="L104" s="295">
        <f t="shared" si="13"/>
        <v>24750.000000000004</v>
      </c>
      <c r="M104" s="295">
        <f t="shared" si="13"/>
        <v>24750.000000000004</v>
      </c>
      <c r="N104" s="295">
        <f t="shared" si="13"/>
        <v>24750.000000000004</v>
      </c>
      <c r="O104" s="295">
        <f t="shared" si="13"/>
        <v>24750.000000000004</v>
      </c>
      <c r="P104" s="295">
        <f t="shared" si="13"/>
        <v>24750.000000000004</v>
      </c>
      <c r="Q104" s="295">
        <f t="shared" si="13"/>
        <v>24750.000000000004</v>
      </c>
      <c r="R104" s="295">
        <f t="shared" si="13"/>
        <v>24750.000000000004</v>
      </c>
      <c r="S104" s="295">
        <f t="shared" si="13"/>
        <v>24750.000000000004</v>
      </c>
      <c r="T104" s="295">
        <f t="shared" si="13"/>
        <v>24750.000000000004</v>
      </c>
      <c r="U104" s="295">
        <f t="shared" si="13"/>
        <v>24750.000000000004</v>
      </c>
      <c r="V104" s="295">
        <f t="shared" si="13"/>
        <v>24750.000000000004</v>
      </c>
      <c r="W104" s="295">
        <f t="shared" si="13"/>
        <v>24750.000000000004</v>
      </c>
    </row>
    <row r="105" spans="2:23" hidden="1" outlineLevel="1">
      <c r="B105" s="302" t="s">
        <v>591</v>
      </c>
      <c r="C105" s="1282">
        <v>30</v>
      </c>
      <c r="D105" s="295">
        <v>0</v>
      </c>
      <c r="E105" s="295">
        <v>0</v>
      </c>
      <c r="F105" s="295">
        <f t="shared" ref="F105:W105" si="14">90%/30*$F$15</f>
        <v>57750.000000000007</v>
      </c>
      <c r="G105" s="295">
        <f t="shared" si="14"/>
        <v>57750.000000000007</v>
      </c>
      <c r="H105" s="295">
        <f t="shared" si="14"/>
        <v>57750.000000000007</v>
      </c>
      <c r="I105" s="295">
        <f t="shared" si="14"/>
        <v>57750.000000000007</v>
      </c>
      <c r="J105" s="295">
        <f t="shared" si="14"/>
        <v>57750.000000000007</v>
      </c>
      <c r="K105" s="295">
        <f t="shared" si="14"/>
        <v>57750.000000000007</v>
      </c>
      <c r="L105" s="295">
        <f t="shared" si="14"/>
        <v>57750.000000000007</v>
      </c>
      <c r="M105" s="295">
        <f t="shared" si="14"/>
        <v>57750.000000000007</v>
      </c>
      <c r="N105" s="295">
        <f t="shared" si="14"/>
        <v>57750.000000000007</v>
      </c>
      <c r="O105" s="295">
        <f t="shared" si="14"/>
        <v>57750.000000000007</v>
      </c>
      <c r="P105" s="295">
        <f t="shared" si="14"/>
        <v>57750.000000000007</v>
      </c>
      <c r="Q105" s="295">
        <f t="shared" si="14"/>
        <v>57750.000000000007</v>
      </c>
      <c r="R105" s="295">
        <f t="shared" si="14"/>
        <v>57750.000000000007</v>
      </c>
      <c r="S105" s="295">
        <f t="shared" si="14"/>
        <v>57750.000000000007</v>
      </c>
      <c r="T105" s="295">
        <f t="shared" si="14"/>
        <v>57750.000000000007</v>
      </c>
      <c r="U105" s="295">
        <f t="shared" si="14"/>
        <v>57750.000000000007</v>
      </c>
      <c r="V105" s="295">
        <f t="shared" si="14"/>
        <v>57750.000000000007</v>
      </c>
      <c r="W105" s="295">
        <f t="shared" si="14"/>
        <v>57750.000000000007</v>
      </c>
    </row>
    <row r="106" spans="2:23" hidden="1" outlineLevel="1">
      <c r="B106" s="302" t="s">
        <v>592</v>
      </c>
      <c r="C106" s="1282">
        <v>30</v>
      </c>
      <c r="D106" s="295">
        <v>0</v>
      </c>
      <c r="E106" s="295">
        <v>0</v>
      </c>
      <c r="F106" s="295">
        <v>0</v>
      </c>
      <c r="G106" s="295">
        <f t="shared" ref="G106:W106" si="15">90%/30*$G$15</f>
        <v>49500.000000000007</v>
      </c>
      <c r="H106" s="295">
        <f t="shared" si="15"/>
        <v>49500.000000000007</v>
      </c>
      <c r="I106" s="295">
        <f t="shared" si="15"/>
        <v>49500.000000000007</v>
      </c>
      <c r="J106" s="295">
        <f t="shared" si="15"/>
        <v>49500.000000000007</v>
      </c>
      <c r="K106" s="295">
        <f t="shared" si="15"/>
        <v>49500.000000000007</v>
      </c>
      <c r="L106" s="295">
        <f t="shared" si="15"/>
        <v>49500.000000000007</v>
      </c>
      <c r="M106" s="295">
        <f t="shared" si="15"/>
        <v>49500.000000000007</v>
      </c>
      <c r="N106" s="295">
        <f t="shared" si="15"/>
        <v>49500.000000000007</v>
      </c>
      <c r="O106" s="295">
        <f t="shared" si="15"/>
        <v>49500.000000000007</v>
      </c>
      <c r="P106" s="295">
        <f t="shared" si="15"/>
        <v>49500.000000000007</v>
      </c>
      <c r="Q106" s="295">
        <f t="shared" si="15"/>
        <v>49500.000000000007</v>
      </c>
      <c r="R106" s="295">
        <f t="shared" si="15"/>
        <v>49500.000000000007</v>
      </c>
      <c r="S106" s="295">
        <f t="shared" si="15"/>
        <v>49500.000000000007</v>
      </c>
      <c r="T106" s="295">
        <f t="shared" si="15"/>
        <v>49500.000000000007</v>
      </c>
      <c r="U106" s="295">
        <f t="shared" si="15"/>
        <v>49500.000000000007</v>
      </c>
      <c r="V106" s="295">
        <f t="shared" si="15"/>
        <v>49500.000000000007</v>
      </c>
      <c r="W106" s="295">
        <f t="shared" si="15"/>
        <v>49500.000000000007</v>
      </c>
    </row>
    <row r="107" spans="2:23" hidden="1" outlineLevel="1">
      <c r="B107" s="1190" t="s">
        <v>593</v>
      </c>
      <c r="C107" s="1283">
        <v>30</v>
      </c>
      <c r="D107" s="297">
        <v>0</v>
      </c>
      <c r="E107" s="297">
        <v>0</v>
      </c>
      <c r="F107" s="297">
        <v>0</v>
      </c>
      <c r="G107" s="297">
        <v>0</v>
      </c>
      <c r="H107" s="297">
        <f t="shared" ref="H107:W107" si="16">90%/30*$H$15</f>
        <v>49500.000000000007</v>
      </c>
      <c r="I107" s="297">
        <f t="shared" si="16"/>
        <v>49500.000000000007</v>
      </c>
      <c r="J107" s="297">
        <f t="shared" si="16"/>
        <v>49500.000000000007</v>
      </c>
      <c r="K107" s="297">
        <f t="shared" si="16"/>
        <v>49500.000000000007</v>
      </c>
      <c r="L107" s="297">
        <f t="shared" si="16"/>
        <v>49500.000000000007</v>
      </c>
      <c r="M107" s="297">
        <f t="shared" si="16"/>
        <v>49500.000000000007</v>
      </c>
      <c r="N107" s="297">
        <f t="shared" si="16"/>
        <v>49500.000000000007</v>
      </c>
      <c r="O107" s="297">
        <f t="shared" si="16"/>
        <v>49500.000000000007</v>
      </c>
      <c r="P107" s="297">
        <f t="shared" si="16"/>
        <v>49500.000000000007</v>
      </c>
      <c r="Q107" s="297">
        <f t="shared" si="16"/>
        <v>49500.000000000007</v>
      </c>
      <c r="R107" s="297">
        <f t="shared" si="16"/>
        <v>49500.000000000007</v>
      </c>
      <c r="S107" s="297">
        <f t="shared" si="16"/>
        <v>49500.000000000007</v>
      </c>
      <c r="T107" s="297">
        <f t="shared" si="16"/>
        <v>49500.000000000007</v>
      </c>
      <c r="U107" s="297">
        <f t="shared" si="16"/>
        <v>49500.000000000007</v>
      </c>
      <c r="V107" s="297">
        <f t="shared" si="16"/>
        <v>49500.000000000007</v>
      </c>
      <c r="W107" s="297">
        <f t="shared" si="16"/>
        <v>49500.000000000007</v>
      </c>
    </row>
    <row r="108" spans="2:23" hidden="1" outlineLevel="1">
      <c r="B108" s="302" t="s">
        <v>594</v>
      </c>
      <c r="C108" s="1282"/>
      <c r="D108" s="295">
        <f>SUM(D103:D107)</f>
        <v>0</v>
      </c>
      <c r="E108" s="295">
        <f t="shared" ref="E108:W108" si="17">SUM(E103:E107)</f>
        <v>24750.000000000004</v>
      </c>
      <c r="F108" s="295">
        <f t="shared" si="17"/>
        <v>82500.000000000015</v>
      </c>
      <c r="G108" s="295">
        <f t="shared" si="17"/>
        <v>132000.00000000003</v>
      </c>
      <c r="H108" s="295">
        <f t="shared" si="17"/>
        <v>181500.00000000003</v>
      </c>
      <c r="I108" s="295">
        <f t="shared" si="17"/>
        <v>181500.00000000003</v>
      </c>
      <c r="J108" s="295">
        <f t="shared" si="17"/>
        <v>181500.00000000003</v>
      </c>
      <c r="K108" s="295">
        <f t="shared" si="17"/>
        <v>181500.00000000003</v>
      </c>
      <c r="L108" s="295">
        <f t="shared" si="17"/>
        <v>181500.00000000003</v>
      </c>
      <c r="M108" s="295">
        <f t="shared" si="17"/>
        <v>181500.00000000003</v>
      </c>
      <c r="N108" s="295">
        <f t="shared" si="17"/>
        <v>181500.00000000003</v>
      </c>
      <c r="O108" s="295">
        <f t="shared" si="17"/>
        <v>181500.00000000003</v>
      </c>
      <c r="P108" s="295">
        <f t="shared" si="17"/>
        <v>181500.00000000003</v>
      </c>
      <c r="Q108" s="295">
        <f t="shared" si="17"/>
        <v>181500.00000000003</v>
      </c>
      <c r="R108" s="295">
        <f t="shared" si="17"/>
        <v>181500.00000000003</v>
      </c>
      <c r="S108" s="295">
        <f t="shared" si="17"/>
        <v>181500.00000000003</v>
      </c>
      <c r="T108" s="295">
        <f t="shared" si="17"/>
        <v>181500.00000000003</v>
      </c>
      <c r="U108" s="295">
        <f t="shared" si="17"/>
        <v>181500.00000000003</v>
      </c>
      <c r="V108" s="295">
        <f t="shared" si="17"/>
        <v>181500.00000000003</v>
      </c>
      <c r="W108" s="295">
        <f t="shared" si="17"/>
        <v>181500.00000000003</v>
      </c>
    </row>
    <row r="109" spans="2:23" hidden="1" outlineLevel="1">
      <c r="B109" s="302"/>
      <c r="C109" s="1282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</row>
    <row r="110" spans="2:23" hidden="1" outlineLevel="1">
      <c r="B110" s="1190" t="s">
        <v>595</v>
      </c>
      <c r="C110" s="1283">
        <v>30</v>
      </c>
      <c r="D110" s="297">
        <v>0</v>
      </c>
      <c r="E110" s="297">
        <f t="shared" ref="E110:W110" si="18">90%/$C$110*$E$16</f>
        <v>16005.000000000002</v>
      </c>
      <c r="F110" s="297">
        <f t="shared" si="18"/>
        <v>16005.000000000002</v>
      </c>
      <c r="G110" s="297">
        <f t="shared" si="18"/>
        <v>16005.000000000002</v>
      </c>
      <c r="H110" s="297">
        <f t="shared" si="18"/>
        <v>16005.000000000002</v>
      </c>
      <c r="I110" s="297">
        <f t="shared" si="18"/>
        <v>16005.000000000002</v>
      </c>
      <c r="J110" s="297">
        <f t="shared" si="18"/>
        <v>16005.000000000002</v>
      </c>
      <c r="K110" s="297">
        <f t="shared" si="18"/>
        <v>16005.000000000002</v>
      </c>
      <c r="L110" s="297">
        <f t="shared" si="18"/>
        <v>16005.000000000002</v>
      </c>
      <c r="M110" s="297">
        <f t="shared" si="18"/>
        <v>16005.000000000002</v>
      </c>
      <c r="N110" s="297">
        <f t="shared" si="18"/>
        <v>16005.000000000002</v>
      </c>
      <c r="O110" s="297">
        <f t="shared" si="18"/>
        <v>16005.000000000002</v>
      </c>
      <c r="P110" s="297">
        <f t="shared" si="18"/>
        <v>16005.000000000002</v>
      </c>
      <c r="Q110" s="297">
        <f t="shared" si="18"/>
        <v>16005.000000000002</v>
      </c>
      <c r="R110" s="297">
        <f t="shared" si="18"/>
        <v>16005.000000000002</v>
      </c>
      <c r="S110" s="297">
        <f t="shared" si="18"/>
        <v>16005.000000000002</v>
      </c>
      <c r="T110" s="297">
        <f t="shared" si="18"/>
        <v>16005.000000000002</v>
      </c>
      <c r="U110" s="297">
        <f t="shared" si="18"/>
        <v>16005.000000000002</v>
      </c>
      <c r="V110" s="297">
        <f t="shared" si="18"/>
        <v>16005.000000000002</v>
      </c>
      <c r="W110" s="297">
        <f t="shared" si="18"/>
        <v>16005.000000000002</v>
      </c>
    </row>
    <row r="111" spans="2:23" hidden="1" outlineLevel="1">
      <c r="B111" s="302"/>
    </row>
    <row r="112" spans="2:23" hidden="1" outlineLevel="1">
      <c r="B112" s="1284" t="s">
        <v>596</v>
      </c>
      <c r="C112" s="1285"/>
      <c r="D112" s="553">
        <f t="shared" ref="D112:W112" si="19">D101+D108+D110</f>
        <v>5775.75</v>
      </c>
      <c r="E112" s="553">
        <f t="shared" si="19"/>
        <v>51480.75</v>
      </c>
      <c r="F112" s="553">
        <f t="shared" si="19"/>
        <v>126105.75000000001</v>
      </c>
      <c r="G112" s="553">
        <f t="shared" si="19"/>
        <v>175605.75000000003</v>
      </c>
      <c r="H112" s="553">
        <f t="shared" si="19"/>
        <v>225105.75000000003</v>
      </c>
      <c r="I112" s="553">
        <f t="shared" si="19"/>
        <v>225105.75000000003</v>
      </c>
      <c r="J112" s="553">
        <f t="shared" si="19"/>
        <v>225105.75000000003</v>
      </c>
      <c r="K112" s="553">
        <f t="shared" si="19"/>
        <v>225105.75000000003</v>
      </c>
      <c r="L112" s="553">
        <f t="shared" si="19"/>
        <v>225105.75000000003</v>
      </c>
      <c r="M112" s="553">
        <f t="shared" si="19"/>
        <v>225105.75000000003</v>
      </c>
      <c r="N112" s="553">
        <f t="shared" si="19"/>
        <v>225105.75000000003</v>
      </c>
      <c r="O112" s="553">
        <f t="shared" si="19"/>
        <v>225105.75000000003</v>
      </c>
      <c r="P112" s="553">
        <f t="shared" si="19"/>
        <v>225105.75000000003</v>
      </c>
      <c r="Q112" s="553">
        <f t="shared" si="19"/>
        <v>225105.75000000003</v>
      </c>
      <c r="R112" s="553">
        <f t="shared" si="19"/>
        <v>225105.75000000003</v>
      </c>
      <c r="S112" s="553">
        <f t="shared" si="19"/>
        <v>225105.75000000003</v>
      </c>
      <c r="T112" s="553">
        <f t="shared" si="19"/>
        <v>225105.75000000003</v>
      </c>
      <c r="U112" s="553">
        <f t="shared" si="19"/>
        <v>225105.75000000003</v>
      </c>
      <c r="V112" s="553">
        <f t="shared" si="19"/>
        <v>225105.75000000003</v>
      </c>
      <c r="W112" s="553">
        <f t="shared" si="19"/>
        <v>225105.75000000003</v>
      </c>
    </row>
    <row r="113" spans="2:25" hidden="1" outlineLevel="1"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</row>
    <row r="114" spans="2:25" hidden="1" outlineLevel="1"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</row>
    <row r="115" spans="2:25" ht="15.75" hidden="1" outlineLevel="1">
      <c r="B115" s="737" t="s">
        <v>70</v>
      </c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</row>
    <row r="116" spans="2:25" hidden="1" outlineLevel="1"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</row>
    <row r="117" spans="2:25" hidden="1" outlineLevel="1">
      <c r="B117" s="302" t="s">
        <v>585</v>
      </c>
      <c r="D117" s="155">
        <v>5.9100000000000007E-2</v>
      </c>
      <c r="E117" s="155">
        <v>9.803000000000002E-2</v>
      </c>
      <c r="F117" s="155">
        <v>7.3598280000000002E-2</v>
      </c>
      <c r="G117" s="155">
        <v>6.5761970400000008E-2</v>
      </c>
      <c r="H117" s="155">
        <v>5.9141013456000001E-2</v>
      </c>
      <c r="I117" s="155">
        <v>5.3461490039999997E-2</v>
      </c>
      <c r="J117" s="155">
        <v>4.8524408090860796E-2</v>
      </c>
      <c r="K117" s="155">
        <v>4.4183804137490304E-2</v>
      </c>
      <c r="L117" s="155">
        <v>4.033136800363351E-2</v>
      </c>
      <c r="M117" s="155">
        <v>3.6885637448299563E-2</v>
      </c>
      <c r="N117" s="155">
        <v>3.3784395172984066E-2</v>
      </c>
      <c r="O117" s="155">
        <v>3.0979310624564872E-2</v>
      </c>
      <c r="P117" s="155">
        <v>2.843215604298753E-2</v>
      </c>
      <c r="Q117" s="155">
        <v>2.6112127137110423E-2</v>
      </c>
      <c r="R117" s="155">
        <v>2.3993939444537721E-2</v>
      </c>
      <c r="S117" s="155">
        <v>2.2056469918990667E-2</v>
      </c>
      <c r="T117" s="155">
        <v>2.0281782245815727E-2</v>
      </c>
      <c r="U117" s="155">
        <v>1.8654422670551299E-2</v>
      </c>
      <c r="V117" s="155">
        <v>1.716090693774119E-2</v>
      </c>
      <c r="W117" s="155">
        <v>1.5789342617948978E-2</v>
      </c>
      <c r="X117" s="197"/>
    </row>
    <row r="118" spans="2:25" hidden="1" outlineLevel="1">
      <c r="B118" s="302"/>
      <c r="D118" s="295">
        <f>Devel_Financials!$S$8*D117</f>
        <v>11378.227500000001</v>
      </c>
      <c r="E118" s="295">
        <f>Devel_Financials!$S$8*E117</f>
        <v>18873.225750000005</v>
      </c>
      <c r="F118" s="295">
        <f>Devel_Financials!$S$8*F117</f>
        <v>14169.508857000001</v>
      </c>
      <c r="G118" s="295">
        <f>Devel_Financials!$S$8*G117</f>
        <v>12660.823351260002</v>
      </c>
      <c r="H118" s="295">
        <f>Devel_Financials!$S$8*H117</f>
        <v>11386.1236156164</v>
      </c>
      <c r="I118" s="295">
        <f>Devel_Financials!$S$8*I117</f>
        <v>10292.673369950999</v>
      </c>
      <c r="J118" s="295">
        <f>Devel_Financials!$S$8*J117</f>
        <v>9342.1616676929752</v>
      </c>
      <c r="K118" s="295">
        <f>Devel_Financials!$S$8*K117</f>
        <v>8506.4868915703209</v>
      </c>
      <c r="L118" s="295">
        <f>Devel_Financials!$S$8*L117</f>
        <v>7764.7966248995417</v>
      </c>
      <c r="M118" s="295">
        <f>Devel_Financials!$S$8*M117</f>
        <v>7101.4073497338732</v>
      </c>
      <c r="N118" s="295">
        <f>Devel_Financials!$S$8*N117</f>
        <v>6504.3406806787571</v>
      </c>
      <c r="O118" s="295">
        <f>Devel_Financials!$S$8*O117</f>
        <v>5964.2917779943518</v>
      </c>
      <c r="P118" s="295">
        <f>Devel_Financials!$S$8*P117</f>
        <v>5473.9008421761746</v>
      </c>
      <c r="Q118" s="295">
        <f>Devel_Financials!$S$8*Q117</f>
        <v>5027.237277072184</v>
      </c>
      <c r="R118" s="295">
        <f>Devel_Financials!$S$8*R117</f>
        <v>4619.4331915596249</v>
      </c>
      <c r="S118" s="295">
        <f>Devel_Financials!$S$8*S117</f>
        <v>4246.4218711536778</v>
      </c>
      <c r="T118" s="295">
        <f>Devel_Financials!$S$8*T117</f>
        <v>3904.7501268756728</v>
      </c>
      <c r="U118" s="295">
        <f>Devel_Financials!$S$8*U117</f>
        <v>3591.442724647889</v>
      </c>
      <c r="V118" s="295">
        <f>Devel_Financials!$S$8*V117</f>
        <v>3303.9036081886225</v>
      </c>
      <c r="W118" s="295">
        <f>Devel_Financials!$S$8*W117</f>
        <v>3039.843187520627</v>
      </c>
      <c r="X118" s="197"/>
    </row>
    <row r="119" spans="2:25" hidden="1" outlineLevel="1">
      <c r="B119" s="302" t="s">
        <v>586</v>
      </c>
      <c r="E119" s="155">
        <v>3.7499999999999999E-2</v>
      </c>
      <c r="F119" s="155">
        <v>7.2190000000000004E-2</v>
      </c>
      <c r="G119" s="155">
        <v>6.6769999999999996E-2</v>
      </c>
      <c r="H119" s="155">
        <v>6.1769999999999999E-2</v>
      </c>
      <c r="I119" s="155">
        <v>5.713E-2</v>
      </c>
      <c r="J119" s="155">
        <v>5.2850000000000001E-2</v>
      </c>
      <c r="K119" s="155">
        <v>4.888E-2</v>
      </c>
      <c r="L119" s="155">
        <v>4.5220000000000003E-2</v>
      </c>
      <c r="M119" s="155">
        <v>4.462E-2</v>
      </c>
      <c r="N119" s="155">
        <v>4.4609999999999997E-2</v>
      </c>
      <c r="O119" s="155">
        <v>4.462E-2</v>
      </c>
      <c r="P119" s="155">
        <v>4.4609999999999997E-2</v>
      </c>
      <c r="Q119" s="155">
        <v>4.462E-2</v>
      </c>
      <c r="R119" s="155">
        <v>4.4609999999999997E-2</v>
      </c>
      <c r="S119" s="155">
        <v>4.462E-2</v>
      </c>
      <c r="T119" s="155">
        <v>4.4609999999999997E-2</v>
      </c>
      <c r="U119" s="155">
        <v>4.462E-2</v>
      </c>
      <c r="V119" s="155">
        <v>4.4609999999999997E-2</v>
      </c>
      <c r="W119" s="155">
        <v>4.462E-2</v>
      </c>
      <c r="X119" s="155"/>
    </row>
    <row r="120" spans="2:25" hidden="1" outlineLevel="1">
      <c r="B120" s="302"/>
      <c r="D120" s="295">
        <v>0</v>
      </c>
      <c r="E120" s="295">
        <f>90%*Devel_Financials!$K$8*Devel_Summary!E119</f>
        <v>5568.75</v>
      </c>
      <c r="F120" s="295">
        <f>90%*Devel_Financials!$K$8*Devel_Summary!F119</f>
        <v>10720.215</v>
      </c>
      <c r="G120" s="295">
        <f>90%*Devel_Financials!$K$8*Devel_Summary!G119</f>
        <v>9915.3449999999993</v>
      </c>
      <c r="H120" s="295">
        <f>90%*Devel_Financials!$K$8*Devel_Summary!H119</f>
        <v>9172.8449999999993</v>
      </c>
      <c r="I120" s="295">
        <f>90%*Devel_Financials!$K$8*Devel_Summary!I119</f>
        <v>8483.8050000000003</v>
      </c>
      <c r="J120" s="295">
        <f>90%*Devel_Financials!$K$8*Devel_Summary!J119</f>
        <v>7848.2250000000004</v>
      </c>
      <c r="K120" s="295">
        <f>90%*Devel_Financials!$K$8*Devel_Summary!K119</f>
        <v>7258.68</v>
      </c>
      <c r="L120" s="295">
        <f>90%*Devel_Financials!$K$8*Devel_Summary!L119</f>
        <v>6715.17</v>
      </c>
      <c r="M120" s="295">
        <f>90%*Devel_Financials!$K$8*Devel_Summary!M119</f>
        <v>6626.07</v>
      </c>
      <c r="N120" s="295">
        <f>90%*Devel_Financials!$K$8*Devel_Summary!N119</f>
        <v>6624.5849999999991</v>
      </c>
      <c r="O120" s="295">
        <f>90%*Devel_Financials!$K$8*Devel_Summary!O119</f>
        <v>6626.07</v>
      </c>
      <c r="P120" s="295">
        <f>90%*Devel_Financials!$K$8*Devel_Summary!P119</f>
        <v>6624.5849999999991</v>
      </c>
      <c r="Q120" s="295">
        <f>90%*Devel_Financials!$K$8*Devel_Summary!Q119</f>
        <v>6626.07</v>
      </c>
      <c r="R120" s="295">
        <f>90%*Devel_Financials!$K$8*Devel_Summary!R119</f>
        <v>6624.5849999999991</v>
      </c>
      <c r="S120" s="295">
        <f>90%*Devel_Financials!$K$8*Devel_Summary!S119</f>
        <v>6626.07</v>
      </c>
      <c r="T120" s="295">
        <f>90%*Devel_Financials!$K$8*Devel_Summary!T119</f>
        <v>6624.5849999999991</v>
      </c>
      <c r="U120" s="295">
        <f>90%*Devel_Financials!$K$8*Devel_Summary!U119</f>
        <v>6626.07</v>
      </c>
      <c r="V120" s="295">
        <f>90%*Devel_Financials!$K$8*Devel_Summary!V119</f>
        <v>6624.5849999999991</v>
      </c>
      <c r="W120" s="295">
        <f>90%*Devel_Financials!$K$8*Devel_Summary!W119</f>
        <v>6626.07</v>
      </c>
    </row>
    <row r="121" spans="2:25" hidden="1" outlineLevel="1">
      <c r="B121" s="1091" t="s">
        <v>587</v>
      </c>
      <c r="F121" s="155">
        <v>3.7499999999999999E-2</v>
      </c>
      <c r="G121" s="155">
        <v>7.2190000000000004E-2</v>
      </c>
      <c r="H121" s="155">
        <v>6.6769999999999996E-2</v>
      </c>
      <c r="I121" s="155">
        <v>6.1769999999999999E-2</v>
      </c>
      <c r="J121" s="155">
        <v>5.713E-2</v>
      </c>
      <c r="K121" s="155">
        <v>5.2850000000000001E-2</v>
      </c>
      <c r="L121" s="155">
        <v>4.888E-2</v>
      </c>
      <c r="M121" s="155">
        <v>4.5220000000000003E-2</v>
      </c>
      <c r="N121" s="155">
        <v>4.462E-2</v>
      </c>
      <c r="O121" s="155">
        <v>4.4609999999999997E-2</v>
      </c>
      <c r="P121" s="155">
        <v>4.462E-2</v>
      </c>
      <c r="Q121" s="155">
        <v>4.4609999999999997E-2</v>
      </c>
      <c r="R121" s="155">
        <v>4.462E-2</v>
      </c>
      <c r="S121" s="155">
        <v>4.4609999999999997E-2</v>
      </c>
      <c r="T121" s="155">
        <v>4.462E-2</v>
      </c>
      <c r="U121" s="155">
        <v>4.4609999999999997E-2</v>
      </c>
      <c r="V121" s="155">
        <v>4.462E-2</v>
      </c>
      <c r="W121" s="155">
        <v>4.4609999999999997E-2</v>
      </c>
      <c r="X121" s="155"/>
      <c r="Y121" s="155"/>
    </row>
    <row r="122" spans="2:25" hidden="1" outlineLevel="1">
      <c r="B122" s="1190"/>
      <c r="C122" s="914"/>
      <c r="D122" s="297">
        <v>0</v>
      </c>
      <c r="E122" s="297">
        <v>0</v>
      </c>
      <c r="F122" s="297">
        <f>90%*Devel_Financials!$O$8*Devel_Summary!F121</f>
        <v>18984.375</v>
      </c>
      <c r="G122" s="297">
        <f>90%*Devel_Financials!$O$8*Devel_Summary!G121</f>
        <v>36546.1875</v>
      </c>
      <c r="H122" s="297">
        <f>90%*Devel_Financials!$O$8*Devel_Summary!H121</f>
        <v>33802.3125</v>
      </c>
      <c r="I122" s="297">
        <f>90%*Devel_Financials!$O$8*Devel_Summary!I121</f>
        <v>31271.0625</v>
      </c>
      <c r="J122" s="297">
        <f>90%*Devel_Financials!$O$8*Devel_Summary!J121</f>
        <v>28922.0625</v>
      </c>
      <c r="K122" s="297">
        <f>90%*Devel_Financials!$O$8*Devel_Summary!K121</f>
        <v>26755.3125</v>
      </c>
      <c r="L122" s="297">
        <f>90%*Devel_Financials!$O$8*Devel_Summary!L121</f>
        <v>24745.5</v>
      </c>
      <c r="M122" s="297">
        <f>90%*Devel_Financials!$O$8*Devel_Summary!M121</f>
        <v>22892.625</v>
      </c>
      <c r="N122" s="297">
        <f>90%*Devel_Financials!$O$8*Devel_Summary!N121</f>
        <v>22588.875</v>
      </c>
      <c r="O122" s="297">
        <f>90%*Devel_Financials!$O$8*Devel_Summary!O121</f>
        <v>22583.8125</v>
      </c>
      <c r="P122" s="297">
        <f>90%*Devel_Financials!$O$8*Devel_Summary!P121</f>
        <v>22588.875</v>
      </c>
      <c r="Q122" s="297">
        <f>90%*Devel_Financials!$O$8*Devel_Summary!Q121</f>
        <v>22583.8125</v>
      </c>
      <c r="R122" s="297">
        <f>90%*Devel_Financials!$O$8*Devel_Summary!R121</f>
        <v>22588.875</v>
      </c>
      <c r="S122" s="297">
        <f>90%*Devel_Financials!$O$8*Devel_Summary!S121</f>
        <v>22583.8125</v>
      </c>
      <c r="T122" s="297">
        <f>90%*Devel_Financials!$O$8*Devel_Summary!T121</f>
        <v>22588.875</v>
      </c>
      <c r="U122" s="297">
        <f>90%*Devel_Financials!$O$8*Devel_Summary!U121</f>
        <v>22583.8125</v>
      </c>
      <c r="V122" s="297">
        <f>90%*Devel_Financials!$O$8*Devel_Summary!V121</f>
        <v>22588.875</v>
      </c>
      <c r="W122" s="297">
        <f>90%*Devel_Financials!$O$8*Devel_Summary!W121</f>
        <v>22583.8125</v>
      </c>
    </row>
    <row r="123" spans="2:25" hidden="1" outlineLevel="1">
      <c r="B123" s="302" t="s">
        <v>588</v>
      </c>
      <c r="D123" s="295">
        <f>D118+D120+D122</f>
        <v>11378.227500000001</v>
      </c>
      <c r="E123" s="295">
        <f t="shared" ref="E123:W123" si="20">E118+E120+E122</f>
        <v>24441.975750000005</v>
      </c>
      <c r="F123" s="295">
        <f t="shared" si="20"/>
        <v>43874.098857000005</v>
      </c>
      <c r="G123" s="295">
        <f t="shared" si="20"/>
        <v>59122.355851259999</v>
      </c>
      <c r="H123" s="295">
        <f t="shared" si="20"/>
        <v>54361.281115616395</v>
      </c>
      <c r="I123" s="295">
        <f t="shared" si="20"/>
        <v>50047.540869951001</v>
      </c>
      <c r="J123" s="295">
        <f t="shared" si="20"/>
        <v>46112.449167692976</v>
      </c>
      <c r="K123" s="295">
        <f t="shared" si="20"/>
        <v>42520.479391570319</v>
      </c>
      <c r="L123" s="295">
        <f t="shared" si="20"/>
        <v>39225.466624899542</v>
      </c>
      <c r="M123" s="295">
        <f t="shared" si="20"/>
        <v>36620.102349733876</v>
      </c>
      <c r="N123" s="295">
        <f t="shared" si="20"/>
        <v>35717.80068067876</v>
      </c>
      <c r="O123" s="295">
        <f t="shared" si="20"/>
        <v>35174.174277994352</v>
      </c>
      <c r="P123" s="295">
        <f t="shared" si="20"/>
        <v>34687.360842176175</v>
      </c>
      <c r="Q123" s="295">
        <f t="shared" si="20"/>
        <v>34237.119777072185</v>
      </c>
      <c r="R123" s="295">
        <f t="shared" si="20"/>
        <v>33832.893191559626</v>
      </c>
      <c r="S123" s="295">
        <f t="shared" si="20"/>
        <v>33456.304371153674</v>
      </c>
      <c r="T123" s="295">
        <f t="shared" si="20"/>
        <v>33118.210126875674</v>
      </c>
      <c r="U123" s="295">
        <f t="shared" si="20"/>
        <v>32801.325224647888</v>
      </c>
      <c r="V123" s="295">
        <f t="shared" si="20"/>
        <v>32517.363608188622</v>
      </c>
      <c r="W123" s="295">
        <f t="shared" si="20"/>
        <v>32249.725687520626</v>
      </c>
    </row>
    <row r="124" spans="2:25" hidden="1" outlineLevel="1">
      <c r="B124" s="302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</row>
    <row r="125" spans="2:25" hidden="1" outlineLevel="1">
      <c r="B125" s="302"/>
      <c r="D125" s="155">
        <v>3.7499999999999999E-2</v>
      </c>
      <c r="E125" s="155">
        <v>7.2190000000000004E-2</v>
      </c>
      <c r="F125" s="155">
        <v>6.6769999999999996E-2</v>
      </c>
      <c r="G125" s="155">
        <v>6.1769999999999999E-2</v>
      </c>
      <c r="H125" s="155">
        <v>5.713E-2</v>
      </c>
      <c r="I125" s="155">
        <v>5.2850000000000001E-2</v>
      </c>
      <c r="J125" s="155">
        <v>4.888E-2</v>
      </c>
      <c r="K125" s="155">
        <v>4.5220000000000003E-2</v>
      </c>
      <c r="L125" s="155">
        <v>4.462E-2</v>
      </c>
      <c r="M125" s="155">
        <v>4.4609999999999997E-2</v>
      </c>
      <c r="N125" s="155">
        <v>4.462E-2</v>
      </c>
      <c r="O125" s="155">
        <v>4.4609999999999997E-2</v>
      </c>
      <c r="P125" s="155">
        <v>4.462E-2</v>
      </c>
      <c r="Q125" s="155">
        <v>4.4609999999999997E-2</v>
      </c>
      <c r="R125" s="155">
        <v>4.462E-2</v>
      </c>
      <c r="S125" s="155">
        <v>4.4609999999999997E-2</v>
      </c>
      <c r="T125" s="155">
        <v>4.462E-2</v>
      </c>
      <c r="U125" s="155">
        <v>4.4609999999999997E-2</v>
      </c>
      <c r="V125" s="155">
        <v>4.462E-2</v>
      </c>
      <c r="W125" s="155">
        <v>4.4609999999999997E-2</v>
      </c>
    </row>
    <row r="126" spans="2:25" hidden="1" outlineLevel="1">
      <c r="B126" s="302" t="s">
        <v>589</v>
      </c>
      <c r="D126" s="295">
        <f>90%*$D$15*D125</f>
        <v>0</v>
      </c>
      <c r="E126" s="295">
        <f t="shared" ref="E126:W126" si="21">90%*$D$15*E125</f>
        <v>0</v>
      </c>
      <c r="F126" s="295">
        <f t="shared" si="21"/>
        <v>0</v>
      </c>
      <c r="G126" s="295">
        <f t="shared" si="21"/>
        <v>0</v>
      </c>
      <c r="H126" s="295">
        <f t="shared" si="21"/>
        <v>0</v>
      </c>
      <c r="I126" s="295">
        <f t="shared" si="21"/>
        <v>0</v>
      </c>
      <c r="J126" s="295">
        <f t="shared" si="21"/>
        <v>0</v>
      </c>
      <c r="K126" s="295">
        <f t="shared" si="21"/>
        <v>0</v>
      </c>
      <c r="L126" s="295">
        <f t="shared" si="21"/>
        <v>0</v>
      </c>
      <c r="M126" s="295">
        <f t="shared" si="21"/>
        <v>0</v>
      </c>
      <c r="N126" s="295">
        <f t="shared" si="21"/>
        <v>0</v>
      </c>
      <c r="O126" s="295">
        <f t="shared" si="21"/>
        <v>0</v>
      </c>
      <c r="P126" s="295">
        <f t="shared" si="21"/>
        <v>0</v>
      </c>
      <c r="Q126" s="295">
        <f t="shared" si="21"/>
        <v>0</v>
      </c>
      <c r="R126" s="295">
        <f t="shared" si="21"/>
        <v>0</v>
      </c>
      <c r="S126" s="295">
        <f t="shared" si="21"/>
        <v>0</v>
      </c>
      <c r="T126" s="295">
        <f t="shared" si="21"/>
        <v>0</v>
      </c>
      <c r="U126" s="295">
        <f t="shared" si="21"/>
        <v>0</v>
      </c>
      <c r="V126" s="295">
        <f t="shared" si="21"/>
        <v>0</v>
      </c>
      <c r="W126" s="295">
        <f t="shared" si="21"/>
        <v>0</v>
      </c>
    </row>
    <row r="127" spans="2:25" hidden="1" outlineLevel="1">
      <c r="B127" s="302" t="s">
        <v>590</v>
      </c>
      <c r="D127" s="295">
        <v>0</v>
      </c>
      <c r="E127" s="295">
        <f>90%*$E$15*D125</f>
        <v>27843.75</v>
      </c>
      <c r="F127" s="295">
        <f t="shared" ref="F127:W127" si="22">90%*$E$15*E125</f>
        <v>53601.075000000004</v>
      </c>
      <c r="G127" s="295">
        <f t="shared" si="22"/>
        <v>49576.724999999999</v>
      </c>
      <c r="H127" s="295">
        <f t="shared" si="22"/>
        <v>45864.224999999999</v>
      </c>
      <c r="I127" s="295">
        <f t="shared" si="22"/>
        <v>42419.025000000001</v>
      </c>
      <c r="J127" s="295">
        <f t="shared" si="22"/>
        <v>39241.125</v>
      </c>
      <c r="K127" s="295">
        <f t="shared" si="22"/>
        <v>36293.4</v>
      </c>
      <c r="L127" s="295">
        <f t="shared" si="22"/>
        <v>33575.850000000006</v>
      </c>
      <c r="M127" s="295">
        <f t="shared" si="22"/>
        <v>33130.35</v>
      </c>
      <c r="N127" s="295">
        <f t="shared" si="22"/>
        <v>33122.924999999996</v>
      </c>
      <c r="O127" s="295">
        <f t="shared" si="22"/>
        <v>33130.35</v>
      </c>
      <c r="P127" s="295">
        <f t="shared" si="22"/>
        <v>33122.924999999996</v>
      </c>
      <c r="Q127" s="295">
        <f t="shared" si="22"/>
        <v>33130.35</v>
      </c>
      <c r="R127" s="295">
        <f t="shared" si="22"/>
        <v>33122.924999999996</v>
      </c>
      <c r="S127" s="295">
        <f t="shared" si="22"/>
        <v>33130.35</v>
      </c>
      <c r="T127" s="295">
        <f t="shared" si="22"/>
        <v>33122.924999999996</v>
      </c>
      <c r="U127" s="295">
        <f t="shared" si="22"/>
        <v>33130.35</v>
      </c>
      <c r="V127" s="295">
        <f t="shared" si="22"/>
        <v>33122.924999999996</v>
      </c>
      <c r="W127" s="295">
        <f t="shared" si="22"/>
        <v>33130.35</v>
      </c>
    </row>
    <row r="128" spans="2:25" hidden="1" outlineLevel="1">
      <c r="B128" s="302" t="s">
        <v>591</v>
      </c>
      <c r="D128" s="295">
        <v>0</v>
      </c>
      <c r="E128" s="295">
        <v>0</v>
      </c>
      <c r="F128" s="295">
        <f>90%*$F$15*D125</f>
        <v>64968.75</v>
      </c>
      <c r="G128" s="295">
        <f t="shared" ref="G128:W128" si="23">90%*$F$15*E125</f>
        <v>125069.175</v>
      </c>
      <c r="H128" s="295">
        <f t="shared" si="23"/>
        <v>115679.02499999999</v>
      </c>
      <c r="I128" s="295">
        <f t="shared" si="23"/>
        <v>107016.52499999999</v>
      </c>
      <c r="J128" s="295">
        <f t="shared" si="23"/>
        <v>98977.725000000006</v>
      </c>
      <c r="K128" s="295">
        <f t="shared" si="23"/>
        <v>91562.625</v>
      </c>
      <c r="L128" s="295">
        <f t="shared" si="23"/>
        <v>84684.6</v>
      </c>
      <c r="M128" s="295">
        <f t="shared" si="23"/>
        <v>78343.650000000009</v>
      </c>
      <c r="N128" s="295">
        <f t="shared" si="23"/>
        <v>77304.149999999994</v>
      </c>
      <c r="O128" s="295">
        <f t="shared" si="23"/>
        <v>77286.824999999997</v>
      </c>
      <c r="P128" s="295">
        <f t="shared" si="23"/>
        <v>77304.149999999994</v>
      </c>
      <c r="Q128" s="295">
        <f t="shared" si="23"/>
        <v>77286.824999999997</v>
      </c>
      <c r="R128" s="295">
        <f t="shared" si="23"/>
        <v>77304.149999999994</v>
      </c>
      <c r="S128" s="295">
        <f t="shared" si="23"/>
        <v>77286.824999999997</v>
      </c>
      <c r="T128" s="295">
        <f t="shared" si="23"/>
        <v>77304.149999999994</v>
      </c>
      <c r="U128" s="295">
        <f t="shared" si="23"/>
        <v>77286.824999999997</v>
      </c>
      <c r="V128" s="295">
        <f t="shared" si="23"/>
        <v>77304.149999999994</v>
      </c>
      <c r="W128" s="295">
        <f t="shared" si="23"/>
        <v>77286.824999999997</v>
      </c>
    </row>
    <row r="129" spans="2:40" hidden="1" outlineLevel="1">
      <c r="B129" s="302" t="s">
        <v>592</v>
      </c>
      <c r="D129" s="295">
        <v>0</v>
      </c>
      <c r="E129" s="295">
        <v>0</v>
      </c>
      <c r="F129" s="295">
        <v>0</v>
      </c>
      <c r="G129" s="295">
        <f>90%*$G$15*D125</f>
        <v>55687.5</v>
      </c>
      <c r="H129" s="295">
        <f t="shared" ref="H129:W129" si="24">90%*$G$15*E125</f>
        <v>107202.15000000001</v>
      </c>
      <c r="I129" s="295">
        <f t="shared" si="24"/>
        <v>99153.45</v>
      </c>
      <c r="J129" s="295">
        <f t="shared" si="24"/>
        <v>91728.45</v>
      </c>
      <c r="K129" s="295">
        <f t="shared" si="24"/>
        <v>84838.05</v>
      </c>
      <c r="L129" s="295">
        <f t="shared" si="24"/>
        <v>78482.25</v>
      </c>
      <c r="M129" s="295">
        <f t="shared" si="24"/>
        <v>72586.8</v>
      </c>
      <c r="N129" s="295">
        <f t="shared" si="24"/>
        <v>67151.700000000012</v>
      </c>
      <c r="O129" s="295">
        <f t="shared" si="24"/>
        <v>66260.7</v>
      </c>
      <c r="P129" s="295">
        <f t="shared" si="24"/>
        <v>66245.849999999991</v>
      </c>
      <c r="Q129" s="295">
        <f t="shared" si="24"/>
        <v>66260.7</v>
      </c>
      <c r="R129" s="295">
        <f t="shared" si="24"/>
        <v>66245.849999999991</v>
      </c>
      <c r="S129" s="295">
        <f t="shared" si="24"/>
        <v>66260.7</v>
      </c>
      <c r="T129" s="295">
        <f t="shared" si="24"/>
        <v>66245.849999999991</v>
      </c>
      <c r="U129" s="295">
        <f t="shared" si="24"/>
        <v>66260.7</v>
      </c>
      <c r="V129" s="295">
        <f t="shared" si="24"/>
        <v>66245.849999999991</v>
      </c>
      <c r="W129" s="295">
        <f t="shared" si="24"/>
        <v>66260.7</v>
      </c>
    </row>
    <row r="130" spans="2:40" hidden="1" outlineLevel="1">
      <c r="B130" s="1190" t="s">
        <v>593</v>
      </c>
      <c r="C130" s="914"/>
      <c r="D130" s="297">
        <v>0</v>
      </c>
      <c r="E130" s="297">
        <v>0</v>
      </c>
      <c r="F130" s="297">
        <v>0</v>
      </c>
      <c r="G130" s="297">
        <v>0</v>
      </c>
      <c r="H130" s="297">
        <f>90%*$H$15*D125</f>
        <v>55687.5</v>
      </c>
      <c r="I130" s="297">
        <f t="shared" ref="I130:W130" si="25">90%*$H$15*E125</f>
        <v>107202.15000000001</v>
      </c>
      <c r="J130" s="297">
        <f t="shared" si="25"/>
        <v>99153.45</v>
      </c>
      <c r="K130" s="297">
        <f t="shared" si="25"/>
        <v>91728.45</v>
      </c>
      <c r="L130" s="297">
        <f t="shared" si="25"/>
        <v>84838.05</v>
      </c>
      <c r="M130" s="297">
        <f t="shared" si="25"/>
        <v>78482.25</v>
      </c>
      <c r="N130" s="297">
        <f t="shared" si="25"/>
        <v>72586.8</v>
      </c>
      <c r="O130" s="297">
        <f t="shared" si="25"/>
        <v>67151.700000000012</v>
      </c>
      <c r="P130" s="297">
        <f t="shared" si="25"/>
        <v>66260.7</v>
      </c>
      <c r="Q130" s="297">
        <f t="shared" si="25"/>
        <v>66245.849999999991</v>
      </c>
      <c r="R130" s="297">
        <f t="shared" si="25"/>
        <v>66260.7</v>
      </c>
      <c r="S130" s="297">
        <f t="shared" si="25"/>
        <v>66245.849999999991</v>
      </c>
      <c r="T130" s="297">
        <f t="shared" si="25"/>
        <v>66260.7</v>
      </c>
      <c r="U130" s="297">
        <f t="shared" si="25"/>
        <v>66245.849999999991</v>
      </c>
      <c r="V130" s="297">
        <f t="shared" si="25"/>
        <v>66260.7</v>
      </c>
      <c r="W130" s="297">
        <f t="shared" si="25"/>
        <v>66245.849999999991</v>
      </c>
    </row>
    <row r="131" spans="2:40" hidden="1" outlineLevel="1">
      <c r="B131" s="302" t="s">
        <v>594</v>
      </c>
      <c r="D131" s="295">
        <f>SUM(D126:D130)</f>
        <v>0</v>
      </c>
      <c r="E131" s="295">
        <f t="shared" ref="E131:W131" si="26">SUM(E126:E130)</f>
        <v>27843.75</v>
      </c>
      <c r="F131" s="295">
        <f t="shared" si="26"/>
        <v>118569.82500000001</v>
      </c>
      <c r="G131" s="295">
        <f t="shared" si="26"/>
        <v>230333.4</v>
      </c>
      <c r="H131" s="295">
        <f t="shared" si="26"/>
        <v>324432.90000000002</v>
      </c>
      <c r="I131" s="295">
        <f t="shared" si="26"/>
        <v>355791.15</v>
      </c>
      <c r="J131" s="295">
        <f t="shared" si="26"/>
        <v>329100.75</v>
      </c>
      <c r="K131" s="295">
        <f t="shared" si="26"/>
        <v>304422.52500000002</v>
      </c>
      <c r="L131" s="295">
        <f t="shared" si="26"/>
        <v>281580.75</v>
      </c>
      <c r="M131" s="295">
        <f t="shared" si="26"/>
        <v>262543.05</v>
      </c>
      <c r="N131" s="295">
        <f t="shared" si="26"/>
        <v>250165.57500000001</v>
      </c>
      <c r="O131" s="295">
        <f t="shared" si="26"/>
        <v>243829.57500000001</v>
      </c>
      <c r="P131" s="295">
        <f t="shared" si="26"/>
        <v>242933.625</v>
      </c>
      <c r="Q131" s="295">
        <f t="shared" si="26"/>
        <v>242923.72499999998</v>
      </c>
      <c r="R131" s="295">
        <f t="shared" si="26"/>
        <v>242933.625</v>
      </c>
      <c r="S131" s="295">
        <f t="shared" si="26"/>
        <v>242923.72499999998</v>
      </c>
      <c r="T131" s="295">
        <f t="shared" si="26"/>
        <v>242933.625</v>
      </c>
      <c r="U131" s="295">
        <f t="shared" si="26"/>
        <v>242923.72499999998</v>
      </c>
      <c r="V131" s="295">
        <f t="shared" si="26"/>
        <v>242933.625</v>
      </c>
      <c r="W131" s="295">
        <f t="shared" si="26"/>
        <v>242923.72499999998</v>
      </c>
    </row>
    <row r="132" spans="2:40" hidden="1" outlineLevel="1">
      <c r="B132" s="1091"/>
      <c r="C132" s="313"/>
      <c r="D132" s="296"/>
      <c r="E132" s="296"/>
      <c r="F132" s="296"/>
      <c r="G132" s="296"/>
      <c r="H132" s="296"/>
      <c r="I132" s="296"/>
      <c r="J132" s="296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</row>
    <row r="133" spans="2:40" hidden="1" outlineLevel="1">
      <c r="B133" s="1091" t="s">
        <v>595</v>
      </c>
      <c r="C133" s="313"/>
      <c r="D133" s="1286"/>
      <c r="E133" s="1286">
        <v>0.2</v>
      </c>
      <c r="F133" s="1286">
        <v>0.32</v>
      </c>
      <c r="G133" s="1286">
        <v>0.192</v>
      </c>
      <c r="H133" s="1286">
        <v>0.1152</v>
      </c>
      <c r="I133" s="1286">
        <v>0.1152</v>
      </c>
      <c r="J133" s="1286">
        <v>5.7599999999999998E-2</v>
      </c>
      <c r="K133" s="1286">
        <v>0</v>
      </c>
      <c r="L133" s="1286">
        <v>0</v>
      </c>
      <c r="M133" s="1286">
        <v>0</v>
      </c>
      <c r="N133" s="1286">
        <v>0</v>
      </c>
      <c r="O133" s="1286">
        <v>0</v>
      </c>
      <c r="P133" s="1286">
        <v>0</v>
      </c>
      <c r="Q133" s="1286">
        <v>0</v>
      </c>
      <c r="R133" s="1286">
        <v>0</v>
      </c>
      <c r="S133" s="1286">
        <v>0</v>
      </c>
      <c r="T133" s="1286">
        <v>0</v>
      </c>
      <c r="U133" s="1286">
        <v>0</v>
      </c>
      <c r="V133" s="1286">
        <v>0</v>
      </c>
      <c r="W133" s="1286">
        <v>0</v>
      </c>
      <c r="X133" s="1286"/>
    </row>
    <row r="134" spans="2:40" hidden="1" outlineLevel="1">
      <c r="B134" s="1091"/>
      <c r="C134" s="313"/>
      <c r="D134" s="296">
        <v>0</v>
      </c>
      <c r="E134" s="296">
        <f>90%*$E$16*E133</f>
        <v>96030</v>
      </c>
      <c r="F134" s="296">
        <f t="shared" ref="F134:W134" si="27">90%*$E$16*F133</f>
        <v>153648</v>
      </c>
      <c r="G134" s="296">
        <f t="shared" si="27"/>
        <v>92188.800000000003</v>
      </c>
      <c r="H134" s="296">
        <f t="shared" si="27"/>
        <v>55313.279999999999</v>
      </c>
      <c r="I134" s="296">
        <f t="shared" si="27"/>
        <v>55313.279999999999</v>
      </c>
      <c r="J134" s="296">
        <f t="shared" si="27"/>
        <v>27656.639999999999</v>
      </c>
      <c r="K134" s="296">
        <f t="shared" si="27"/>
        <v>0</v>
      </c>
      <c r="L134" s="296">
        <f t="shared" si="27"/>
        <v>0</v>
      </c>
      <c r="M134" s="296">
        <f t="shared" si="27"/>
        <v>0</v>
      </c>
      <c r="N134" s="296">
        <f t="shared" si="27"/>
        <v>0</v>
      </c>
      <c r="O134" s="296">
        <f t="shared" si="27"/>
        <v>0</v>
      </c>
      <c r="P134" s="296">
        <f t="shared" si="27"/>
        <v>0</v>
      </c>
      <c r="Q134" s="296">
        <f t="shared" si="27"/>
        <v>0</v>
      </c>
      <c r="R134" s="296">
        <f t="shared" si="27"/>
        <v>0</v>
      </c>
      <c r="S134" s="296">
        <f t="shared" si="27"/>
        <v>0</v>
      </c>
      <c r="T134" s="296">
        <f t="shared" si="27"/>
        <v>0</v>
      </c>
      <c r="U134" s="296">
        <f t="shared" si="27"/>
        <v>0</v>
      </c>
      <c r="V134" s="296">
        <f t="shared" si="27"/>
        <v>0</v>
      </c>
      <c r="W134" s="296">
        <f t="shared" si="27"/>
        <v>0</v>
      </c>
    </row>
    <row r="135" spans="2:40" hidden="1" outlineLevel="1">
      <c r="B135" s="302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</row>
    <row r="136" spans="2:40" hidden="1" outlineLevel="1">
      <c r="B136" s="1284" t="s">
        <v>596</v>
      </c>
      <c r="C136" s="1287"/>
      <c r="D136" s="1279">
        <f>D123+D131+D134</f>
        <v>11378.227500000001</v>
      </c>
      <c r="E136" s="1279">
        <f t="shared" ref="E136:W136" si="28">E123+E131+E134</f>
        <v>148315.72575000001</v>
      </c>
      <c r="F136" s="1279">
        <f t="shared" si="28"/>
        <v>316091.92385700002</v>
      </c>
      <c r="G136" s="1279">
        <f t="shared" si="28"/>
        <v>381644.55585125997</v>
      </c>
      <c r="H136" s="1279">
        <f t="shared" si="28"/>
        <v>434107.46111561637</v>
      </c>
      <c r="I136" s="1279">
        <f t="shared" si="28"/>
        <v>461151.97086995107</v>
      </c>
      <c r="J136" s="1279">
        <f t="shared" si="28"/>
        <v>402869.83916769299</v>
      </c>
      <c r="K136" s="1279">
        <f t="shared" si="28"/>
        <v>346943.00439157034</v>
      </c>
      <c r="L136" s="1279">
        <f t="shared" si="28"/>
        <v>320806.21662489953</v>
      </c>
      <c r="M136" s="1279">
        <f t="shared" si="28"/>
        <v>299163.15234973386</v>
      </c>
      <c r="N136" s="1279">
        <f t="shared" si="28"/>
        <v>285883.37568067876</v>
      </c>
      <c r="O136" s="1279">
        <f t="shared" si="28"/>
        <v>279003.74927799439</v>
      </c>
      <c r="P136" s="1279">
        <f t="shared" si="28"/>
        <v>277620.98584217619</v>
      </c>
      <c r="Q136" s="1279">
        <f t="shared" si="28"/>
        <v>277160.84477707214</v>
      </c>
      <c r="R136" s="1279">
        <f t="shared" si="28"/>
        <v>276766.51819155965</v>
      </c>
      <c r="S136" s="1279">
        <f t="shared" si="28"/>
        <v>276380.02937115368</v>
      </c>
      <c r="T136" s="1279">
        <f t="shared" si="28"/>
        <v>276051.83512687567</v>
      </c>
      <c r="U136" s="1279">
        <f t="shared" si="28"/>
        <v>275725.05022464786</v>
      </c>
      <c r="V136" s="1279">
        <f t="shared" si="28"/>
        <v>275450.98860818864</v>
      </c>
      <c r="W136" s="1279">
        <f t="shared" si="28"/>
        <v>275173.45068752061</v>
      </c>
    </row>
    <row r="137" spans="2:40" hidden="1" outlineLevel="1">
      <c r="B137" s="1276"/>
      <c r="C137" s="313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</row>
    <row r="138" spans="2:40" hidden="1" outlineLevel="1"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</row>
    <row r="139" spans="2:40" ht="15.75" hidden="1" outlineLevel="1">
      <c r="B139" s="1289" t="s">
        <v>719</v>
      </c>
      <c r="C139" s="1290"/>
      <c r="D139" s="1290"/>
      <c r="E139" s="1290"/>
      <c r="F139" s="1291"/>
      <c r="G139" s="1272"/>
      <c r="H139" s="1272"/>
      <c r="I139" s="1272"/>
      <c r="J139" s="1272"/>
      <c r="K139" s="1272"/>
      <c r="L139" s="1272"/>
      <c r="M139" s="1272"/>
      <c r="N139" s="1272"/>
      <c r="O139" s="1272"/>
      <c r="P139" s="1272"/>
      <c r="Q139" s="1272"/>
      <c r="R139" s="1272"/>
      <c r="S139" s="1272"/>
      <c r="T139" s="1272"/>
      <c r="U139" s="1272"/>
      <c r="V139" s="1272"/>
      <c r="W139" s="1273"/>
      <c r="X139" s="916"/>
      <c r="Y139" s="916"/>
      <c r="Z139" s="916"/>
      <c r="AA139" s="916"/>
      <c r="AB139" s="916"/>
      <c r="AC139" s="916"/>
      <c r="AD139" s="8"/>
      <c r="AE139" s="313"/>
      <c r="AF139" s="313"/>
      <c r="AG139" s="313"/>
      <c r="AH139" s="313"/>
      <c r="AI139" s="313"/>
      <c r="AJ139" s="313"/>
      <c r="AK139" s="313"/>
      <c r="AL139" s="313"/>
      <c r="AM139" s="313"/>
      <c r="AN139" s="313"/>
    </row>
    <row r="140" spans="2:40" hidden="1" outlineLevel="1">
      <c r="B140" s="732"/>
      <c r="C140" s="313"/>
      <c r="D140" s="313"/>
      <c r="E140" s="313"/>
      <c r="F140" s="916"/>
      <c r="G140" s="916"/>
      <c r="H140" s="916"/>
      <c r="I140" s="916"/>
      <c r="J140" s="916"/>
      <c r="K140" s="916"/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1269"/>
      <c r="X140" s="916"/>
      <c r="Y140" s="916"/>
      <c r="Z140" s="916"/>
      <c r="AA140" s="916"/>
      <c r="AB140" s="916"/>
      <c r="AC140" s="916"/>
      <c r="AD140" s="8"/>
      <c r="AE140" s="313"/>
      <c r="AF140" s="313"/>
      <c r="AG140" s="313"/>
      <c r="AH140" s="313"/>
      <c r="AI140" s="313"/>
      <c r="AJ140" s="313"/>
      <c r="AK140" s="313"/>
      <c r="AL140" s="313"/>
      <c r="AM140" s="313"/>
      <c r="AN140" s="313"/>
    </row>
    <row r="141" spans="2:40" hidden="1" outlineLevel="1">
      <c r="B141" s="732" t="s">
        <v>392</v>
      </c>
      <c r="C141" s="313"/>
      <c r="D141" s="1091">
        <f>D112</f>
        <v>5775.75</v>
      </c>
      <c r="E141" s="1091">
        <f t="shared" ref="E141:W141" si="29">E112</f>
        <v>51480.75</v>
      </c>
      <c r="F141" s="1091">
        <f t="shared" si="29"/>
        <v>126105.75000000001</v>
      </c>
      <c r="G141" s="1091">
        <f t="shared" si="29"/>
        <v>175605.75000000003</v>
      </c>
      <c r="H141" s="1091">
        <f t="shared" si="29"/>
        <v>225105.75000000003</v>
      </c>
      <c r="I141" s="1091">
        <f t="shared" si="29"/>
        <v>225105.75000000003</v>
      </c>
      <c r="J141" s="1091">
        <f t="shared" si="29"/>
        <v>225105.75000000003</v>
      </c>
      <c r="K141" s="1091">
        <f t="shared" si="29"/>
        <v>225105.75000000003</v>
      </c>
      <c r="L141" s="1091">
        <f t="shared" si="29"/>
        <v>225105.75000000003</v>
      </c>
      <c r="M141" s="1091">
        <f t="shared" si="29"/>
        <v>225105.75000000003</v>
      </c>
      <c r="N141" s="1091">
        <f t="shared" si="29"/>
        <v>225105.75000000003</v>
      </c>
      <c r="O141" s="1091">
        <f t="shared" si="29"/>
        <v>225105.75000000003</v>
      </c>
      <c r="P141" s="1091">
        <f t="shared" si="29"/>
        <v>225105.75000000003</v>
      </c>
      <c r="Q141" s="1091">
        <f t="shared" si="29"/>
        <v>225105.75000000003</v>
      </c>
      <c r="R141" s="1091">
        <f t="shared" si="29"/>
        <v>225105.75000000003</v>
      </c>
      <c r="S141" s="1091">
        <f t="shared" si="29"/>
        <v>225105.75000000003</v>
      </c>
      <c r="T141" s="1091">
        <f t="shared" si="29"/>
        <v>225105.75000000003</v>
      </c>
      <c r="U141" s="1091">
        <f t="shared" si="29"/>
        <v>225105.75000000003</v>
      </c>
      <c r="V141" s="1091">
        <f t="shared" si="29"/>
        <v>225105.75000000003</v>
      </c>
      <c r="W141" s="1268">
        <f t="shared" si="29"/>
        <v>225105.75000000003</v>
      </c>
      <c r="X141" s="1091"/>
      <c r="Y141" s="916"/>
      <c r="Z141" s="916"/>
      <c r="AA141" s="916"/>
      <c r="AB141" s="916"/>
      <c r="AC141" s="916"/>
      <c r="AD141" s="35"/>
      <c r="AE141" s="313"/>
      <c r="AF141" s="313"/>
      <c r="AG141" s="313"/>
      <c r="AH141" s="313"/>
      <c r="AI141" s="313"/>
      <c r="AJ141" s="313"/>
      <c r="AK141" s="313"/>
      <c r="AL141" s="313"/>
      <c r="AM141" s="313"/>
      <c r="AN141" s="313"/>
    </row>
    <row r="142" spans="2:40" hidden="1" outlineLevel="1">
      <c r="B142" s="732" t="s">
        <v>70</v>
      </c>
      <c r="C142" s="313"/>
      <c r="D142" s="322">
        <f>D136</f>
        <v>11378.227500000001</v>
      </c>
      <c r="E142" s="322">
        <f t="shared" ref="E142:W142" si="30">E136</f>
        <v>148315.72575000001</v>
      </c>
      <c r="F142" s="322">
        <f t="shared" si="30"/>
        <v>316091.92385700002</v>
      </c>
      <c r="G142" s="322">
        <f t="shared" si="30"/>
        <v>381644.55585125997</v>
      </c>
      <c r="H142" s="322">
        <f t="shared" si="30"/>
        <v>434107.46111561637</v>
      </c>
      <c r="I142" s="322">
        <f t="shared" si="30"/>
        <v>461151.97086995107</v>
      </c>
      <c r="J142" s="322">
        <f t="shared" si="30"/>
        <v>402869.83916769299</v>
      </c>
      <c r="K142" s="322">
        <f t="shared" si="30"/>
        <v>346943.00439157034</v>
      </c>
      <c r="L142" s="322">
        <f t="shared" si="30"/>
        <v>320806.21662489953</v>
      </c>
      <c r="M142" s="322">
        <f t="shared" si="30"/>
        <v>299163.15234973386</v>
      </c>
      <c r="N142" s="322">
        <f t="shared" si="30"/>
        <v>285883.37568067876</v>
      </c>
      <c r="O142" s="322">
        <f t="shared" si="30"/>
        <v>279003.74927799439</v>
      </c>
      <c r="P142" s="322">
        <f t="shared" si="30"/>
        <v>277620.98584217619</v>
      </c>
      <c r="Q142" s="322">
        <f t="shared" si="30"/>
        <v>277160.84477707214</v>
      </c>
      <c r="R142" s="322">
        <f t="shared" si="30"/>
        <v>276766.51819155965</v>
      </c>
      <c r="S142" s="322">
        <f t="shared" si="30"/>
        <v>276380.02937115368</v>
      </c>
      <c r="T142" s="322">
        <f t="shared" si="30"/>
        <v>276051.83512687567</v>
      </c>
      <c r="U142" s="322">
        <f t="shared" si="30"/>
        <v>275725.05022464786</v>
      </c>
      <c r="V142" s="322">
        <f t="shared" si="30"/>
        <v>275450.98860818864</v>
      </c>
      <c r="W142" s="1275">
        <f t="shared" si="30"/>
        <v>275173.45068752061</v>
      </c>
      <c r="X142" s="322"/>
      <c r="Y142" s="916"/>
      <c r="Z142" s="916"/>
      <c r="AA142" s="916"/>
      <c r="AB142" s="916"/>
      <c r="AC142" s="916"/>
      <c r="AD142" s="35"/>
      <c r="AE142" s="313"/>
      <c r="AF142" s="313"/>
      <c r="AG142" s="313"/>
      <c r="AH142" s="313"/>
      <c r="AI142" s="313"/>
      <c r="AJ142" s="313"/>
      <c r="AK142" s="313"/>
      <c r="AL142" s="313"/>
      <c r="AM142" s="313"/>
      <c r="AN142" s="313"/>
    </row>
    <row r="143" spans="2:40" hidden="1" outlineLevel="1">
      <c r="B143" s="732"/>
      <c r="C143" s="313"/>
      <c r="D143" s="313"/>
      <c r="E143" s="313"/>
      <c r="F143" s="916"/>
      <c r="G143" s="916"/>
      <c r="H143" s="916"/>
      <c r="I143" s="916"/>
      <c r="J143" s="916"/>
      <c r="K143" s="916"/>
      <c r="L143" s="916"/>
      <c r="M143" s="916"/>
      <c r="N143" s="916"/>
      <c r="O143" s="916"/>
      <c r="P143" s="916"/>
      <c r="Q143" s="916"/>
      <c r="R143" s="916"/>
      <c r="S143" s="916"/>
      <c r="T143" s="916"/>
      <c r="U143" s="916"/>
      <c r="V143" s="916"/>
      <c r="W143" s="1269"/>
      <c r="X143" s="916"/>
      <c r="Y143" s="916"/>
      <c r="Z143" s="916"/>
      <c r="AA143" s="916"/>
      <c r="AB143" s="916"/>
      <c r="AC143" s="916"/>
      <c r="AD143" s="35"/>
      <c r="AE143" s="313"/>
      <c r="AF143" s="313"/>
      <c r="AG143" s="313"/>
      <c r="AH143" s="313"/>
      <c r="AI143" s="313"/>
      <c r="AJ143" s="313"/>
      <c r="AK143" s="313"/>
      <c r="AL143" s="313"/>
      <c r="AM143" s="313"/>
      <c r="AN143" s="313"/>
    </row>
    <row r="144" spans="2:40" hidden="1" outlineLevel="1">
      <c r="B144" s="732" t="s">
        <v>715</v>
      </c>
      <c r="C144" s="313"/>
      <c r="D144" s="723">
        <f>(D141-D142)*0.385</f>
        <v>-2156.9538375000002</v>
      </c>
      <c r="E144" s="723">
        <f t="shared" ref="E144:W144" si="31">(E141-E142)*0.385</f>
        <v>-37281.465663750008</v>
      </c>
      <c r="F144" s="723">
        <f t="shared" si="31"/>
        <v>-73144.676934945004</v>
      </c>
      <c r="G144" s="723">
        <f t="shared" si="31"/>
        <v>-79324.940252735076</v>
      </c>
      <c r="H144" s="723">
        <f t="shared" si="31"/>
        <v>-80465.65877951229</v>
      </c>
      <c r="I144" s="723">
        <f t="shared" si="31"/>
        <v>-90877.795034931158</v>
      </c>
      <c r="J144" s="723">
        <f t="shared" si="31"/>
        <v>-68439.174329561793</v>
      </c>
      <c r="K144" s="723">
        <f t="shared" si="31"/>
        <v>-46907.34294075457</v>
      </c>
      <c r="L144" s="723">
        <f t="shared" si="31"/>
        <v>-36844.679650586309</v>
      </c>
      <c r="M144" s="723">
        <f t="shared" si="31"/>
        <v>-28512.099904647526</v>
      </c>
      <c r="N144" s="723">
        <f t="shared" si="31"/>
        <v>-23399.385887061311</v>
      </c>
      <c r="O144" s="723">
        <f t="shared" si="31"/>
        <v>-20750.729722027827</v>
      </c>
      <c r="P144" s="723">
        <f t="shared" si="31"/>
        <v>-20218.365799237821</v>
      </c>
      <c r="Q144" s="723">
        <f t="shared" si="31"/>
        <v>-20041.211489172762</v>
      </c>
      <c r="R144" s="723">
        <f t="shared" si="31"/>
        <v>-19889.395753750454</v>
      </c>
      <c r="S144" s="723">
        <f t="shared" si="31"/>
        <v>-19740.597557894154</v>
      </c>
      <c r="T144" s="723">
        <f t="shared" si="31"/>
        <v>-19614.24277384712</v>
      </c>
      <c r="U144" s="723">
        <f t="shared" si="31"/>
        <v>-19488.430586489416</v>
      </c>
      <c r="V144" s="723">
        <f t="shared" si="31"/>
        <v>-19382.916864152616</v>
      </c>
      <c r="W144" s="1270">
        <f t="shared" si="31"/>
        <v>-19276.064764695424</v>
      </c>
      <c r="X144" s="723"/>
      <c r="Y144" s="723"/>
      <c r="Z144" s="723"/>
      <c r="AA144" s="723"/>
      <c r="AB144" s="723"/>
      <c r="AC144" s="723"/>
      <c r="AD144" s="35"/>
      <c r="AE144" s="313"/>
      <c r="AF144" s="313"/>
      <c r="AG144" s="313"/>
      <c r="AH144" s="313"/>
      <c r="AI144" s="313"/>
      <c r="AJ144" s="313"/>
      <c r="AK144" s="313"/>
      <c r="AL144" s="313"/>
      <c r="AM144" s="313"/>
      <c r="AN144" s="313"/>
    </row>
    <row r="145" spans="2:40" hidden="1" outlineLevel="1">
      <c r="B145" s="732" t="s">
        <v>716</v>
      </c>
      <c r="C145" s="313"/>
      <c r="D145" s="723">
        <f>D144</f>
        <v>-2156.9538375000002</v>
      </c>
      <c r="E145" s="723">
        <f>D145+E144</f>
        <v>-39438.419501250006</v>
      </c>
      <c r="F145" s="723">
        <f t="shared" ref="F145:W145" si="32">E145+F144</f>
        <v>-112583.09643619502</v>
      </c>
      <c r="G145" s="723">
        <f t="shared" si="32"/>
        <v>-191908.03668893009</v>
      </c>
      <c r="H145" s="723">
        <f t="shared" si="32"/>
        <v>-272373.6954684424</v>
      </c>
      <c r="I145" s="723">
        <f t="shared" si="32"/>
        <v>-363251.49050337356</v>
      </c>
      <c r="J145" s="723">
        <f t="shared" si="32"/>
        <v>-431690.66483293532</v>
      </c>
      <c r="K145" s="723">
        <f t="shared" si="32"/>
        <v>-478598.00777368987</v>
      </c>
      <c r="L145" s="723">
        <f t="shared" si="32"/>
        <v>-515442.6874242762</v>
      </c>
      <c r="M145" s="723">
        <f t="shared" si="32"/>
        <v>-543954.7873289237</v>
      </c>
      <c r="N145" s="723">
        <f t="shared" si="32"/>
        <v>-567354.17321598507</v>
      </c>
      <c r="O145" s="723">
        <f t="shared" si="32"/>
        <v>-588104.90293801285</v>
      </c>
      <c r="P145" s="723">
        <f t="shared" si="32"/>
        <v>-608323.26873725071</v>
      </c>
      <c r="Q145" s="723">
        <f t="shared" si="32"/>
        <v>-628364.48022642347</v>
      </c>
      <c r="R145" s="723">
        <f t="shared" si="32"/>
        <v>-648253.87598017394</v>
      </c>
      <c r="S145" s="723">
        <f t="shared" si="32"/>
        <v>-667994.47353806812</v>
      </c>
      <c r="T145" s="723">
        <f t="shared" si="32"/>
        <v>-687608.7163119152</v>
      </c>
      <c r="U145" s="723">
        <f t="shared" si="32"/>
        <v>-707097.14689840458</v>
      </c>
      <c r="V145" s="723">
        <f t="shared" si="32"/>
        <v>-726480.06376255723</v>
      </c>
      <c r="W145" s="1270">
        <f t="shared" si="32"/>
        <v>-745756.1285272527</v>
      </c>
      <c r="X145" s="723"/>
      <c r="Y145" s="723"/>
      <c r="Z145" s="723"/>
      <c r="AA145" s="723"/>
      <c r="AB145" s="723"/>
      <c r="AC145" s="723"/>
      <c r="AD145" s="35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</row>
    <row r="146" spans="2:40" hidden="1" outlineLevel="1">
      <c r="B146" s="732"/>
      <c r="C146" s="313"/>
      <c r="D146" s="313"/>
      <c r="E146" s="313"/>
      <c r="F146" s="723"/>
      <c r="G146" s="723"/>
      <c r="H146" s="723"/>
      <c r="I146" s="723"/>
      <c r="J146" s="723"/>
      <c r="K146" s="723"/>
      <c r="L146" s="723"/>
      <c r="M146" s="723"/>
      <c r="N146" s="723"/>
      <c r="O146" s="723"/>
      <c r="P146" s="723"/>
      <c r="Q146" s="723"/>
      <c r="R146" s="723"/>
      <c r="S146" s="723"/>
      <c r="T146" s="723"/>
      <c r="U146" s="723"/>
      <c r="V146" s="723"/>
      <c r="W146" s="1270"/>
      <c r="X146" s="723"/>
      <c r="Y146" s="723"/>
      <c r="Z146" s="723"/>
      <c r="AA146" s="723"/>
      <c r="AB146" s="723"/>
      <c r="AC146" s="723"/>
      <c r="AD146" s="35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</row>
    <row r="147" spans="2:40" hidden="1" outlineLevel="1">
      <c r="B147" s="1278" t="s">
        <v>717</v>
      </c>
      <c r="C147" s="313"/>
      <c r="D147" s="1276">
        <f>IF(D145&gt;0,(D145),0)</f>
        <v>0</v>
      </c>
      <c r="E147" s="1276">
        <f t="shared" ref="E147:W147" si="33">IF(E145&gt;0,(E145),0)</f>
        <v>0</v>
      </c>
      <c r="F147" s="1276">
        <f t="shared" si="33"/>
        <v>0</v>
      </c>
      <c r="G147" s="1276">
        <f t="shared" si="33"/>
        <v>0</v>
      </c>
      <c r="H147" s="1276">
        <f t="shared" si="33"/>
        <v>0</v>
      </c>
      <c r="I147" s="1276">
        <f t="shared" si="33"/>
        <v>0</v>
      </c>
      <c r="J147" s="1276">
        <f t="shared" si="33"/>
        <v>0</v>
      </c>
      <c r="K147" s="1276">
        <f t="shared" si="33"/>
        <v>0</v>
      </c>
      <c r="L147" s="1276">
        <f t="shared" si="33"/>
        <v>0</v>
      </c>
      <c r="M147" s="1276">
        <f t="shared" si="33"/>
        <v>0</v>
      </c>
      <c r="N147" s="1276">
        <f t="shared" si="33"/>
        <v>0</v>
      </c>
      <c r="O147" s="1276">
        <f t="shared" si="33"/>
        <v>0</v>
      </c>
      <c r="P147" s="1276">
        <f t="shared" si="33"/>
        <v>0</v>
      </c>
      <c r="Q147" s="1276">
        <f t="shared" si="33"/>
        <v>0</v>
      </c>
      <c r="R147" s="1276">
        <f t="shared" si="33"/>
        <v>0</v>
      </c>
      <c r="S147" s="1276">
        <f t="shared" si="33"/>
        <v>0</v>
      </c>
      <c r="T147" s="1276">
        <f t="shared" si="33"/>
        <v>0</v>
      </c>
      <c r="U147" s="1276">
        <f t="shared" si="33"/>
        <v>0</v>
      </c>
      <c r="V147" s="1276">
        <f t="shared" si="33"/>
        <v>0</v>
      </c>
      <c r="W147" s="1277">
        <f t="shared" si="33"/>
        <v>0</v>
      </c>
      <c r="X147" s="1276"/>
      <c r="Y147" s="723"/>
      <c r="Z147" s="723"/>
      <c r="AA147" s="723"/>
      <c r="AB147" s="723"/>
      <c r="AC147" s="723"/>
      <c r="AD147" s="35"/>
      <c r="AE147" s="313"/>
      <c r="AF147" s="313"/>
      <c r="AG147" s="313"/>
      <c r="AH147" s="313"/>
      <c r="AI147" s="313"/>
      <c r="AJ147" s="313"/>
      <c r="AK147" s="313"/>
      <c r="AL147" s="313"/>
      <c r="AM147" s="313"/>
      <c r="AN147" s="313"/>
    </row>
    <row r="148" spans="2:40" hidden="1" outlineLevel="1">
      <c r="B148" s="1266" t="s">
        <v>675</v>
      </c>
      <c r="C148" s="914"/>
      <c r="D148" s="1267">
        <f>IF(D145&lt;0,(-D145),0)</f>
        <v>2156.9538375000002</v>
      </c>
      <c r="E148" s="1267">
        <f t="shared" ref="E148:W148" si="34">IF(E145&lt;0,(-E145),0)</f>
        <v>39438.419501250006</v>
      </c>
      <c r="F148" s="1267">
        <f t="shared" si="34"/>
        <v>112583.09643619502</v>
      </c>
      <c r="G148" s="1267">
        <f t="shared" si="34"/>
        <v>191908.03668893009</v>
      </c>
      <c r="H148" s="1267">
        <f t="shared" si="34"/>
        <v>272373.6954684424</v>
      </c>
      <c r="I148" s="1267">
        <f t="shared" si="34"/>
        <v>363251.49050337356</v>
      </c>
      <c r="J148" s="1267">
        <f t="shared" si="34"/>
        <v>431690.66483293532</v>
      </c>
      <c r="K148" s="1267">
        <f t="shared" si="34"/>
        <v>478598.00777368987</v>
      </c>
      <c r="L148" s="1267">
        <f t="shared" si="34"/>
        <v>515442.6874242762</v>
      </c>
      <c r="M148" s="1267">
        <f t="shared" si="34"/>
        <v>543954.7873289237</v>
      </c>
      <c r="N148" s="1267">
        <f t="shared" si="34"/>
        <v>567354.17321598507</v>
      </c>
      <c r="O148" s="1267">
        <f t="shared" si="34"/>
        <v>588104.90293801285</v>
      </c>
      <c r="P148" s="1267">
        <f t="shared" si="34"/>
        <v>608323.26873725071</v>
      </c>
      <c r="Q148" s="1267">
        <f t="shared" si="34"/>
        <v>628364.48022642347</v>
      </c>
      <c r="R148" s="1267">
        <f t="shared" si="34"/>
        <v>648253.87598017394</v>
      </c>
      <c r="S148" s="1267">
        <f t="shared" si="34"/>
        <v>667994.47353806812</v>
      </c>
      <c r="T148" s="1267">
        <f t="shared" si="34"/>
        <v>687608.7163119152</v>
      </c>
      <c r="U148" s="1267">
        <f t="shared" si="34"/>
        <v>707097.14689840458</v>
      </c>
      <c r="V148" s="1267">
        <f t="shared" si="34"/>
        <v>726480.06376255723</v>
      </c>
      <c r="W148" s="1271">
        <f t="shared" si="34"/>
        <v>745756.1285272527</v>
      </c>
      <c r="X148" s="1288"/>
      <c r="Y148" s="723"/>
      <c r="Z148" s="723"/>
      <c r="AA148" s="723"/>
      <c r="AB148" s="723"/>
      <c r="AC148" s="723"/>
      <c r="AD148" s="35"/>
      <c r="AE148" s="313"/>
      <c r="AF148" s="313"/>
      <c r="AG148" s="313"/>
      <c r="AH148" s="313"/>
      <c r="AI148" s="313"/>
      <c r="AJ148" s="313"/>
      <c r="AK148" s="313"/>
      <c r="AL148" s="313"/>
      <c r="AM148" s="313"/>
      <c r="AN148" s="313"/>
    </row>
    <row r="149" spans="2:40" hidden="1" outlineLevel="1">
      <c r="B149" s="314"/>
      <c r="C149" s="313"/>
      <c r="D149" s="1288"/>
      <c r="E149" s="1288"/>
      <c r="F149" s="1288"/>
      <c r="G149" s="1288"/>
      <c r="H149" s="1288"/>
      <c r="I149" s="1288"/>
      <c r="J149" s="1288"/>
      <c r="K149" s="1288"/>
      <c r="L149" s="1288"/>
      <c r="M149" s="1288"/>
      <c r="N149" s="1288"/>
      <c r="O149" s="1288"/>
      <c r="P149" s="1288"/>
      <c r="Q149" s="1288"/>
      <c r="R149" s="1288"/>
      <c r="S149" s="1288"/>
      <c r="T149" s="1288"/>
      <c r="U149" s="1288"/>
      <c r="V149" s="1288"/>
      <c r="W149" s="1288"/>
      <c r="X149" s="1288"/>
      <c r="Y149" s="723"/>
      <c r="Z149" s="723"/>
      <c r="AA149" s="723"/>
      <c r="AB149" s="723"/>
      <c r="AC149" s="723"/>
      <c r="AD149" s="35"/>
      <c r="AE149" s="313"/>
      <c r="AF149" s="313"/>
      <c r="AG149" s="313"/>
      <c r="AH149" s="313"/>
      <c r="AI149" s="313"/>
      <c r="AJ149" s="313"/>
      <c r="AK149" s="313"/>
      <c r="AL149" s="313"/>
      <c r="AM149" s="313"/>
      <c r="AN149" s="313"/>
    </row>
    <row r="150" spans="2:40" hidden="1" outlineLevel="1">
      <c r="B150" s="314"/>
      <c r="C150" s="313"/>
      <c r="D150" s="1288"/>
      <c r="E150" s="1288"/>
      <c r="F150" s="1288"/>
      <c r="G150" s="1288"/>
      <c r="H150" s="1288"/>
      <c r="I150" s="1288"/>
      <c r="J150" s="1288"/>
      <c r="K150" s="1288"/>
      <c r="L150" s="1288"/>
      <c r="M150" s="1288"/>
      <c r="N150" s="1288"/>
      <c r="O150" s="1288"/>
      <c r="P150" s="1288"/>
      <c r="Q150" s="1288"/>
      <c r="R150" s="1288"/>
      <c r="S150" s="1288"/>
      <c r="T150" s="1288"/>
      <c r="U150" s="1288"/>
      <c r="V150" s="1288"/>
      <c r="W150" s="1288"/>
      <c r="X150" s="1288"/>
      <c r="Y150" s="723"/>
      <c r="Z150" s="723"/>
      <c r="AA150" s="723"/>
      <c r="AB150" s="723"/>
      <c r="AC150" s="723"/>
      <c r="AD150" s="35"/>
      <c r="AE150" s="313"/>
      <c r="AF150" s="313"/>
      <c r="AG150" s="313"/>
      <c r="AH150" s="313"/>
      <c r="AI150" s="313"/>
      <c r="AJ150" s="313"/>
      <c r="AK150" s="313"/>
      <c r="AL150" s="313"/>
      <c r="AM150" s="313"/>
      <c r="AN150" s="313"/>
    </row>
    <row r="151" spans="2:40" hidden="1" outlineLevel="1">
      <c r="B151" s="291" t="s">
        <v>5</v>
      </c>
      <c r="C151" s="1186"/>
      <c r="D151" s="566">
        <v>2001</v>
      </c>
      <c r="E151" s="566">
        <f>+D151+1</f>
        <v>2002</v>
      </c>
      <c r="F151" s="566">
        <f t="shared" ref="F151:W151" si="35">+E151+1</f>
        <v>2003</v>
      </c>
      <c r="G151" s="566">
        <f t="shared" si="35"/>
        <v>2004</v>
      </c>
      <c r="H151" s="566">
        <f t="shared" si="35"/>
        <v>2005</v>
      </c>
      <c r="I151" s="566">
        <f t="shared" si="35"/>
        <v>2006</v>
      </c>
      <c r="J151" s="566">
        <f t="shared" si="35"/>
        <v>2007</v>
      </c>
      <c r="K151" s="566">
        <f t="shared" si="35"/>
        <v>2008</v>
      </c>
      <c r="L151" s="566">
        <f t="shared" si="35"/>
        <v>2009</v>
      </c>
      <c r="M151" s="566">
        <f t="shared" si="35"/>
        <v>2010</v>
      </c>
      <c r="N151" s="566">
        <f t="shared" si="35"/>
        <v>2011</v>
      </c>
      <c r="O151" s="566">
        <f t="shared" si="35"/>
        <v>2012</v>
      </c>
      <c r="P151" s="566">
        <f t="shared" si="35"/>
        <v>2013</v>
      </c>
      <c r="Q151" s="566">
        <f t="shared" si="35"/>
        <v>2014</v>
      </c>
      <c r="R151" s="566">
        <f t="shared" si="35"/>
        <v>2015</v>
      </c>
      <c r="S151" s="566">
        <f t="shared" si="35"/>
        <v>2016</v>
      </c>
      <c r="T151" s="566">
        <f t="shared" si="35"/>
        <v>2017</v>
      </c>
      <c r="U151" s="566">
        <f t="shared" si="35"/>
        <v>2018</v>
      </c>
      <c r="V151" s="566">
        <f t="shared" si="35"/>
        <v>2019</v>
      </c>
      <c r="W151" s="566">
        <f t="shared" si="35"/>
        <v>2020</v>
      </c>
    </row>
    <row r="152" spans="2:40" hidden="1" outlineLevel="1"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</row>
    <row r="153" spans="2:40" ht="15.75" hidden="1" outlineLevel="1">
      <c r="B153" s="737" t="s">
        <v>726</v>
      </c>
      <c r="C153" s="619"/>
      <c r="D153" s="1298"/>
      <c r="E153" s="1298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</row>
    <row r="154" spans="2:40" hidden="1" outlineLevel="1"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</row>
    <row r="155" spans="2:40" hidden="1" outlineLevel="1">
      <c r="B155" s="302" t="s">
        <v>585</v>
      </c>
      <c r="D155" s="295">
        <f>Devel_Financials!C171</f>
        <v>132072.15</v>
      </c>
      <c r="E155" s="295">
        <f>Devel_Financials!D171</f>
        <v>123986.09999999999</v>
      </c>
      <c r="F155" s="295">
        <f>Devel_Financials!E171</f>
        <v>115900.04999999999</v>
      </c>
      <c r="G155" s="295">
        <f>Devel_Financials!F171</f>
        <v>107813.99999999999</v>
      </c>
      <c r="H155" s="295">
        <f>Devel_Financials!G171</f>
        <v>99727.949999999983</v>
      </c>
      <c r="I155" s="295">
        <f>Devel_Financials!H171</f>
        <v>90294.224999999977</v>
      </c>
      <c r="J155" s="295">
        <f>Devel_Financials!I171</f>
        <v>80860.499999999971</v>
      </c>
      <c r="K155" s="295">
        <f>Devel_Financials!J171</f>
        <v>71426.774999999965</v>
      </c>
      <c r="L155" s="295">
        <f>Devel_Financials!K171</f>
        <v>61993.049999999967</v>
      </c>
      <c r="M155" s="295">
        <f>Devel_Financials!L171</f>
        <v>52559.324999999968</v>
      </c>
      <c r="N155" s="295">
        <f>Devel_Financials!M171</f>
        <v>43125.599999999969</v>
      </c>
      <c r="O155" s="295">
        <f>Devel_Financials!N171</f>
        <v>32344.199999999968</v>
      </c>
      <c r="P155" s="295">
        <f>Devel_Financials!O171</f>
        <v>20215.124999999971</v>
      </c>
      <c r="Q155" s="295">
        <f>Devel_Financials!P171</f>
        <v>6738.3749999999709</v>
      </c>
      <c r="R155" s="295">
        <f>Devel_Financials!Q171</f>
        <v>-2.9103830456733704E-11</v>
      </c>
      <c r="S155" s="295">
        <f>Devel_Financials!R171</f>
        <v>-2.9103830456733704E-11</v>
      </c>
      <c r="T155" s="295">
        <f>Devel_Financials!S171</f>
        <v>-2.9103830456733704E-11</v>
      </c>
      <c r="U155" s="295">
        <f>Devel_Financials!T171</f>
        <v>-2.9103830456733704E-11</v>
      </c>
      <c r="V155" s="295">
        <f>Devel_Financials!U171</f>
        <v>-2.9103830456733704E-11</v>
      </c>
      <c r="W155" s="295">
        <f>Devel_Financials!V171</f>
        <v>-2.9103830456733704E-11</v>
      </c>
    </row>
    <row r="156" spans="2:40" hidden="1" outlineLevel="1">
      <c r="B156" s="302" t="s">
        <v>586</v>
      </c>
      <c r="D156" s="295"/>
      <c r="E156" s="295">
        <f>Devel_Financials!C103</f>
        <v>113190</v>
      </c>
      <c r="F156" s="295">
        <f>Devel_Financials!D103</f>
        <v>106260</v>
      </c>
      <c r="G156" s="295">
        <f>Devel_Financials!E103</f>
        <v>99330</v>
      </c>
      <c r="H156" s="295">
        <f>Devel_Financials!F103</f>
        <v>92400</v>
      </c>
      <c r="I156" s="295">
        <f>Devel_Financials!G103</f>
        <v>85470</v>
      </c>
      <c r="J156" s="295">
        <f>Devel_Financials!H103</f>
        <v>77385</v>
      </c>
      <c r="K156" s="295">
        <f>Devel_Financials!I103</f>
        <v>69300</v>
      </c>
      <c r="L156" s="295">
        <f>Devel_Financials!J103</f>
        <v>61215</v>
      </c>
      <c r="M156" s="295">
        <f>Devel_Financials!K103</f>
        <v>53130</v>
      </c>
      <c r="N156" s="295">
        <f>Devel_Financials!L103</f>
        <v>45045</v>
      </c>
      <c r="O156" s="295">
        <f>Devel_Financials!M103</f>
        <v>36960</v>
      </c>
      <c r="P156" s="295">
        <f>Devel_Financials!N103</f>
        <v>27720</v>
      </c>
      <c r="Q156" s="295">
        <f>Devel_Financials!O103</f>
        <v>17325</v>
      </c>
      <c r="R156" s="295">
        <f>Devel_Financials!P103</f>
        <v>5775</v>
      </c>
      <c r="S156" s="295">
        <f>Devel_Financials!Q103</f>
        <v>0</v>
      </c>
      <c r="T156" s="295">
        <f>Devel_Financials!R103</f>
        <v>0</v>
      </c>
      <c r="U156" s="295">
        <f>Devel_Financials!S103</f>
        <v>0</v>
      </c>
      <c r="V156" s="295">
        <f>Devel_Financials!T103</f>
        <v>0</v>
      </c>
      <c r="W156" s="295">
        <f>Devel_Financials!U103</f>
        <v>0</v>
      </c>
    </row>
    <row r="157" spans="2:40" hidden="1" outlineLevel="1">
      <c r="B157" s="1190" t="s">
        <v>587</v>
      </c>
      <c r="C157" s="914"/>
      <c r="D157" s="297"/>
      <c r="E157" s="297"/>
      <c r="F157" s="297">
        <f>Devel_Financials!C137</f>
        <v>385875</v>
      </c>
      <c r="G157" s="297">
        <f>Devel_Financials!D137</f>
        <v>362250</v>
      </c>
      <c r="H157" s="297">
        <f>Devel_Financials!E137</f>
        <v>338625</v>
      </c>
      <c r="I157" s="297">
        <f>Devel_Financials!F137</f>
        <v>315000</v>
      </c>
      <c r="J157" s="297">
        <f>Devel_Financials!G137</f>
        <v>291375</v>
      </c>
      <c r="K157" s="297">
        <f>Devel_Financials!H137</f>
        <v>263812.5</v>
      </c>
      <c r="L157" s="297">
        <f>Devel_Financials!I137</f>
        <v>236250</v>
      </c>
      <c r="M157" s="297">
        <f>Devel_Financials!J137</f>
        <v>208687.5</v>
      </c>
      <c r="N157" s="297">
        <f>Devel_Financials!K137</f>
        <v>181125</v>
      </c>
      <c r="O157" s="297">
        <f>Devel_Financials!L137</f>
        <v>153562.5</v>
      </c>
      <c r="P157" s="297">
        <f>Devel_Financials!M137</f>
        <v>126000</v>
      </c>
      <c r="Q157" s="297">
        <f>Devel_Financials!N137</f>
        <v>94500</v>
      </c>
      <c r="R157" s="297">
        <f>Devel_Financials!O137</f>
        <v>59062.5</v>
      </c>
      <c r="S157" s="297">
        <f>Devel_Financials!P137</f>
        <v>19687.5</v>
      </c>
      <c r="T157" s="297">
        <f>Devel_Financials!Q137</f>
        <v>0</v>
      </c>
      <c r="U157" s="297">
        <f>Devel_Financials!R137</f>
        <v>0</v>
      </c>
      <c r="V157" s="297">
        <f>Devel_Financials!S137</f>
        <v>0</v>
      </c>
      <c r="W157" s="297">
        <f>Devel_Financials!T137</f>
        <v>0</v>
      </c>
    </row>
    <row r="158" spans="2:40" hidden="1" outlineLevel="1">
      <c r="B158" s="302" t="s">
        <v>588</v>
      </c>
      <c r="D158" s="295">
        <f>SUM(D155:D157)</f>
        <v>132072.15</v>
      </c>
      <c r="E158" s="295">
        <f t="shared" ref="E158:W158" si="36">SUM(E155:E157)</f>
        <v>237176.09999999998</v>
      </c>
      <c r="F158" s="295">
        <f t="shared" si="36"/>
        <v>608035.05000000005</v>
      </c>
      <c r="G158" s="295">
        <f t="shared" si="36"/>
        <v>569394</v>
      </c>
      <c r="H158" s="295">
        <f t="shared" si="36"/>
        <v>530752.94999999995</v>
      </c>
      <c r="I158" s="295">
        <f t="shared" si="36"/>
        <v>490764.22499999998</v>
      </c>
      <c r="J158" s="295">
        <f t="shared" si="36"/>
        <v>449620.5</v>
      </c>
      <c r="K158" s="295">
        <f t="shared" si="36"/>
        <v>404539.27499999997</v>
      </c>
      <c r="L158" s="295">
        <f t="shared" si="36"/>
        <v>359458.04999999993</v>
      </c>
      <c r="M158" s="295">
        <f t="shared" si="36"/>
        <v>314376.82499999995</v>
      </c>
      <c r="N158" s="295">
        <f t="shared" si="36"/>
        <v>269295.59999999998</v>
      </c>
      <c r="O158" s="295">
        <f t="shared" si="36"/>
        <v>222866.69999999995</v>
      </c>
      <c r="P158" s="295">
        <f t="shared" si="36"/>
        <v>173935.12499999997</v>
      </c>
      <c r="Q158" s="295">
        <f t="shared" si="36"/>
        <v>118563.37499999997</v>
      </c>
      <c r="R158" s="295">
        <f t="shared" si="36"/>
        <v>64837.499999999971</v>
      </c>
      <c r="S158" s="295">
        <f t="shared" si="36"/>
        <v>19687.499999999971</v>
      </c>
      <c r="T158" s="295">
        <f t="shared" si="36"/>
        <v>-2.9103830456733704E-11</v>
      </c>
      <c r="U158" s="295">
        <f t="shared" si="36"/>
        <v>-2.9103830456733704E-11</v>
      </c>
      <c r="V158" s="295">
        <f t="shared" si="36"/>
        <v>-2.9103830456733704E-11</v>
      </c>
      <c r="W158" s="295">
        <f t="shared" si="36"/>
        <v>-2.9103830456733704E-11</v>
      </c>
    </row>
    <row r="159" spans="2:40" hidden="1" outlineLevel="1">
      <c r="B159" s="302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</row>
    <row r="160" spans="2:40" hidden="1" outlineLevel="1">
      <c r="B160" s="302" t="s">
        <v>589</v>
      </c>
      <c r="D160" s="295">
        <f>Devel_Financials!C33*$D$6/Devel_Financials!$C$6</f>
        <v>0</v>
      </c>
      <c r="E160" s="1292">
        <f>Devel_Financials!D33*$D$6/Devel_Financials!$C$6</f>
        <v>0</v>
      </c>
      <c r="F160" s="1292">
        <f>Devel_Financials!E33*$D$6/Devel_Financials!$C$6</f>
        <v>0</v>
      </c>
      <c r="G160" s="1292">
        <f>Devel_Financials!F33*$D$6/Devel_Financials!$C$6</f>
        <v>0</v>
      </c>
      <c r="H160" s="1293">
        <f>Devel_Financials!G33*$D$6/Devel_Financials!$C$6</f>
        <v>0</v>
      </c>
      <c r="I160" s="1292">
        <f>Devel_Financials!H33*$D$6/Devel_Financials!$C$6</f>
        <v>0</v>
      </c>
      <c r="J160" s="1292">
        <f>Devel_Financials!I33*$D$6/Devel_Financials!$C$6</f>
        <v>0</v>
      </c>
      <c r="K160" s="1292">
        <f>Devel_Financials!J33*$D$6/Devel_Financials!$C$6</f>
        <v>0</v>
      </c>
      <c r="L160" s="1292">
        <f>Devel_Financials!K33*$D$6/Devel_Financials!$C$6</f>
        <v>0</v>
      </c>
      <c r="M160" s="1292">
        <f>Devel_Financials!L33*$D$6/Devel_Financials!$C$6</f>
        <v>0</v>
      </c>
      <c r="N160" s="1292">
        <f>Devel_Financials!M33*$D$6/Devel_Financials!$C$6</f>
        <v>0</v>
      </c>
      <c r="O160" s="1292">
        <f>Devel_Financials!N33*$D$6/Devel_Financials!$C$6</f>
        <v>0</v>
      </c>
      <c r="P160" s="1292">
        <f>Devel_Financials!O33*$D$6/Devel_Financials!$C$6</f>
        <v>0</v>
      </c>
      <c r="Q160" s="1292">
        <f>Devel_Financials!P33*$D$6/Devel_Financials!$C$6</f>
        <v>0</v>
      </c>
      <c r="R160" s="1292">
        <f>Devel_Financials!Q33*$D$6/Devel_Financials!$C$6</f>
        <v>0</v>
      </c>
      <c r="S160" s="1292">
        <f>Devel_Financials!R33*$D$6/Devel_Financials!$C$6</f>
        <v>0</v>
      </c>
      <c r="T160" s="1292">
        <f>Devel_Financials!S33*$D$6/Devel_Financials!$C$6</f>
        <v>0</v>
      </c>
      <c r="U160" s="1292">
        <f>Devel_Financials!T33*$D$6/Devel_Financials!$C$6</f>
        <v>0</v>
      </c>
      <c r="V160" s="1292">
        <f>Devel_Financials!U33*$D$6/Devel_Financials!$C$6</f>
        <v>0</v>
      </c>
      <c r="W160" s="1292">
        <f>Devel_Financials!V33*$D$6/Devel_Financials!$C$6</f>
        <v>0</v>
      </c>
    </row>
    <row r="161" spans="2:23" hidden="1" outlineLevel="1">
      <c r="B161" s="302" t="s">
        <v>590</v>
      </c>
      <c r="D161" s="295">
        <v>0</v>
      </c>
      <c r="E161" s="295">
        <f>Devel_Financials!C33*$E$6/Devel_Financials!$C$6</f>
        <v>565950</v>
      </c>
      <c r="F161" s="295">
        <f>Devel_Financials!D33*$E$6/Devel_Financials!$C$6</f>
        <v>531300</v>
      </c>
      <c r="G161" s="295">
        <f>Devel_Financials!E33*$E$6/Devel_Financials!$C$6</f>
        <v>496650</v>
      </c>
      <c r="H161" s="295">
        <f>Devel_Financials!F33*$E$6/Devel_Financials!$C$6</f>
        <v>462000</v>
      </c>
      <c r="I161" s="295">
        <f>Devel_Financials!G33*$E$6/Devel_Financials!$C$6</f>
        <v>427350</v>
      </c>
      <c r="J161" s="295">
        <f>Devel_Financials!H33*$E$6/Devel_Financials!$C$6</f>
        <v>386925</v>
      </c>
      <c r="K161" s="295">
        <f>Devel_Financials!I33*$E$6/Devel_Financials!$C$6</f>
        <v>346500</v>
      </c>
      <c r="L161" s="295">
        <f>Devel_Financials!J33*$E$6/Devel_Financials!$C$6</f>
        <v>306075</v>
      </c>
      <c r="M161" s="295">
        <f>Devel_Financials!K33*$E$6/Devel_Financials!$C$6</f>
        <v>265650</v>
      </c>
      <c r="N161" s="295">
        <f>Devel_Financials!L33*$E$6/Devel_Financials!$C$6</f>
        <v>225225</v>
      </c>
      <c r="O161" s="295">
        <f>Devel_Financials!M33*$E$6/Devel_Financials!$C$6</f>
        <v>184800</v>
      </c>
      <c r="P161" s="295">
        <f>Devel_Financials!N33*$E$6/Devel_Financials!$C$6</f>
        <v>138600</v>
      </c>
      <c r="Q161" s="295">
        <f>Devel_Financials!O33*$E$6/Devel_Financials!$C$6</f>
        <v>86625</v>
      </c>
      <c r="R161" s="295">
        <f>Devel_Financials!P33*$E$6/Devel_Financials!$C$6</f>
        <v>28875</v>
      </c>
      <c r="S161" s="295">
        <f>Devel_Financials!Q33*$E$6/Devel_Financials!$C$6</f>
        <v>0</v>
      </c>
      <c r="T161" s="295">
        <f>Devel_Financials!R33*$E$6/Devel_Financials!$C$6</f>
        <v>0</v>
      </c>
      <c r="U161" s="295">
        <f>Devel_Financials!S33*$E$6/Devel_Financials!$C$6</f>
        <v>0</v>
      </c>
      <c r="V161" s="295">
        <f>Devel_Financials!T33*$E$6/Devel_Financials!$C$6</f>
        <v>0</v>
      </c>
      <c r="W161" s="295">
        <f>Devel_Financials!U33*$E$6/Devel_Financials!$C$6</f>
        <v>0</v>
      </c>
    </row>
    <row r="162" spans="2:23" hidden="1" outlineLevel="1">
      <c r="B162" s="302" t="s">
        <v>591</v>
      </c>
      <c r="D162" s="295">
        <v>0</v>
      </c>
      <c r="E162" s="295">
        <v>0</v>
      </c>
      <c r="F162" s="295">
        <f>Devel_Financials!C33*$F$6/Devel_Financials!$C$6</f>
        <v>1320550</v>
      </c>
      <c r="G162" s="295">
        <f>Devel_Financials!D33*$F$6/Devel_Financials!$C$6</f>
        <v>1239700</v>
      </c>
      <c r="H162" s="295">
        <f>Devel_Financials!E33*$F$6/Devel_Financials!$C$6</f>
        <v>1158850</v>
      </c>
      <c r="I162" s="295">
        <f>Devel_Financials!F33*$F$6/Devel_Financials!$C$6</f>
        <v>1078000</v>
      </c>
      <c r="J162" s="295">
        <f>Devel_Financials!G33*$F$6/Devel_Financials!$C$6</f>
        <v>997150</v>
      </c>
      <c r="K162" s="295">
        <f>Devel_Financials!H33*$F$6/Devel_Financials!$C$6</f>
        <v>902825</v>
      </c>
      <c r="L162" s="295">
        <f>Devel_Financials!I33*$F$6/Devel_Financials!$C$6</f>
        <v>808500</v>
      </c>
      <c r="M162" s="295">
        <f>Devel_Financials!J33*$F$6/Devel_Financials!$C$6</f>
        <v>714175</v>
      </c>
      <c r="N162" s="295">
        <f>Devel_Financials!K33*$F$6/Devel_Financials!$C$6</f>
        <v>619850</v>
      </c>
      <c r="O162" s="295">
        <f>Devel_Financials!L33*$F$6/Devel_Financials!$C$6</f>
        <v>525525</v>
      </c>
      <c r="P162" s="295">
        <f>Devel_Financials!M33*$F$6/Devel_Financials!$C$6</f>
        <v>431200</v>
      </c>
      <c r="Q162" s="295">
        <f>Devel_Financials!N33*$F$6/Devel_Financials!$C$6</f>
        <v>323400</v>
      </c>
      <c r="R162" s="295">
        <f>Devel_Financials!O33*$F$6/Devel_Financials!$C$6</f>
        <v>202125</v>
      </c>
      <c r="S162" s="295">
        <f>Devel_Financials!P33*$F$6/Devel_Financials!$C$6</f>
        <v>67375</v>
      </c>
      <c r="T162" s="295">
        <f>Devel_Financials!Q33*$F$6/Devel_Financials!$C$6</f>
        <v>0</v>
      </c>
      <c r="U162" s="295">
        <f>Devel_Financials!R33*$F$6/Devel_Financials!$C$6</f>
        <v>0</v>
      </c>
      <c r="V162" s="295">
        <f>Devel_Financials!S33*$F$6/Devel_Financials!$C$6</f>
        <v>0</v>
      </c>
      <c r="W162" s="295">
        <f>Devel_Financials!T33*$F$6/Devel_Financials!$C$6</f>
        <v>0</v>
      </c>
    </row>
    <row r="163" spans="2:23" hidden="1" outlineLevel="1">
      <c r="B163" s="302" t="s">
        <v>592</v>
      </c>
      <c r="D163" s="295">
        <v>0</v>
      </c>
      <c r="E163" s="295">
        <v>0</v>
      </c>
      <c r="F163" s="295">
        <v>0</v>
      </c>
      <c r="G163" s="295">
        <f>Devel_Financials!C33*$G$6/Devel_Financials!$C$6</f>
        <v>1131900</v>
      </c>
      <c r="H163" s="295">
        <f>Devel_Financials!D33*$G$6/Devel_Financials!$C$6</f>
        <v>1062600</v>
      </c>
      <c r="I163" s="295">
        <f>Devel_Financials!E33*$G$6/Devel_Financials!$C$6</f>
        <v>993300</v>
      </c>
      <c r="J163" s="295">
        <f>Devel_Financials!F33*$G$6/Devel_Financials!$C$6</f>
        <v>924000</v>
      </c>
      <c r="K163" s="295">
        <f>Devel_Financials!G33*$G$6/Devel_Financials!$C$6</f>
        <v>854700</v>
      </c>
      <c r="L163" s="295">
        <f>Devel_Financials!H33*$G$6/Devel_Financials!$C$6</f>
        <v>773850</v>
      </c>
      <c r="M163" s="295">
        <f>Devel_Financials!I33*$G$6/Devel_Financials!$C$6</f>
        <v>693000</v>
      </c>
      <c r="N163" s="295">
        <f>Devel_Financials!J33*$G$6/Devel_Financials!$C$6</f>
        <v>612150</v>
      </c>
      <c r="O163" s="295">
        <f>Devel_Financials!K33*$G$6/Devel_Financials!$C$6</f>
        <v>531300</v>
      </c>
      <c r="P163" s="295">
        <f>Devel_Financials!L33*$G$6/Devel_Financials!$C$6</f>
        <v>450450</v>
      </c>
      <c r="Q163" s="295">
        <f>Devel_Financials!M33*$G$6/Devel_Financials!$C$6</f>
        <v>369600</v>
      </c>
      <c r="R163" s="295">
        <f>Devel_Financials!N33*$G$6/Devel_Financials!$C$6</f>
        <v>277200</v>
      </c>
      <c r="S163" s="295">
        <f>Devel_Financials!O33*$G$6/Devel_Financials!$C$6</f>
        <v>173250</v>
      </c>
      <c r="T163" s="295">
        <f>Devel_Financials!P33*$G$6/Devel_Financials!$C$6</f>
        <v>57750</v>
      </c>
      <c r="U163" s="295">
        <f>Devel_Financials!Q33*$G$6/Devel_Financials!$C$6</f>
        <v>0</v>
      </c>
      <c r="V163" s="295">
        <f>Devel_Financials!R33*$G$6/Devel_Financials!$C$6</f>
        <v>0</v>
      </c>
      <c r="W163" s="295">
        <f>Devel_Financials!S33*$G$6/Devel_Financials!$C$6</f>
        <v>0</v>
      </c>
    </row>
    <row r="164" spans="2:23" hidden="1" outlineLevel="1">
      <c r="B164" s="1190" t="s">
        <v>593</v>
      </c>
      <c r="C164" s="914"/>
      <c r="D164" s="297">
        <v>0</v>
      </c>
      <c r="E164" s="297">
        <v>0</v>
      </c>
      <c r="F164" s="297">
        <v>0</v>
      </c>
      <c r="G164" s="297">
        <v>0</v>
      </c>
      <c r="H164" s="297">
        <f>Devel_Financials!C33*$H$6/Devel_Financials!$C$6</f>
        <v>1131900</v>
      </c>
      <c r="I164" s="297">
        <f>Devel_Financials!D33*$H$6/Devel_Financials!$C$6</f>
        <v>1062600</v>
      </c>
      <c r="J164" s="297">
        <f>Devel_Financials!E33*$H$6/Devel_Financials!$C$6</f>
        <v>993300</v>
      </c>
      <c r="K164" s="297">
        <f>Devel_Financials!F33*$H$6/Devel_Financials!$C$6</f>
        <v>924000</v>
      </c>
      <c r="L164" s="297">
        <f>Devel_Financials!G33*$H$6/Devel_Financials!$C$6</f>
        <v>854700</v>
      </c>
      <c r="M164" s="297">
        <f>Devel_Financials!H33*$H$6/Devel_Financials!$C$6</f>
        <v>773850</v>
      </c>
      <c r="N164" s="297">
        <f>Devel_Financials!I33*$H$6/Devel_Financials!$C$6</f>
        <v>693000</v>
      </c>
      <c r="O164" s="297">
        <f>Devel_Financials!J33*$H$6/Devel_Financials!$C$6</f>
        <v>612150</v>
      </c>
      <c r="P164" s="297">
        <f>Devel_Financials!K33*$H$6/Devel_Financials!$C$6</f>
        <v>531300</v>
      </c>
      <c r="Q164" s="297">
        <f>Devel_Financials!L33*$H$6/Devel_Financials!$C$6</f>
        <v>450450</v>
      </c>
      <c r="R164" s="297">
        <f>Devel_Financials!M33*$H$6/Devel_Financials!$C$6</f>
        <v>369600</v>
      </c>
      <c r="S164" s="297">
        <f>Devel_Financials!N33*$H$6/Devel_Financials!$C$6</f>
        <v>277200</v>
      </c>
      <c r="T164" s="297">
        <f>Devel_Financials!O33*$H$6/Devel_Financials!$C$6</f>
        <v>173250</v>
      </c>
      <c r="U164" s="297">
        <f>Devel_Financials!P33*$H$6/Devel_Financials!$C$6</f>
        <v>57750</v>
      </c>
      <c r="V164" s="297">
        <f>Devel_Financials!Q33*$H$6/Devel_Financials!$C$6</f>
        <v>0</v>
      </c>
      <c r="W164" s="297">
        <f>Devel_Financials!R33*$H$6/Devel_Financials!$C$6</f>
        <v>0</v>
      </c>
    </row>
    <row r="165" spans="2:23" hidden="1" outlineLevel="1">
      <c r="B165" s="302" t="s">
        <v>594</v>
      </c>
      <c r="D165" s="295">
        <f>SUM(D160:D164)</f>
        <v>0</v>
      </c>
      <c r="E165" s="295">
        <f t="shared" ref="E165:W165" si="37">SUM(E160:E164)</f>
        <v>565950</v>
      </c>
      <c r="F165" s="295">
        <f t="shared" si="37"/>
        <v>1851850</v>
      </c>
      <c r="G165" s="295">
        <f t="shared" si="37"/>
        <v>2868250</v>
      </c>
      <c r="H165" s="295">
        <f t="shared" si="37"/>
        <v>3815350</v>
      </c>
      <c r="I165" s="295">
        <f t="shared" si="37"/>
        <v>3561250</v>
      </c>
      <c r="J165" s="295">
        <f t="shared" si="37"/>
        <v>3301375</v>
      </c>
      <c r="K165" s="295">
        <f t="shared" si="37"/>
        <v>3028025</v>
      </c>
      <c r="L165" s="295">
        <f t="shared" si="37"/>
        <v>2743125</v>
      </c>
      <c r="M165" s="295">
        <f t="shared" si="37"/>
        <v>2446675</v>
      </c>
      <c r="N165" s="295">
        <f t="shared" si="37"/>
        <v>2150225</v>
      </c>
      <c r="O165" s="295">
        <f t="shared" si="37"/>
        <v>1853775</v>
      </c>
      <c r="P165" s="295">
        <f t="shared" si="37"/>
        <v>1551550</v>
      </c>
      <c r="Q165" s="295">
        <f t="shared" si="37"/>
        <v>1230075</v>
      </c>
      <c r="R165" s="295">
        <f t="shared" si="37"/>
        <v>877800</v>
      </c>
      <c r="S165" s="295">
        <f t="shared" si="37"/>
        <v>517825</v>
      </c>
      <c r="T165" s="295">
        <f t="shared" si="37"/>
        <v>231000</v>
      </c>
      <c r="U165" s="295">
        <f t="shared" si="37"/>
        <v>57750</v>
      </c>
      <c r="V165" s="295">
        <f t="shared" si="37"/>
        <v>0</v>
      </c>
      <c r="W165" s="295">
        <f t="shared" si="37"/>
        <v>0</v>
      </c>
    </row>
    <row r="166" spans="2:23" hidden="1" outlineLevel="1">
      <c r="B166" s="302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</row>
    <row r="167" spans="2:23" hidden="1" outlineLevel="1">
      <c r="B167" s="1190" t="s">
        <v>595</v>
      </c>
      <c r="C167" s="914"/>
      <c r="D167" s="297">
        <v>0</v>
      </c>
      <c r="E167" s="297">
        <f>Devel_Financials!C67*Devel_Summary!$E$7/Devel_Financials!$G$6</f>
        <v>254042.4836601307</v>
      </c>
      <c r="F167" s="297">
        <f>Devel_Financials!D67*Devel_Summary!$E$7/Devel_Financials!$G$6</f>
        <v>241952.06971677562</v>
      </c>
      <c r="G167" s="297">
        <f>Devel_Financials!E67*Devel_Summary!$E$7/Devel_Financials!$G$6</f>
        <v>229550.10893246188</v>
      </c>
      <c r="H167" s="297">
        <f>Devel_Financials!F67*Devel_Summary!$E$7/Devel_Financials!$G$6</f>
        <v>215656.3180827887</v>
      </c>
      <c r="I167" s="297">
        <f>Devel_Financials!G67*Devel_Summary!$E$7/Devel_Financials!$G$6</f>
        <v>201822.44008714595</v>
      </c>
      <c r="J167" s="297">
        <f>Devel_Financials!H67*Devel_Summary!$E$7/Devel_Financials!$G$6</f>
        <v>186430.82788671023</v>
      </c>
      <c r="K167" s="297">
        <f>Devel_Financials!I67*Devel_Summary!$E$7/Devel_Financials!$G$6</f>
        <v>169571.3507625272</v>
      </c>
      <c r="L167" s="297">
        <f>Devel_Financials!J67*Devel_Summary!$E$7/Devel_Financials!$G$6</f>
        <v>151136.16557734204</v>
      </c>
      <c r="M167" s="297">
        <f>Devel_Financials!K67*Devel_Summary!$E$7/Devel_Financials!$G$6</f>
        <v>130556.10021786489</v>
      </c>
      <c r="N167" s="297">
        <f>Devel_Financials!L67*Devel_Summary!$E$7/Devel_Financials!$G$6</f>
        <v>114337.69063180826</v>
      </c>
      <c r="O167" s="297">
        <f>Devel_Financials!M67*Devel_Summary!$E$7/Devel_Financials!$G$6</f>
        <v>99976.579520697152</v>
      </c>
      <c r="P167" s="297">
        <f>Devel_Financials!N67*Devel_Summary!$E$7/Devel_Financials!$G$6</f>
        <v>84345.31590413941</v>
      </c>
      <c r="Q167" s="297">
        <f>Devel_Financials!O67*Devel_Summary!$E$7/Devel_Financials!$G$6</f>
        <v>67425.925925925898</v>
      </c>
      <c r="R167" s="297">
        <f>Devel_Financials!P67*Devel_Summary!$E$7/Devel_Financials!$G$6</f>
        <v>49284.313725490167</v>
      </c>
      <c r="S167" s="297">
        <f>Devel_Financials!Q67*Devel_Summary!$E$7/Devel_Financials!$G$6</f>
        <v>29878.540305010862</v>
      </c>
      <c r="T167" s="297">
        <f>Devel_Financials!R67*Devel_Summary!$E$7/Devel_Financials!$G$6</f>
        <v>9112.7450980391841</v>
      </c>
      <c r="U167" s="297">
        <f>Devel_Financials!S67*Devel_Summary!$E$7/Devel_Financials!$G$6</f>
        <v>0</v>
      </c>
      <c r="V167" s="297">
        <f>Devel_Financials!T67*Devel_Summary!$E$7/Devel_Financials!$G$6</f>
        <v>0</v>
      </c>
      <c r="W167" s="297">
        <f>Devel_Financials!U67*Devel_Summary!$E$7/Devel_Financials!$G$6</f>
        <v>0</v>
      </c>
    </row>
    <row r="168" spans="2:23" hidden="1" outlineLevel="1">
      <c r="B168" s="302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</row>
    <row r="169" spans="2:23" hidden="1" outlineLevel="1">
      <c r="B169" s="1284" t="s">
        <v>596</v>
      </c>
      <c r="C169" s="1287"/>
      <c r="D169" s="1279">
        <f>D158+D165+D167</f>
        <v>132072.15</v>
      </c>
      <c r="E169" s="1279">
        <f t="shared" ref="E169:W169" si="38">E158+E165+E167</f>
        <v>1057168.5836601306</v>
      </c>
      <c r="F169" s="1279">
        <f t="shared" si="38"/>
        <v>2701837.1197167756</v>
      </c>
      <c r="G169" s="1279">
        <f t="shared" si="38"/>
        <v>3667194.1089324621</v>
      </c>
      <c r="H169" s="1279">
        <f t="shared" si="38"/>
        <v>4561759.2680827891</v>
      </c>
      <c r="I169" s="1279">
        <f t="shared" si="38"/>
        <v>4253836.6650871458</v>
      </c>
      <c r="J169" s="1279">
        <f t="shared" si="38"/>
        <v>3937426.3278867104</v>
      </c>
      <c r="K169" s="1279">
        <f t="shared" si="38"/>
        <v>3602135.6257625269</v>
      </c>
      <c r="L169" s="1279">
        <f t="shared" si="38"/>
        <v>3253719.2155773416</v>
      </c>
      <c r="M169" s="1279">
        <f t="shared" si="38"/>
        <v>2891607.925217865</v>
      </c>
      <c r="N169" s="1279">
        <f t="shared" si="38"/>
        <v>2533858.2906318083</v>
      </c>
      <c r="O169" s="1279">
        <f t="shared" si="38"/>
        <v>2176618.279520697</v>
      </c>
      <c r="P169" s="1279">
        <f t="shared" si="38"/>
        <v>1809830.4409041393</v>
      </c>
      <c r="Q169" s="1279">
        <f t="shared" si="38"/>
        <v>1416064.3009259258</v>
      </c>
      <c r="R169" s="1279">
        <f t="shared" si="38"/>
        <v>991921.81372549012</v>
      </c>
      <c r="S169" s="1279">
        <f t="shared" si="38"/>
        <v>567391.04030501086</v>
      </c>
      <c r="T169" s="1279">
        <f t="shared" si="38"/>
        <v>240112.74509803916</v>
      </c>
      <c r="U169" s="1279">
        <f t="shared" si="38"/>
        <v>57749.999999999971</v>
      </c>
      <c r="V169" s="1279">
        <f t="shared" si="38"/>
        <v>-2.9103830456733704E-11</v>
      </c>
      <c r="W169" s="1279">
        <f t="shared" si="38"/>
        <v>-2.9103830456733704E-11</v>
      </c>
    </row>
    <row r="170" spans="2:23" collapsed="1"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</row>
    <row r="171" spans="2:23"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</row>
    <row r="172" spans="2:23"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</row>
    <row r="173" spans="2:23"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</row>
    <row r="174" spans="2:23"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</row>
    <row r="175" spans="2:23"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</row>
    <row r="176" spans="2:23"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</row>
    <row r="177" spans="2:23"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</row>
    <row r="178" spans="2:23"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</row>
    <row r="179" spans="2:23"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</row>
    <row r="180" spans="2:23">
      <c r="B180" s="11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</row>
    <row r="181" spans="2:23"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</row>
    <row r="182" spans="2:23"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</row>
    <row r="183" spans="2:23"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</row>
    <row r="184" spans="2:23"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</row>
    <row r="185" spans="2:23"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</row>
    <row r="186" spans="2:23"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</row>
    <row r="187" spans="2:23"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</row>
    <row r="188" spans="2:23"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</row>
    <row r="189" spans="2:23"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</row>
    <row r="190" spans="2:23"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</row>
    <row r="191" spans="2:23"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</row>
    <row r="192" spans="2:23"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</row>
    <row r="193" spans="4:23"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</row>
    <row r="194" spans="4:23"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</row>
    <row r="195" spans="4:23"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</row>
    <row r="196" spans="4:23"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</row>
    <row r="197" spans="4:23"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</row>
    <row r="198" spans="4:23"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</row>
    <row r="199" spans="4:23"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</row>
    <row r="200" spans="4:23"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</row>
    <row r="201" spans="4:23"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</row>
  </sheetData>
  <pageMargins left="0.5" right="0.5" top="0.75" bottom="0.5" header="0.25" footer="0.25"/>
  <pageSetup scale="44" orientation="landscape" r:id="rId1"/>
  <headerFooter alignWithMargins="0">
    <oddHeader>&amp;LNewCo&amp;RCONFIDENTIAL</oddHeader>
    <oddFooter>&amp;L&amp;D&amp;C&amp;F&amp;RPage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AR189"/>
  <sheetViews>
    <sheetView zoomScale="75" zoomScaleNormal="75" workbookViewId="0"/>
  </sheetViews>
  <sheetFormatPr defaultRowHeight="12.75"/>
  <cols>
    <col min="1" max="1" width="1.7109375" style="271" customWidth="1"/>
    <col min="2" max="2" width="20.7109375" style="7" customWidth="1"/>
    <col min="3" max="22" width="11.7109375" style="271" customWidth="1"/>
    <col min="23" max="16384" width="9.140625" style="271"/>
  </cols>
  <sheetData>
    <row r="2" spans="2:44" ht="18.75">
      <c r="B2" s="270" t="s">
        <v>638</v>
      </c>
      <c r="C2" s="557"/>
      <c r="D2" s="557"/>
      <c r="E2" s="557"/>
      <c r="F2" s="557"/>
    </row>
    <row r="4" spans="2:44">
      <c r="B4" s="291" t="s">
        <v>5</v>
      </c>
    </row>
    <row r="5" spans="2:44" ht="15.75">
      <c r="B5" s="1194" t="s">
        <v>608</v>
      </c>
      <c r="C5" s="619"/>
      <c r="E5" s="1194" t="s">
        <v>616</v>
      </c>
      <c r="F5" s="619"/>
      <c r="G5" s="619"/>
      <c r="I5" s="1194" t="s">
        <v>618</v>
      </c>
      <c r="J5" s="619"/>
      <c r="K5" s="619"/>
      <c r="M5" s="1194" t="s">
        <v>587</v>
      </c>
      <c r="N5" s="619"/>
      <c r="O5" s="619"/>
      <c r="Q5" s="1194" t="s">
        <v>585</v>
      </c>
      <c r="R5" s="619"/>
      <c r="S5" s="619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3"/>
      <c r="AH5" s="313"/>
      <c r="AI5" s="313"/>
      <c r="AJ5" s="313"/>
      <c r="AK5" s="313"/>
      <c r="AL5" s="313"/>
      <c r="AM5" s="313"/>
      <c r="AN5" s="313"/>
      <c r="AO5" s="313"/>
      <c r="AP5" s="313"/>
      <c r="AQ5" s="313"/>
      <c r="AR5" s="313"/>
    </row>
    <row r="6" spans="2:44">
      <c r="B6" s="7" t="s">
        <v>609</v>
      </c>
      <c r="C6" s="1195">
        <v>500</v>
      </c>
      <c r="D6" s="591" t="s">
        <v>610</v>
      </c>
      <c r="E6" s="7" t="s">
        <v>617</v>
      </c>
      <c r="F6" s="7"/>
      <c r="G6" s="1195">
        <v>75</v>
      </c>
      <c r="H6" s="591" t="s">
        <v>610</v>
      </c>
      <c r="I6" s="7" t="s">
        <v>609</v>
      </c>
      <c r="J6" s="7"/>
      <c r="K6" s="1195">
        <v>220</v>
      </c>
      <c r="L6" s="591" t="s">
        <v>610</v>
      </c>
      <c r="M6" s="7" t="s">
        <v>609</v>
      </c>
      <c r="N6" s="7"/>
      <c r="O6" s="1195">
        <v>750</v>
      </c>
      <c r="P6" s="591" t="s">
        <v>610</v>
      </c>
      <c r="Q6" s="7" t="s">
        <v>609</v>
      </c>
      <c r="R6" s="7"/>
      <c r="S6" s="1195">
        <v>453</v>
      </c>
      <c r="T6" s="591" t="s">
        <v>610</v>
      </c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3"/>
      <c r="AJ6" s="313"/>
      <c r="AK6" s="313"/>
      <c r="AL6" s="313"/>
      <c r="AM6" s="313"/>
      <c r="AN6" s="313"/>
      <c r="AO6" s="313"/>
      <c r="AP6" s="313"/>
      <c r="AQ6" s="313"/>
      <c r="AR6" s="313"/>
    </row>
    <row r="7" spans="2:44">
      <c r="B7" s="7" t="s">
        <v>611</v>
      </c>
      <c r="C7" s="1195">
        <v>550</v>
      </c>
      <c r="D7" s="591" t="s">
        <v>612</v>
      </c>
      <c r="E7" s="7" t="s">
        <v>611</v>
      </c>
      <c r="F7" s="7"/>
      <c r="G7" s="1195">
        <v>1100</v>
      </c>
      <c r="H7" s="591" t="s">
        <v>612</v>
      </c>
      <c r="I7" s="7" t="s">
        <v>611</v>
      </c>
      <c r="J7" s="7"/>
      <c r="K7" s="1199">
        <v>750</v>
      </c>
      <c r="L7" s="591" t="s">
        <v>612</v>
      </c>
      <c r="M7" s="7" t="s">
        <v>611</v>
      </c>
      <c r="N7" s="7"/>
      <c r="O7" s="1199">
        <v>750</v>
      </c>
      <c r="P7" s="591" t="s">
        <v>612</v>
      </c>
      <c r="Q7" s="7" t="s">
        <v>611</v>
      </c>
      <c r="R7" s="7"/>
      <c r="S7" s="1199">
        <v>425</v>
      </c>
      <c r="T7" s="591" t="s">
        <v>612</v>
      </c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</row>
    <row r="8" spans="2:44">
      <c r="B8" s="7" t="s">
        <v>613</v>
      </c>
      <c r="C8" s="20">
        <f>+C6*C7</f>
        <v>275000</v>
      </c>
      <c r="D8" s="591"/>
      <c r="E8" s="7" t="s">
        <v>613</v>
      </c>
      <c r="F8" s="7"/>
      <c r="G8" s="20">
        <f>+G6*G7</f>
        <v>82500</v>
      </c>
      <c r="H8" s="591"/>
      <c r="I8" s="7" t="s">
        <v>613</v>
      </c>
      <c r="J8" s="7"/>
      <c r="K8" s="20">
        <f>K7*K6</f>
        <v>165000</v>
      </c>
      <c r="L8" s="591"/>
      <c r="M8" s="7" t="s">
        <v>613</v>
      </c>
      <c r="N8" s="7"/>
      <c r="O8" s="20">
        <f>O7*O6</f>
        <v>562500</v>
      </c>
      <c r="P8" s="591"/>
      <c r="Q8" s="7" t="s">
        <v>613</v>
      </c>
      <c r="R8" s="7"/>
      <c r="S8" s="20">
        <f>S7*S6</f>
        <v>192525</v>
      </c>
      <c r="T8" s="591"/>
      <c r="W8" s="313"/>
      <c r="X8" s="313"/>
      <c r="Y8" s="313"/>
      <c r="Z8" s="313"/>
      <c r="AA8" s="313"/>
      <c r="AB8" s="313"/>
      <c r="AC8" s="313"/>
      <c r="AD8" s="313"/>
      <c r="AE8" s="313"/>
      <c r="AF8" s="313"/>
      <c r="AG8" s="313"/>
      <c r="AH8" s="313"/>
      <c r="AI8" s="313"/>
      <c r="AJ8" s="313"/>
      <c r="AK8" s="313"/>
      <c r="AL8" s="313"/>
      <c r="AM8" s="313"/>
      <c r="AN8" s="313"/>
      <c r="AO8" s="313"/>
      <c r="AP8" s="313"/>
      <c r="AQ8" s="313"/>
      <c r="AR8" s="313"/>
    </row>
    <row r="9" spans="2:44">
      <c r="B9" s="7" t="s">
        <v>614</v>
      </c>
      <c r="C9" s="1196">
        <v>0.3</v>
      </c>
      <c r="E9" s="7" t="s">
        <v>614</v>
      </c>
      <c r="F9" s="7"/>
      <c r="G9" s="1196">
        <v>0.5</v>
      </c>
      <c r="I9" s="7" t="s">
        <v>614</v>
      </c>
      <c r="J9" s="7"/>
      <c r="K9" s="1196">
        <v>0.3</v>
      </c>
      <c r="M9" s="7" t="s">
        <v>614</v>
      </c>
      <c r="N9" s="7"/>
      <c r="O9" s="1196">
        <v>0.3</v>
      </c>
      <c r="Q9" s="7" t="s">
        <v>614</v>
      </c>
      <c r="R9" s="7"/>
      <c r="S9" s="1196">
        <v>0.3</v>
      </c>
      <c r="W9" s="313"/>
      <c r="X9" s="313"/>
      <c r="Y9" s="313"/>
      <c r="Z9" s="313"/>
      <c r="AA9" s="313"/>
      <c r="AB9" s="313"/>
      <c r="AC9" s="313"/>
      <c r="AD9" s="313"/>
      <c r="AE9" s="313"/>
      <c r="AF9" s="313"/>
      <c r="AG9" s="313"/>
      <c r="AH9" s="313"/>
      <c r="AI9" s="313"/>
      <c r="AJ9" s="313"/>
      <c r="AK9" s="313"/>
      <c r="AL9" s="313"/>
      <c r="AM9" s="313"/>
      <c r="AN9" s="313"/>
      <c r="AO9" s="313"/>
      <c r="AP9" s="313"/>
      <c r="AQ9" s="313"/>
      <c r="AR9" s="313"/>
    </row>
    <row r="10" spans="2:44">
      <c r="B10" s="7" t="s">
        <v>615</v>
      </c>
      <c r="C10" s="1196">
        <v>0.08</v>
      </c>
      <c r="E10" s="7" t="s">
        <v>615</v>
      </c>
      <c r="G10" s="1196">
        <v>0.08</v>
      </c>
      <c r="I10" s="7" t="s">
        <v>615</v>
      </c>
      <c r="J10" s="7"/>
      <c r="K10" s="1196">
        <v>0.08</v>
      </c>
      <c r="M10" s="7" t="s">
        <v>615</v>
      </c>
      <c r="N10" s="7"/>
      <c r="O10" s="1196">
        <v>0.08</v>
      </c>
      <c r="Q10" s="7" t="s">
        <v>615</v>
      </c>
      <c r="R10" s="7"/>
      <c r="S10" s="1196">
        <v>0.08</v>
      </c>
      <c r="W10" s="313"/>
      <c r="X10" s="313"/>
      <c r="Y10" s="313"/>
      <c r="Z10" s="313"/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</row>
    <row r="11" spans="2:44" s="295" customFormat="1">
      <c r="B11" s="1200"/>
      <c r="C11" s="632"/>
      <c r="D11" s="632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6"/>
      <c r="X11" s="296"/>
      <c r="Y11" s="296"/>
      <c r="Z11" s="296"/>
      <c r="AA11" s="296"/>
      <c r="AB11" s="296"/>
      <c r="AC11" s="296"/>
      <c r="AD11" s="313"/>
      <c r="AE11" s="313"/>
      <c r="AF11" s="313"/>
      <c r="AG11" s="313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</row>
    <row r="12" spans="2:44">
      <c r="B12" s="7" t="s">
        <v>619</v>
      </c>
      <c r="C12" s="7"/>
      <c r="D12" s="7"/>
      <c r="W12" s="313"/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</row>
    <row r="13" spans="2:44">
      <c r="B13" s="7" t="s">
        <v>620</v>
      </c>
      <c r="C13" s="7"/>
      <c r="D13" s="7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</row>
    <row r="14" spans="2:44">
      <c r="B14" s="7" t="s">
        <v>621</v>
      </c>
      <c r="C14" s="7"/>
      <c r="D14" s="7"/>
      <c r="W14" s="313"/>
      <c r="X14" s="313"/>
      <c r="Y14" s="313"/>
      <c r="Z14" s="313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</row>
    <row r="15" spans="2:44">
      <c r="C15" s="7"/>
      <c r="D15" s="7"/>
      <c r="W15" s="313"/>
      <c r="X15" s="313"/>
      <c r="Y15" s="313"/>
      <c r="Z15" s="313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</row>
    <row r="16" spans="2:44">
      <c r="C16" s="7"/>
      <c r="D16" s="7"/>
      <c r="W16" s="313"/>
      <c r="X16" s="313"/>
      <c r="Y16" s="313"/>
      <c r="Z16" s="313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</row>
    <row r="18" spans="2:22" ht="15.75">
      <c r="B18" s="737" t="s">
        <v>622</v>
      </c>
      <c r="C18" s="619"/>
      <c r="D18" s="619"/>
      <c r="E18" s="619"/>
    </row>
    <row r="19" spans="2:22" s="566" customFormat="1">
      <c r="B19" s="569" t="s">
        <v>386</v>
      </c>
      <c r="C19" s="566">
        <v>1</v>
      </c>
      <c r="D19" s="566">
        <f>+C19+1</f>
        <v>2</v>
      </c>
      <c r="E19" s="566">
        <f t="shared" ref="E19:U19" si="0">+D19+1</f>
        <v>3</v>
      </c>
      <c r="F19" s="566">
        <f t="shared" si="0"/>
        <v>4</v>
      </c>
      <c r="G19" s="566">
        <f t="shared" si="0"/>
        <v>5</v>
      </c>
      <c r="H19" s="566">
        <f t="shared" si="0"/>
        <v>6</v>
      </c>
      <c r="I19" s="566">
        <f t="shared" si="0"/>
        <v>7</v>
      </c>
      <c r="J19" s="566">
        <f t="shared" si="0"/>
        <v>8</v>
      </c>
      <c r="K19" s="566">
        <f t="shared" si="0"/>
        <v>9</v>
      </c>
      <c r="L19" s="566">
        <f t="shared" si="0"/>
        <v>10</v>
      </c>
      <c r="M19" s="566">
        <f t="shared" si="0"/>
        <v>11</v>
      </c>
      <c r="N19" s="566">
        <f t="shared" si="0"/>
        <v>12</v>
      </c>
      <c r="O19" s="566">
        <f>+N19+1</f>
        <v>13</v>
      </c>
      <c r="P19" s="566">
        <f t="shared" si="0"/>
        <v>14</v>
      </c>
      <c r="Q19" s="566">
        <f t="shared" si="0"/>
        <v>15</v>
      </c>
      <c r="R19" s="566">
        <f t="shared" si="0"/>
        <v>16</v>
      </c>
      <c r="S19" s="566">
        <f t="shared" si="0"/>
        <v>17</v>
      </c>
      <c r="T19" s="566">
        <f t="shared" si="0"/>
        <v>18</v>
      </c>
      <c r="U19" s="566">
        <f t="shared" si="0"/>
        <v>19</v>
      </c>
      <c r="V19" s="566">
        <f>+U19+1</f>
        <v>20</v>
      </c>
    </row>
    <row r="20" spans="2:22" s="295" customFormat="1">
      <c r="B20" s="20"/>
    </row>
    <row r="21" spans="2:22" s="295" customFormat="1">
      <c r="B21" s="273" t="s">
        <v>30</v>
      </c>
      <c r="C21" s="295">
        <f t="shared" ref="C21:V21" si="1">+C$25*C35</f>
        <v>4950</v>
      </c>
      <c r="D21" s="295">
        <f t="shared" si="1"/>
        <v>9256.5</v>
      </c>
      <c r="E21" s="295">
        <f t="shared" si="1"/>
        <v>10611.315000000001</v>
      </c>
      <c r="F21" s="295">
        <f t="shared" si="1"/>
        <v>11313.2943</v>
      </c>
      <c r="G21" s="295">
        <f t="shared" si="1"/>
        <v>12121.38675</v>
      </c>
      <c r="H21" s="295">
        <f t="shared" si="1"/>
        <v>13874.947366500002</v>
      </c>
      <c r="I21" s="295">
        <f t="shared" si="1"/>
        <v>15817.439997810003</v>
      </c>
      <c r="J21" s="295">
        <f t="shared" si="1"/>
        <v>16450.137597722402</v>
      </c>
      <c r="K21" s="295">
        <f t="shared" si="1"/>
        <v>17108.143101631296</v>
      </c>
      <c r="L21" s="295">
        <f t="shared" si="1"/>
        <v>17792.468825696549</v>
      </c>
      <c r="M21" s="295">
        <f t="shared" si="1"/>
        <v>18504.167578724413</v>
      </c>
      <c r="N21" s="295">
        <f t="shared" si="1"/>
        <v>20169.54266080961</v>
      </c>
      <c r="O21" s="295">
        <f t="shared" si="1"/>
        <v>21984.801500282476</v>
      </c>
      <c r="P21" s="295">
        <f t="shared" si="1"/>
        <v>23963.433635307898</v>
      </c>
      <c r="Q21" s="295">
        <f t="shared" si="1"/>
        <v>26120.14266248561</v>
      </c>
      <c r="R21" s="295">
        <f t="shared" si="1"/>
        <v>37461.783555406997</v>
      </c>
      <c r="S21" s="295">
        <f t="shared" si="1"/>
        <v>35588.694377636646</v>
      </c>
      <c r="T21" s="295">
        <f t="shared" si="1"/>
        <v>33809.259658754818</v>
      </c>
      <c r="U21" s="295">
        <f t="shared" si="1"/>
        <v>32118.796675817073</v>
      </c>
      <c r="V21" s="295">
        <f t="shared" si="1"/>
        <v>30512.856842026224</v>
      </c>
    </row>
    <row r="22" spans="2:22" s="295" customFormat="1">
      <c r="B22" s="273" t="s">
        <v>116</v>
      </c>
      <c r="C22" s="295">
        <f t="shared" ref="C22:V22" si="2">+C$25*C36</f>
        <v>3300</v>
      </c>
      <c r="D22" s="295">
        <f t="shared" si="2"/>
        <v>11781.000000000002</v>
      </c>
      <c r="E22" s="295">
        <f t="shared" si="2"/>
        <v>11427.570000000002</v>
      </c>
      <c r="F22" s="295">
        <f t="shared" si="2"/>
        <v>11313.2943</v>
      </c>
      <c r="G22" s="295">
        <f t="shared" si="2"/>
        <v>11313.2943</v>
      </c>
      <c r="H22" s="295">
        <f t="shared" si="2"/>
        <v>12242.6006175</v>
      </c>
      <c r="I22" s="295">
        <f t="shared" si="2"/>
        <v>12487.45262985</v>
      </c>
      <c r="J22" s="295">
        <f t="shared" si="2"/>
        <v>12986.950735044002</v>
      </c>
      <c r="K22" s="295">
        <f t="shared" si="2"/>
        <v>13506.42876444576</v>
      </c>
      <c r="L22" s="295">
        <f t="shared" si="2"/>
        <v>14046.68591502359</v>
      </c>
      <c r="M22" s="295">
        <f t="shared" si="2"/>
        <v>9739.03556774969</v>
      </c>
      <c r="N22" s="295">
        <f t="shared" si="2"/>
        <v>10615.548768847164</v>
      </c>
      <c r="O22" s="295">
        <f t="shared" si="2"/>
        <v>11570.948158043408</v>
      </c>
      <c r="P22" s="295">
        <f t="shared" si="2"/>
        <v>12612.333492267317</v>
      </c>
      <c r="Q22" s="295">
        <f t="shared" si="2"/>
        <v>13747.443506571375</v>
      </c>
      <c r="R22" s="295">
        <f t="shared" si="2"/>
        <v>44954.140266488394</v>
      </c>
      <c r="S22" s="295">
        <f t="shared" si="2"/>
        <v>42706.433253163974</v>
      </c>
      <c r="T22" s="295">
        <f t="shared" si="2"/>
        <v>40571.111590505781</v>
      </c>
      <c r="U22" s="295">
        <f t="shared" si="2"/>
        <v>38542.556010980486</v>
      </c>
      <c r="V22" s="295">
        <f t="shared" si="2"/>
        <v>36615.42821043147</v>
      </c>
    </row>
    <row r="23" spans="2:22" s="295" customFormat="1">
      <c r="B23" s="20"/>
    </row>
    <row r="24" spans="2:22" s="295" customFormat="1">
      <c r="B24" s="1201" t="s">
        <v>129</v>
      </c>
    </row>
    <row r="25" spans="2:22" s="295" customFormat="1">
      <c r="B25" s="20" t="s">
        <v>178</v>
      </c>
      <c r="C25" s="1187">
        <f>+Devel_Financials!C8*Devel_Financials!C9</f>
        <v>82500</v>
      </c>
      <c r="D25" s="295">
        <f>+C28</f>
        <v>84150</v>
      </c>
      <c r="E25" s="295">
        <f t="shared" ref="E25:V25" si="3">+D28</f>
        <v>81625.5</v>
      </c>
      <c r="F25" s="295">
        <f t="shared" si="3"/>
        <v>80809.244999999995</v>
      </c>
      <c r="G25" s="295">
        <f t="shared" si="3"/>
        <v>80809.244999999995</v>
      </c>
      <c r="H25" s="295">
        <f t="shared" si="3"/>
        <v>81617.337450000006</v>
      </c>
      <c r="I25" s="295">
        <f t="shared" si="3"/>
        <v>83249.68419900001</v>
      </c>
      <c r="J25" s="295">
        <f t="shared" si="3"/>
        <v>86579.671566960009</v>
      </c>
      <c r="K25" s="295">
        <f t="shared" si="3"/>
        <v>90042.858429638407</v>
      </c>
      <c r="L25" s="295">
        <f t="shared" si="3"/>
        <v>93644.572766823941</v>
      </c>
      <c r="M25" s="295">
        <f t="shared" si="3"/>
        <v>97390.355677496904</v>
      </c>
      <c r="N25" s="295">
        <f t="shared" si="3"/>
        <v>106155.48768847164</v>
      </c>
      <c r="O25" s="295">
        <f t="shared" si="3"/>
        <v>115709.48158043408</v>
      </c>
      <c r="P25" s="295">
        <f t="shared" si="3"/>
        <v>126123.33492267315</v>
      </c>
      <c r="Q25" s="295">
        <f t="shared" si="3"/>
        <v>137474.43506571374</v>
      </c>
      <c r="R25" s="295">
        <f t="shared" si="3"/>
        <v>149847.13422162799</v>
      </c>
      <c r="S25" s="295">
        <f t="shared" si="3"/>
        <v>142354.77751054658</v>
      </c>
      <c r="T25" s="295">
        <f t="shared" si="3"/>
        <v>135237.03863501927</v>
      </c>
      <c r="U25" s="295">
        <f t="shared" si="3"/>
        <v>128475.18670326829</v>
      </c>
      <c r="V25" s="295">
        <f t="shared" si="3"/>
        <v>122051.42736810489</v>
      </c>
    </row>
    <row r="26" spans="2:22" s="295" customFormat="1">
      <c r="B26" s="20" t="s">
        <v>623</v>
      </c>
      <c r="C26" s="295">
        <f>+C21</f>
        <v>4950</v>
      </c>
      <c r="D26" s="295">
        <f>+D21</f>
        <v>9256.5</v>
      </c>
      <c r="E26" s="295">
        <f t="shared" ref="E26:V26" si="4">+E21</f>
        <v>10611.315000000001</v>
      </c>
      <c r="F26" s="295">
        <f t="shared" si="4"/>
        <v>11313.2943</v>
      </c>
      <c r="G26" s="295">
        <f t="shared" si="4"/>
        <v>12121.38675</v>
      </c>
      <c r="H26" s="295">
        <f t="shared" si="4"/>
        <v>13874.947366500002</v>
      </c>
      <c r="I26" s="295">
        <f t="shared" si="4"/>
        <v>15817.439997810003</v>
      </c>
      <c r="J26" s="295">
        <f t="shared" si="4"/>
        <v>16450.137597722402</v>
      </c>
      <c r="K26" s="295">
        <f t="shared" si="4"/>
        <v>17108.143101631296</v>
      </c>
      <c r="L26" s="295">
        <f t="shared" si="4"/>
        <v>17792.468825696549</v>
      </c>
      <c r="M26" s="295">
        <f t="shared" si="4"/>
        <v>18504.167578724413</v>
      </c>
      <c r="N26" s="295">
        <f t="shared" si="4"/>
        <v>20169.54266080961</v>
      </c>
      <c r="O26" s="295">
        <f t="shared" si="4"/>
        <v>21984.801500282476</v>
      </c>
      <c r="P26" s="295">
        <f t="shared" si="4"/>
        <v>23963.433635307898</v>
      </c>
      <c r="Q26" s="295">
        <f t="shared" si="4"/>
        <v>26120.14266248561</v>
      </c>
      <c r="R26" s="295">
        <f t="shared" si="4"/>
        <v>37461.783555406997</v>
      </c>
      <c r="S26" s="295">
        <f t="shared" si="4"/>
        <v>35588.694377636646</v>
      </c>
      <c r="T26" s="295">
        <f t="shared" si="4"/>
        <v>33809.259658754818</v>
      </c>
      <c r="U26" s="295">
        <f t="shared" si="4"/>
        <v>32118.796675817073</v>
      </c>
      <c r="V26" s="295">
        <f t="shared" si="4"/>
        <v>30512.856842026224</v>
      </c>
    </row>
    <row r="27" spans="2:22" s="295" customFormat="1">
      <c r="B27" s="20" t="s">
        <v>624</v>
      </c>
      <c r="C27" s="295">
        <f>-C22</f>
        <v>-3300</v>
      </c>
      <c r="D27" s="295">
        <f>-D22</f>
        <v>-11781.000000000002</v>
      </c>
      <c r="E27" s="295">
        <f t="shared" ref="E27:V27" si="5">-E22</f>
        <v>-11427.570000000002</v>
      </c>
      <c r="F27" s="295">
        <f t="shared" si="5"/>
        <v>-11313.2943</v>
      </c>
      <c r="G27" s="295">
        <f t="shared" si="5"/>
        <v>-11313.2943</v>
      </c>
      <c r="H27" s="295">
        <f t="shared" si="5"/>
        <v>-12242.6006175</v>
      </c>
      <c r="I27" s="295">
        <f t="shared" si="5"/>
        <v>-12487.45262985</v>
      </c>
      <c r="J27" s="295">
        <f t="shared" si="5"/>
        <v>-12986.950735044002</v>
      </c>
      <c r="K27" s="295">
        <f t="shared" si="5"/>
        <v>-13506.42876444576</v>
      </c>
      <c r="L27" s="295">
        <f t="shared" si="5"/>
        <v>-14046.68591502359</v>
      </c>
      <c r="M27" s="295">
        <f t="shared" si="5"/>
        <v>-9739.03556774969</v>
      </c>
      <c r="N27" s="295">
        <f t="shared" si="5"/>
        <v>-10615.548768847164</v>
      </c>
      <c r="O27" s="295">
        <f t="shared" si="5"/>
        <v>-11570.948158043408</v>
      </c>
      <c r="P27" s="295">
        <f t="shared" si="5"/>
        <v>-12612.333492267317</v>
      </c>
      <c r="Q27" s="295">
        <f t="shared" si="5"/>
        <v>-13747.443506571375</v>
      </c>
      <c r="R27" s="295">
        <f t="shared" si="5"/>
        <v>-44954.140266488394</v>
      </c>
      <c r="S27" s="295">
        <f t="shared" si="5"/>
        <v>-42706.433253163974</v>
      </c>
      <c r="T27" s="295">
        <f t="shared" si="5"/>
        <v>-40571.111590505781</v>
      </c>
      <c r="U27" s="295">
        <f t="shared" si="5"/>
        <v>-38542.556010980486</v>
      </c>
      <c r="V27" s="295">
        <f t="shared" si="5"/>
        <v>-36615.42821043147</v>
      </c>
    </row>
    <row r="28" spans="2:22" s="295" customFormat="1">
      <c r="B28" s="20" t="s">
        <v>179</v>
      </c>
      <c r="C28" s="1202">
        <f>SUM(C25:C27)</f>
        <v>84150</v>
      </c>
      <c r="D28" s="1202">
        <f>SUM(D25:D27)</f>
        <v>81625.5</v>
      </c>
      <c r="E28" s="1202">
        <f t="shared" ref="E28:V28" si="6">SUM(E25:E27)</f>
        <v>80809.244999999995</v>
      </c>
      <c r="F28" s="1202">
        <f t="shared" si="6"/>
        <v>80809.244999999995</v>
      </c>
      <c r="G28" s="1202">
        <f t="shared" si="6"/>
        <v>81617.337450000006</v>
      </c>
      <c r="H28" s="1202">
        <f t="shared" si="6"/>
        <v>83249.68419900001</v>
      </c>
      <c r="I28" s="1202">
        <f t="shared" si="6"/>
        <v>86579.671566960009</v>
      </c>
      <c r="J28" s="1202">
        <f t="shared" si="6"/>
        <v>90042.858429638407</v>
      </c>
      <c r="K28" s="1202">
        <f t="shared" si="6"/>
        <v>93644.572766823941</v>
      </c>
      <c r="L28" s="1202">
        <f t="shared" si="6"/>
        <v>97390.355677496904</v>
      </c>
      <c r="M28" s="1202">
        <f t="shared" si="6"/>
        <v>106155.48768847164</v>
      </c>
      <c r="N28" s="1202">
        <f t="shared" si="6"/>
        <v>115709.48158043408</v>
      </c>
      <c r="O28" s="1202">
        <f t="shared" si="6"/>
        <v>126123.33492267315</v>
      </c>
      <c r="P28" s="1202">
        <f t="shared" si="6"/>
        <v>137474.43506571374</v>
      </c>
      <c r="Q28" s="1202">
        <f t="shared" si="6"/>
        <v>149847.13422162799</v>
      </c>
      <c r="R28" s="1202">
        <f t="shared" si="6"/>
        <v>142354.77751054658</v>
      </c>
      <c r="S28" s="1202">
        <f t="shared" si="6"/>
        <v>135237.03863501927</v>
      </c>
      <c r="T28" s="1202">
        <f t="shared" si="6"/>
        <v>128475.18670326829</v>
      </c>
      <c r="U28" s="1202">
        <f t="shared" si="6"/>
        <v>122051.42736810489</v>
      </c>
      <c r="V28" s="1202">
        <f t="shared" si="6"/>
        <v>115948.85599969965</v>
      </c>
    </row>
    <row r="29" spans="2:22" s="295" customFormat="1">
      <c r="B29" s="20"/>
    </row>
    <row r="30" spans="2:22" s="295" customFormat="1">
      <c r="B30" s="1201" t="s">
        <v>130</v>
      </c>
    </row>
    <row r="31" spans="2:22" s="295" customFormat="1">
      <c r="B31" s="20" t="s">
        <v>178</v>
      </c>
      <c r="C31" s="1187">
        <f>+Devel_Financials!C8-Devel_Financials!C25</f>
        <v>192500</v>
      </c>
      <c r="D31" s="295">
        <f>+C33</f>
        <v>188650</v>
      </c>
      <c r="E31" s="295">
        <f t="shared" ref="E31:V31" si="7">+D33</f>
        <v>177100</v>
      </c>
      <c r="F31" s="295">
        <f t="shared" si="7"/>
        <v>165550</v>
      </c>
      <c r="G31" s="295">
        <f t="shared" si="7"/>
        <v>154000</v>
      </c>
      <c r="H31" s="295">
        <f t="shared" si="7"/>
        <v>142450</v>
      </c>
      <c r="I31" s="295">
        <f t="shared" si="7"/>
        <v>128975</v>
      </c>
      <c r="J31" s="295">
        <f t="shared" si="7"/>
        <v>115500</v>
      </c>
      <c r="K31" s="295">
        <f t="shared" si="7"/>
        <v>102025</v>
      </c>
      <c r="L31" s="295">
        <f t="shared" si="7"/>
        <v>88550</v>
      </c>
      <c r="M31" s="295">
        <f t="shared" si="7"/>
        <v>75075</v>
      </c>
      <c r="N31" s="295">
        <f t="shared" si="7"/>
        <v>61600</v>
      </c>
      <c r="O31" s="295">
        <f t="shared" si="7"/>
        <v>46200</v>
      </c>
      <c r="P31" s="295">
        <f t="shared" si="7"/>
        <v>28875</v>
      </c>
      <c r="Q31" s="295">
        <f t="shared" si="7"/>
        <v>9625</v>
      </c>
      <c r="R31" s="295">
        <f t="shared" si="7"/>
        <v>0</v>
      </c>
      <c r="S31" s="295">
        <f t="shared" si="7"/>
        <v>0</v>
      </c>
      <c r="T31" s="295">
        <f t="shared" si="7"/>
        <v>0</v>
      </c>
      <c r="U31" s="295">
        <f t="shared" si="7"/>
        <v>0</v>
      </c>
      <c r="V31" s="295">
        <f t="shared" si="7"/>
        <v>0</v>
      </c>
    </row>
    <row r="32" spans="2:22" s="295" customFormat="1">
      <c r="B32" s="20" t="s">
        <v>625</v>
      </c>
      <c r="C32" s="295">
        <f>-$C$31*C37</f>
        <v>-3850</v>
      </c>
      <c r="D32" s="295">
        <f>-$C$31*D37</f>
        <v>-11550</v>
      </c>
      <c r="E32" s="295">
        <f t="shared" ref="E32:V32" si="8">-$C$31*E37</f>
        <v>-11550</v>
      </c>
      <c r="F32" s="295">
        <f t="shared" si="8"/>
        <v>-11550</v>
      </c>
      <c r="G32" s="295">
        <f t="shared" si="8"/>
        <v>-11550</v>
      </c>
      <c r="H32" s="295">
        <f t="shared" si="8"/>
        <v>-13475.000000000002</v>
      </c>
      <c r="I32" s="295">
        <f t="shared" si="8"/>
        <v>-13475.000000000002</v>
      </c>
      <c r="J32" s="295">
        <f t="shared" si="8"/>
        <v>-13475.000000000002</v>
      </c>
      <c r="K32" s="295">
        <f t="shared" si="8"/>
        <v>-13475.000000000002</v>
      </c>
      <c r="L32" s="295">
        <f t="shared" si="8"/>
        <v>-13475.000000000002</v>
      </c>
      <c r="M32" s="295">
        <f t="shared" si="8"/>
        <v>-13475.000000000002</v>
      </c>
      <c r="N32" s="295">
        <f t="shared" si="8"/>
        <v>-15400</v>
      </c>
      <c r="O32" s="295">
        <f t="shared" si="8"/>
        <v>-17325</v>
      </c>
      <c r="P32" s="295">
        <f t="shared" si="8"/>
        <v>-19250</v>
      </c>
      <c r="Q32" s="295">
        <f t="shared" si="8"/>
        <v>-9625</v>
      </c>
      <c r="R32" s="295">
        <f t="shared" si="8"/>
        <v>0</v>
      </c>
      <c r="S32" s="295">
        <f t="shared" si="8"/>
        <v>0</v>
      </c>
      <c r="T32" s="295">
        <f t="shared" si="8"/>
        <v>0</v>
      </c>
      <c r="U32" s="295">
        <f t="shared" si="8"/>
        <v>0</v>
      </c>
      <c r="V32" s="295">
        <f t="shared" si="8"/>
        <v>0</v>
      </c>
    </row>
    <row r="33" spans="2:22" s="295" customFormat="1">
      <c r="B33" s="20" t="s">
        <v>179</v>
      </c>
      <c r="C33" s="1202">
        <f>SUM(C31:C32)</f>
        <v>188650</v>
      </c>
      <c r="D33" s="1202">
        <f>SUM(D31:D32)</f>
        <v>177100</v>
      </c>
      <c r="E33" s="1202">
        <f t="shared" ref="E33:V33" si="9">SUM(E31:E32)</f>
        <v>165550</v>
      </c>
      <c r="F33" s="1202">
        <f t="shared" si="9"/>
        <v>154000</v>
      </c>
      <c r="G33" s="1202">
        <f t="shared" si="9"/>
        <v>142450</v>
      </c>
      <c r="H33" s="1202">
        <f t="shared" si="9"/>
        <v>128975</v>
      </c>
      <c r="I33" s="1202">
        <f t="shared" si="9"/>
        <v>115500</v>
      </c>
      <c r="J33" s="1202">
        <f t="shared" si="9"/>
        <v>102025</v>
      </c>
      <c r="K33" s="1202">
        <f t="shared" si="9"/>
        <v>88550</v>
      </c>
      <c r="L33" s="1202">
        <f t="shared" si="9"/>
        <v>75075</v>
      </c>
      <c r="M33" s="1202">
        <f t="shared" si="9"/>
        <v>61600</v>
      </c>
      <c r="N33" s="1202">
        <f t="shared" si="9"/>
        <v>46200</v>
      </c>
      <c r="O33" s="1202">
        <f t="shared" si="9"/>
        <v>28875</v>
      </c>
      <c r="P33" s="1202">
        <f t="shared" si="9"/>
        <v>9625</v>
      </c>
      <c r="Q33" s="1202">
        <f t="shared" si="9"/>
        <v>0</v>
      </c>
      <c r="R33" s="1202">
        <f t="shared" si="9"/>
        <v>0</v>
      </c>
      <c r="S33" s="1202">
        <f t="shared" si="9"/>
        <v>0</v>
      </c>
      <c r="T33" s="1202">
        <f t="shared" si="9"/>
        <v>0</v>
      </c>
      <c r="U33" s="1202">
        <f t="shared" si="9"/>
        <v>0</v>
      </c>
      <c r="V33" s="1202">
        <f t="shared" si="9"/>
        <v>0</v>
      </c>
    </row>
    <row r="34" spans="2:22" s="295" customFormat="1">
      <c r="B34" s="20"/>
    </row>
    <row r="35" spans="2:22" s="578" customFormat="1">
      <c r="B35" s="197" t="s">
        <v>626</v>
      </c>
      <c r="C35" s="1203">
        <v>0.06</v>
      </c>
      <c r="D35" s="1203">
        <v>0.11</v>
      </c>
      <c r="E35" s="1203">
        <v>0.13</v>
      </c>
      <c r="F35" s="1203">
        <v>0.14000000000000001</v>
      </c>
      <c r="G35" s="1203">
        <v>0.15</v>
      </c>
      <c r="H35" s="1203">
        <v>0.17</v>
      </c>
      <c r="I35" s="1203">
        <v>0.19</v>
      </c>
      <c r="J35" s="1203">
        <v>0.19</v>
      </c>
      <c r="K35" s="1203">
        <v>0.19</v>
      </c>
      <c r="L35" s="1203">
        <v>0.19</v>
      </c>
      <c r="M35" s="1203">
        <v>0.19</v>
      </c>
      <c r="N35" s="1203">
        <v>0.19</v>
      </c>
      <c r="O35" s="1203">
        <v>0.19</v>
      </c>
      <c r="P35" s="1203">
        <v>0.19</v>
      </c>
      <c r="Q35" s="1203">
        <v>0.19</v>
      </c>
      <c r="R35" s="1203">
        <v>0.25</v>
      </c>
      <c r="S35" s="1203">
        <v>0.25</v>
      </c>
      <c r="T35" s="1203">
        <v>0.25</v>
      </c>
      <c r="U35" s="1203">
        <v>0.25</v>
      </c>
      <c r="V35" s="1203">
        <v>0.25</v>
      </c>
    </row>
    <row r="36" spans="2:22" s="578" customFormat="1">
      <c r="B36" s="197" t="s">
        <v>627</v>
      </c>
      <c r="C36" s="1203">
        <v>0.04</v>
      </c>
      <c r="D36" s="1203">
        <v>0.14000000000000001</v>
      </c>
      <c r="E36" s="1203">
        <v>0.14000000000000001</v>
      </c>
      <c r="F36" s="1203">
        <v>0.14000000000000001</v>
      </c>
      <c r="G36" s="1203">
        <v>0.14000000000000001</v>
      </c>
      <c r="H36" s="1203">
        <v>0.15</v>
      </c>
      <c r="I36" s="1203">
        <v>0.15</v>
      </c>
      <c r="J36" s="1203">
        <v>0.15</v>
      </c>
      <c r="K36" s="1203">
        <v>0.15</v>
      </c>
      <c r="L36" s="1203">
        <v>0.15</v>
      </c>
      <c r="M36" s="1203">
        <v>0.1</v>
      </c>
      <c r="N36" s="1203">
        <v>0.1</v>
      </c>
      <c r="O36" s="1203">
        <v>0.1</v>
      </c>
      <c r="P36" s="1203">
        <v>0.1</v>
      </c>
      <c r="Q36" s="1203">
        <v>0.1</v>
      </c>
      <c r="R36" s="1203">
        <v>0.3</v>
      </c>
      <c r="S36" s="1203">
        <v>0.3</v>
      </c>
      <c r="T36" s="1203">
        <v>0.3</v>
      </c>
      <c r="U36" s="1203">
        <v>0.3</v>
      </c>
      <c r="V36" s="1203">
        <v>0.3</v>
      </c>
    </row>
    <row r="37" spans="2:22" s="578" customFormat="1">
      <c r="B37" s="197" t="s">
        <v>628</v>
      </c>
      <c r="C37" s="1203">
        <v>0.02</v>
      </c>
      <c r="D37" s="1203">
        <v>0.06</v>
      </c>
      <c r="E37" s="1203">
        <v>0.06</v>
      </c>
      <c r="F37" s="1203">
        <v>0.06</v>
      </c>
      <c r="G37" s="1203">
        <v>0.06</v>
      </c>
      <c r="H37" s="1203">
        <v>7.0000000000000007E-2</v>
      </c>
      <c r="I37" s="1203">
        <v>7.0000000000000007E-2</v>
      </c>
      <c r="J37" s="1203">
        <v>7.0000000000000007E-2</v>
      </c>
      <c r="K37" s="1203">
        <v>7.0000000000000007E-2</v>
      </c>
      <c r="L37" s="1203">
        <v>7.0000000000000007E-2</v>
      </c>
      <c r="M37" s="1203">
        <v>7.0000000000000007E-2</v>
      </c>
      <c r="N37" s="1203">
        <v>0.08</v>
      </c>
      <c r="O37" s="1203">
        <v>0.09</v>
      </c>
      <c r="P37" s="1203">
        <v>0.1</v>
      </c>
      <c r="Q37" s="1203">
        <v>0.05</v>
      </c>
      <c r="R37" s="1203"/>
      <c r="S37" s="1203"/>
      <c r="T37" s="1203"/>
      <c r="U37" s="1203"/>
      <c r="V37" s="1203"/>
    </row>
    <row r="38" spans="2:22" s="578" customFormat="1">
      <c r="B38" s="197"/>
    </row>
    <row r="39" spans="2:22">
      <c r="B39" s="1204" t="s">
        <v>629</v>
      </c>
    </row>
    <row r="40" spans="2:22" s="1205" customFormat="1">
      <c r="B40" s="1198" t="s">
        <v>630</v>
      </c>
      <c r="C40" s="1205">
        <f>NPV(0.14,C22:V22)-C25</f>
        <v>3191.0184714774223</v>
      </c>
    </row>
    <row r="41" spans="2:22" s="957" customFormat="1">
      <c r="B41" s="1206" t="s">
        <v>631</v>
      </c>
      <c r="C41" s="1207">
        <f>IRR(B42:V42,0.1)</f>
        <v>0.14488740067412181</v>
      </c>
    </row>
    <row r="42" spans="2:22" s="1210" customFormat="1">
      <c r="B42" s="1208">
        <f>-C25</f>
        <v>-82500</v>
      </c>
      <c r="C42" s="1209">
        <f>+C22</f>
        <v>3300</v>
      </c>
      <c r="D42" s="1209">
        <f t="shared" ref="D42:V42" si="10">+D22</f>
        <v>11781.000000000002</v>
      </c>
      <c r="E42" s="1209">
        <f t="shared" si="10"/>
        <v>11427.570000000002</v>
      </c>
      <c r="F42" s="1209">
        <f t="shared" si="10"/>
        <v>11313.2943</v>
      </c>
      <c r="G42" s="1209">
        <f t="shared" si="10"/>
        <v>11313.2943</v>
      </c>
      <c r="H42" s="1209">
        <f t="shared" si="10"/>
        <v>12242.6006175</v>
      </c>
      <c r="I42" s="1209">
        <f t="shared" si="10"/>
        <v>12487.45262985</v>
      </c>
      <c r="J42" s="1209">
        <f t="shared" si="10"/>
        <v>12986.950735044002</v>
      </c>
      <c r="K42" s="1209">
        <f t="shared" si="10"/>
        <v>13506.42876444576</v>
      </c>
      <c r="L42" s="1209">
        <f t="shared" si="10"/>
        <v>14046.68591502359</v>
      </c>
      <c r="M42" s="1209">
        <f t="shared" si="10"/>
        <v>9739.03556774969</v>
      </c>
      <c r="N42" s="1209">
        <f t="shared" si="10"/>
        <v>10615.548768847164</v>
      </c>
      <c r="O42" s="1209">
        <f t="shared" si="10"/>
        <v>11570.948158043408</v>
      </c>
      <c r="P42" s="1209">
        <f t="shared" si="10"/>
        <v>12612.333492267317</v>
      </c>
      <c r="Q42" s="1209">
        <f t="shared" si="10"/>
        <v>13747.443506571375</v>
      </c>
      <c r="R42" s="1209">
        <f t="shared" si="10"/>
        <v>44954.140266488394</v>
      </c>
      <c r="S42" s="1209">
        <f t="shared" si="10"/>
        <v>42706.433253163974</v>
      </c>
      <c r="T42" s="1209">
        <f t="shared" si="10"/>
        <v>40571.111590505781</v>
      </c>
      <c r="U42" s="1209">
        <f t="shared" si="10"/>
        <v>38542.556010980486</v>
      </c>
      <c r="V42" s="1209">
        <f t="shared" si="10"/>
        <v>36615.42821043147</v>
      </c>
    </row>
    <row r="43" spans="2:22" s="1210" customFormat="1">
      <c r="B43" s="1208"/>
      <c r="C43" s="1209"/>
      <c r="D43" s="1209"/>
      <c r="E43" s="1209"/>
      <c r="F43" s="1209"/>
      <c r="G43" s="1209"/>
      <c r="H43" s="1209"/>
      <c r="I43" s="1209"/>
      <c r="J43" s="1209"/>
      <c r="K43" s="1209"/>
      <c r="L43" s="1209"/>
      <c r="M43" s="1209"/>
      <c r="N43" s="1209"/>
      <c r="O43" s="1209"/>
      <c r="P43" s="1209"/>
      <c r="Q43" s="1209"/>
      <c r="R43" s="1209"/>
      <c r="S43" s="1209"/>
      <c r="T43" s="1209"/>
      <c r="U43" s="1209"/>
      <c r="V43" s="1209"/>
    </row>
    <row r="44" spans="2:22" s="1210" customFormat="1">
      <c r="B44" s="1201" t="s">
        <v>23</v>
      </c>
    </row>
    <row r="45" spans="2:22" s="1210" customFormat="1">
      <c r="B45" s="1336" t="s">
        <v>30</v>
      </c>
      <c r="C45" s="295">
        <f t="shared" ref="C45:V45" si="11">C21</f>
        <v>4950</v>
      </c>
      <c r="D45" s="295">
        <f t="shared" si="11"/>
        <v>9256.5</v>
      </c>
      <c r="E45" s="295">
        <f t="shared" si="11"/>
        <v>10611.315000000001</v>
      </c>
      <c r="F45" s="295">
        <f t="shared" si="11"/>
        <v>11313.2943</v>
      </c>
      <c r="G45" s="295">
        <f t="shared" si="11"/>
        <v>12121.38675</v>
      </c>
      <c r="H45" s="295">
        <f t="shared" si="11"/>
        <v>13874.947366500002</v>
      </c>
      <c r="I45" s="295">
        <f t="shared" si="11"/>
        <v>15817.439997810003</v>
      </c>
      <c r="J45" s="295">
        <f t="shared" si="11"/>
        <v>16450.137597722402</v>
      </c>
      <c r="K45" s="295">
        <f t="shared" si="11"/>
        <v>17108.143101631296</v>
      </c>
      <c r="L45" s="295">
        <f t="shared" si="11"/>
        <v>17792.468825696549</v>
      </c>
      <c r="M45" s="295">
        <f t="shared" si="11"/>
        <v>18504.167578724413</v>
      </c>
      <c r="N45" s="295">
        <f t="shared" si="11"/>
        <v>20169.54266080961</v>
      </c>
      <c r="O45" s="295">
        <f t="shared" si="11"/>
        <v>21984.801500282476</v>
      </c>
      <c r="P45" s="295">
        <f t="shared" si="11"/>
        <v>23963.433635307898</v>
      </c>
      <c r="Q45" s="295">
        <f t="shared" si="11"/>
        <v>26120.14266248561</v>
      </c>
      <c r="R45" s="295">
        <f t="shared" si="11"/>
        <v>37461.783555406997</v>
      </c>
      <c r="S45" s="295">
        <f t="shared" si="11"/>
        <v>35588.694377636646</v>
      </c>
      <c r="T45" s="295">
        <f t="shared" si="11"/>
        <v>33809.259658754818</v>
      </c>
      <c r="U45" s="295">
        <f t="shared" si="11"/>
        <v>32118.796675817073</v>
      </c>
      <c r="V45" s="295">
        <f t="shared" si="11"/>
        <v>30512.856842026224</v>
      </c>
    </row>
    <row r="46" spans="2:22" s="1210" customFormat="1">
      <c r="B46" s="1336" t="s">
        <v>769</v>
      </c>
      <c r="C46" s="1336">
        <f>+C45/(1-0.385)-C45</f>
        <v>3098.7804878048782</v>
      </c>
      <c r="D46" s="1336">
        <f t="shared" ref="D46:V46" si="12">+D45/(1-0.385)-D45</f>
        <v>5794.7195121951227</v>
      </c>
      <c r="E46" s="1336">
        <f t="shared" si="12"/>
        <v>6642.8557317073191</v>
      </c>
      <c r="F46" s="1336">
        <f t="shared" si="12"/>
        <v>7082.3061878048775</v>
      </c>
      <c r="G46" s="1336">
        <f t="shared" si="12"/>
        <v>7588.1852012195141</v>
      </c>
      <c r="H46" s="1336">
        <f t="shared" si="12"/>
        <v>8685.9426603292686</v>
      </c>
      <c r="I46" s="1336">
        <f t="shared" si="12"/>
        <v>9901.9746327753692</v>
      </c>
      <c r="J46" s="1336">
        <f t="shared" si="12"/>
        <v>10298.053618086382</v>
      </c>
      <c r="K46" s="1336">
        <f t="shared" si="12"/>
        <v>10709.975762809838</v>
      </c>
      <c r="L46" s="1336">
        <f t="shared" si="12"/>
        <v>11138.374793322229</v>
      </c>
      <c r="M46" s="1336">
        <f t="shared" si="12"/>
        <v>11583.909785055122</v>
      </c>
      <c r="N46" s="1336">
        <f t="shared" si="12"/>
        <v>12626.461665710078</v>
      </c>
      <c r="O46" s="1336">
        <f t="shared" si="12"/>
        <v>13762.843215623987</v>
      </c>
      <c r="P46" s="1336">
        <f t="shared" si="12"/>
        <v>15001.499105030147</v>
      </c>
      <c r="Q46" s="1336">
        <f t="shared" si="12"/>
        <v>16351.634024482861</v>
      </c>
      <c r="R46" s="1336">
        <f t="shared" si="12"/>
        <v>23451.685640376738</v>
      </c>
      <c r="S46" s="1336">
        <f t="shared" si="12"/>
        <v>22279.101358357904</v>
      </c>
      <c r="T46" s="1336">
        <f t="shared" si="12"/>
        <v>21165.14629044001</v>
      </c>
      <c r="U46" s="1336">
        <f t="shared" si="12"/>
        <v>20106.888975918009</v>
      </c>
      <c r="V46" s="1336">
        <f t="shared" si="12"/>
        <v>19101.544527122111</v>
      </c>
    </row>
    <row r="47" spans="2:22" s="1210" customFormat="1">
      <c r="B47" s="1336" t="s">
        <v>770</v>
      </c>
      <c r="C47" s="295">
        <f>$C$10*C31</f>
        <v>15400</v>
      </c>
      <c r="D47" s="295">
        <f t="shared" ref="D47:V47" si="13">$C$10*D31</f>
        <v>15092</v>
      </c>
      <c r="E47" s="295">
        <f t="shared" si="13"/>
        <v>14168</v>
      </c>
      <c r="F47" s="295">
        <f t="shared" si="13"/>
        <v>13244</v>
      </c>
      <c r="G47" s="295">
        <f t="shared" si="13"/>
        <v>12320</v>
      </c>
      <c r="H47" s="295">
        <f t="shared" si="13"/>
        <v>11396</v>
      </c>
      <c r="I47" s="295">
        <f t="shared" si="13"/>
        <v>10318</v>
      </c>
      <c r="J47" s="295">
        <f t="shared" si="13"/>
        <v>9240</v>
      </c>
      <c r="K47" s="295">
        <f t="shared" si="13"/>
        <v>8162</v>
      </c>
      <c r="L47" s="295">
        <f t="shared" si="13"/>
        <v>7084</v>
      </c>
      <c r="M47" s="295">
        <f t="shared" si="13"/>
        <v>6006</v>
      </c>
      <c r="N47" s="295">
        <f t="shared" si="13"/>
        <v>4928</v>
      </c>
      <c r="O47" s="295">
        <f t="shared" si="13"/>
        <v>3696</v>
      </c>
      <c r="P47" s="295">
        <f t="shared" si="13"/>
        <v>2310</v>
      </c>
      <c r="Q47" s="295">
        <f t="shared" si="13"/>
        <v>770</v>
      </c>
      <c r="R47" s="295">
        <f t="shared" si="13"/>
        <v>0</v>
      </c>
      <c r="S47" s="295">
        <f t="shared" si="13"/>
        <v>0</v>
      </c>
      <c r="T47" s="295">
        <f t="shared" si="13"/>
        <v>0</v>
      </c>
      <c r="U47" s="295">
        <f t="shared" si="13"/>
        <v>0</v>
      </c>
      <c r="V47" s="295">
        <f t="shared" si="13"/>
        <v>0</v>
      </c>
    </row>
    <row r="48" spans="2:22" s="1210" customFormat="1">
      <c r="B48" s="1336" t="s">
        <v>771</v>
      </c>
      <c r="C48" s="297">
        <f>$C$8/30/2</f>
        <v>4583.333333333333</v>
      </c>
      <c r="D48" s="297">
        <f t="shared" ref="D48:V48" si="14">$C$8/30</f>
        <v>9166.6666666666661</v>
      </c>
      <c r="E48" s="297">
        <f t="shared" si="14"/>
        <v>9166.6666666666661</v>
      </c>
      <c r="F48" s="297">
        <f t="shared" si="14"/>
        <v>9166.6666666666661</v>
      </c>
      <c r="G48" s="297">
        <f t="shared" si="14"/>
        <v>9166.6666666666661</v>
      </c>
      <c r="H48" s="297">
        <f t="shared" si="14"/>
        <v>9166.6666666666661</v>
      </c>
      <c r="I48" s="297">
        <f t="shared" si="14"/>
        <v>9166.6666666666661</v>
      </c>
      <c r="J48" s="297">
        <f t="shared" si="14"/>
        <v>9166.6666666666661</v>
      </c>
      <c r="K48" s="297">
        <f t="shared" si="14"/>
        <v>9166.6666666666661</v>
      </c>
      <c r="L48" s="297">
        <f t="shared" si="14"/>
        <v>9166.6666666666661</v>
      </c>
      <c r="M48" s="297">
        <f t="shared" si="14"/>
        <v>9166.6666666666661</v>
      </c>
      <c r="N48" s="297">
        <f t="shared" si="14"/>
        <v>9166.6666666666661</v>
      </c>
      <c r="O48" s="297">
        <f t="shared" si="14"/>
        <v>9166.6666666666661</v>
      </c>
      <c r="P48" s="297">
        <f t="shared" si="14"/>
        <v>9166.6666666666661</v>
      </c>
      <c r="Q48" s="297">
        <f t="shared" si="14"/>
        <v>9166.6666666666661</v>
      </c>
      <c r="R48" s="297">
        <f t="shared" si="14"/>
        <v>9166.6666666666661</v>
      </c>
      <c r="S48" s="297">
        <f t="shared" si="14"/>
        <v>9166.6666666666661</v>
      </c>
      <c r="T48" s="297">
        <f t="shared" si="14"/>
        <v>9166.6666666666661</v>
      </c>
      <c r="U48" s="297">
        <f t="shared" si="14"/>
        <v>9166.6666666666661</v>
      </c>
      <c r="V48" s="297">
        <f t="shared" si="14"/>
        <v>9166.6666666666661</v>
      </c>
    </row>
    <row r="49" spans="2:22" s="1210" customFormat="1">
      <c r="B49" s="1336" t="s">
        <v>772</v>
      </c>
      <c r="C49" s="295">
        <f>SUM(C45:C48)</f>
        <v>28032.113821138209</v>
      </c>
      <c r="D49" s="295">
        <f t="shared" ref="D49:V49" si="15">SUM(D45:D48)</f>
        <v>39309.886178861787</v>
      </c>
      <c r="E49" s="295">
        <f t="shared" si="15"/>
        <v>40588.837398373988</v>
      </c>
      <c r="F49" s="295">
        <f t="shared" si="15"/>
        <v>40806.267154471541</v>
      </c>
      <c r="G49" s="295">
        <f t="shared" si="15"/>
        <v>41196.238617886178</v>
      </c>
      <c r="H49" s="295">
        <f t="shared" si="15"/>
        <v>43123.556693495935</v>
      </c>
      <c r="I49" s="295">
        <f t="shared" si="15"/>
        <v>45204.081297252036</v>
      </c>
      <c r="J49" s="295">
        <f t="shared" si="15"/>
        <v>45154.857882475444</v>
      </c>
      <c r="K49" s="295">
        <f t="shared" si="15"/>
        <v>45146.785531107795</v>
      </c>
      <c r="L49" s="295">
        <f t="shared" si="15"/>
        <v>45181.510285685443</v>
      </c>
      <c r="M49" s="295">
        <f t="shared" si="15"/>
        <v>45260.7440304462</v>
      </c>
      <c r="N49" s="295">
        <f t="shared" si="15"/>
        <v>46890.670993186352</v>
      </c>
      <c r="O49" s="295">
        <f t="shared" si="15"/>
        <v>48610.311382573127</v>
      </c>
      <c r="P49" s="295">
        <f t="shared" si="15"/>
        <v>50441.599407004709</v>
      </c>
      <c r="Q49" s="295">
        <f t="shared" si="15"/>
        <v>52408.443353635135</v>
      </c>
      <c r="R49" s="295">
        <f t="shared" si="15"/>
        <v>70080.135862450406</v>
      </c>
      <c r="S49" s="295">
        <f t="shared" si="15"/>
        <v>67034.462402661215</v>
      </c>
      <c r="T49" s="295">
        <f t="shared" si="15"/>
        <v>64141.072615861493</v>
      </c>
      <c r="U49" s="295">
        <f t="shared" si="15"/>
        <v>61392.352318401747</v>
      </c>
      <c r="V49" s="295">
        <f t="shared" si="15"/>
        <v>58781.068035814998</v>
      </c>
    </row>
    <row r="50" spans="2:22" s="1210" customFormat="1">
      <c r="B50" s="1208"/>
      <c r="C50" s="1209"/>
      <c r="D50" s="1209"/>
      <c r="E50" s="1209"/>
      <c r="F50" s="1209"/>
      <c r="G50" s="1209"/>
      <c r="H50" s="1209"/>
      <c r="I50" s="1209"/>
      <c r="J50" s="1209"/>
      <c r="K50" s="1209"/>
      <c r="L50" s="1209"/>
      <c r="M50" s="1209"/>
      <c r="N50" s="1209"/>
      <c r="O50" s="1209"/>
      <c r="P50" s="1209"/>
      <c r="Q50" s="1209"/>
      <c r="R50" s="1209"/>
      <c r="S50" s="1209"/>
      <c r="T50" s="1209"/>
      <c r="U50" s="1209"/>
      <c r="V50" s="1209"/>
    </row>
    <row r="51" spans="2:22" s="1210" customFormat="1">
      <c r="B51" s="1208"/>
      <c r="C51" s="302"/>
      <c r="D51" s="302"/>
      <c r="E51" s="1209"/>
      <c r="F51" s="1209"/>
      <c r="G51" s="1209"/>
      <c r="H51" s="1209"/>
      <c r="I51" s="1209"/>
      <c r="J51" s="1209"/>
      <c r="K51" s="1209"/>
      <c r="L51" s="1209"/>
      <c r="M51" s="1209"/>
      <c r="N51" s="1209"/>
      <c r="O51" s="1209"/>
      <c r="P51" s="1209"/>
      <c r="Q51" s="1209"/>
      <c r="R51" s="1209"/>
      <c r="S51" s="1209"/>
      <c r="T51" s="1209"/>
      <c r="U51" s="1209"/>
      <c r="V51" s="1209"/>
    </row>
    <row r="52" spans="2:22" s="8" customFormat="1" ht="15.75">
      <c r="B52" s="737" t="s">
        <v>632</v>
      </c>
      <c r="C52" s="619"/>
      <c r="D52" s="619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</row>
    <row r="53" spans="2:22" s="8" customFormat="1">
      <c r="B53" s="569" t="s">
        <v>386</v>
      </c>
      <c r="C53" s="566">
        <v>1</v>
      </c>
      <c r="D53" s="566">
        <f t="shared" ref="D53:V53" si="16">+C53+1</f>
        <v>2</v>
      </c>
      <c r="E53" s="566">
        <f t="shared" si="16"/>
        <v>3</v>
      </c>
      <c r="F53" s="566">
        <f t="shared" si="16"/>
        <v>4</v>
      </c>
      <c r="G53" s="566">
        <f t="shared" si="16"/>
        <v>5</v>
      </c>
      <c r="H53" s="566">
        <f t="shared" si="16"/>
        <v>6</v>
      </c>
      <c r="I53" s="566">
        <f t="shared" si="16"/>
        <v>7</v>
      </c>
      <c r="J53" s="566">
        <f t="shared" si="16"/>
        <v>8</v>
      </c>
      <c r="K53" s="566">
        <f t="shared" si="16"/>
        <v>9</v>
      </c>
      <c r="L53" s="566">
        <f t="shared" si="16"/>
        <v>10</v>
      </c>
      <c r="M53" s="566">
        <f t="shared" si="16"/>
        <v>11</v>
      </c>
      <c r="N53" s="566">
        <f t="shared" si="16"/>
        <v>12</v>
      </c>
      <c r="O53" s="566">
        <f t="shared" si="16"/>
        <v>13</v>
      </c>
      <c r="P53" s="566">
        <f t="shared" si="16"/>
        <v>14</v>
      </c>
      <c r="Q53" s="566">
        <f t="shared" si="16"/>
        <v>15</v>
      </c>
      <c r="R53" s="566">
        <f t="shared" si="16"/>
        <v>16</v>
      </c>
      <c r="S53" s="566">
        <f t="shared" si="16"/>
        <v>17</v>
      </c>
      <c r="T53" s="566">
        <f t="shared" si="16"/>
        <v>18</v>
      </c>
      <c r="U53" s="566">
        <f t="shared" si="16"/>
        <v>19</v>
      </c>
      <c r="V53" s="566">
        <f t="shared" si="16"/>
        <v>20</v>
      </c>
    </row>
    <row r="54" spans="2:22" s="8" customFormat="1">
      <c r="B54" s="20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</row>
    <row r="55" spans="2:22" s="8" customFormat="1">
      <c r="B55" s="273" t="s">
        <v>30</v>
      </c>
      <c r="C55" s="295">
        <f>C59*C69</f>
        <v>4891.0107154617081</v>
      </c>
      <c r="D55" s="295">
        <f t="shared" ref="D55:V55" si="17">D59*D69</f>
        <v>4159.0745775721116</v>
      </c>
      <c r="E55" s="295">
        <f t="shared" si="17"/>
        <v>4045.8195122039056</v>
      </c>
      <c r="F55" s="295">
        <f t="shared" si="17"/>
        <v>4091.2390304898577</v>
      </c>
      <c r="G55" s="295">
        <f t="shared" si="17"/>
        <v>4535.147827172369</v>
      </c>
      <c r="H55" s="295">
        <f t="shared" si="17"/>
        <v>4545.4587258886695</v>
      </c>
      <c r="I55" s="295">
        <f t="shared" si="17"/>
        <v>5093.9362994723788</v>
      </c>
      <c r="J55" s="295">
        <f t="shared" si="17"/>
        <v>5281.7322853052819</v>
      </c>
      <c r="K55" s="295">
        <f t="shared" si="17"/>
        <v>5484.1774134539928</v>
      </c>
      <c r="L55" s="295">
        <f t="shared" si="17"/>
        <v>6003.5661608745131</v>
      </c>
      <c r="M55" s="295">
        <f t="shared" si="17"/>
        <v>491.1309875725654</v>
      </c>
      <c r="N55" s="295">
        <f t="shared" si="17"/>
        <v>-20.760330877484783</v>
      </c>
      <c r="O55" s="295">
        <f t="shared" si="17"/>
        <v>116.04048890932948</v>
      </c>
      <c r="P55" s="295">
        <f t="shared" si="17"/>
        <v>235.5492401459334</v>
      </c>
      <c r="Q55" s="295">
        <f t="shared" si="17"/>
        <v>369.1905173262208</v>
      </c>
      <c r="R55" s="295">
        <f t="shared" si="17"/>
        <v>550.60107687345374</v>
      </c>
      <c r="S55" s="295">
        <f t="shared" si="17"/>
        <v>707.8298619602275</v>
      </c>
      <c r="T55" s="295">
        <f t="shared" si="17"/>
        <v>856.16803180619252</v>
      </c>
      <c r="U55" s="295">
        <f t="shared" si="17"/>
        <v>866.2144972977502</v>
      </c>
      <c r="V55" s="295">
        <f t="shared" si="17"/>
        <v>843.05478103372548</v>
      </c>
    </row>
    <row r="56" spans="2:22" s="8" customFormat="1">
      <c r="B56" s="273" t="s">
        <v>116</v>
      </c>
      <c r="C56" s="295">
        <f>C59*C70</f>
        <v>10435.356365028671</v>
      </c>
      <c r="D56" s="295">
        <f t="shared" ref="D56:V56" si="18">D59*D70</f>
        <v>13670.407451801884</v>
      </c>
      <c r="E56" s="295">
        <f t="shared" si="18"/>
        <v>10443.6937437701</v>
      </c>
      <c r="F56" s="295">
        <f t="shared" si="18"/>
        <v>8289.4916611998706</v>
      </c>
      <c r="G56" s="295">
        <f t="shared" si="18"/>
        <v>8497.1925763693889</v>
      </c>
      <c r="H56" s="295">
        <f t="shared" si="18"/>
        <v>6788.9449728503405</v>
      </c>
      <c r="I56" s="295">
        <f t="shared" si="18"/>
        <v>5327.8290252813058</v>
      </c>
      <c r="J56" s="295">
        <f t="shared" si="18"/>
        <v>5240.3999859102023</v>
      </c>
      <c r="K56" s="295">
        <f t="shared" si="18"/>
        <v>5159.0704880782951</v>
      </c>
      <c r="L56" s="295">
        <f t="shared" si="18"/>
        <v>5315.9559411622149</v>
      </c>
      <c r="M56" s="295">
        <f t="shared" si="18"/>
        <v>574.1980637915475</v>
      </c>
      <c r="N56" s="295">
        <f t="shared" si="18"/>
        <v>393.47417278074602</v>
      </c>
      <c r="O56" s="295">
        <f t="shared" si="18"/>
        <v>314.83428452376393</v>
      </c>
      <c r="P56" s="295">
        <f t="shared" si="18"/>
        <v>208.29464974049105</v>
      </c>
      <c r="Q56" s="295">
        <f t="shared" si="18"/>
        <v>115.40944436127559</v>
      </c>
      <c r="R56" s="295">
        <f t="shared" si="18"/>
        <v>68.6890918472198</v>
      </c>
      <c r="S56" s="295">
        <f t="shared" si="18"/>
        <v>-19.340477310652027</v>
      </c>
      <c r="T56" s="295">
        <f t="shared" si="18"/>
        <v>2514.9401453091641</v>
      </c>
      <c r="U56" s="295">
        <f t="shared" si="18"/>
        <v>3842.5351984786689</v>
      </c>
      <c r="V56" s="295">
        <f t="shared" si="18"/>
        <v>4317.6059894780656</v>
      </c>
    </row>
    <row r="57" spans="2:22" s="8" customFormat="1">
      <c r="B57" s="20"/>
      <c r="C57" s="295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  <c r="R57" s="1211"/>
      <c r="S57" s="295"/>
      <c r="T57" s="295"/>
      <c r="U57" s="295"/>
      <c r="V57" s="295"/>
    </row>
    <row r="58" spans="2:22" s="8" customFormat="1">
      <c r="B58" s="1201" t="s">
        <v>129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</row>
    <row r="59" spans="2:22" s="8" customFormat="1">
      <c r="B59" s="20" t="s">
        <v>178</v>
      </c>
      <c r="C59" s="1187">
        <f>Devel_Financials!G8*Devel_Financials!G9</f>
        <v>41250</v>
      </c>
      <c r="D59" s="295">
        <f t="shared" ref="D59:V59" si="19">+C62</f>
        <v>35705.654350433033</v>
      </c>
      <c r="E59" s="295">
        <f t="shared" si="19"/>
        <v>26194.321476203266</v>
      </c>
      <c r="F59" s="295">
        <f t="shared" si="19"/>
        <v>19796.447244637071</v>
      </c>
      <c r="G59" s="295">
        <f t="shared" si="19"/>
        <v>15598.194613927059</v>
      </c>
      <c r="H59" s="295">
        <f t="shared" si="19"/>
        <v>11636.149864730038</v>
      </c>
      <c r="I59" s="295">
        <f t="shared" si="19"/>
        <v>9392.6636177683667</v>
      </c>
      <c r="J59" s="295">
        <f t="shared" si="19"/>
        <v>9158.7708919594406</v>
      </c>
      <c r="K59" s="295">
        <f t="shared" si="19"/>
        <v>9200.1031913545212</v>
      </c>
      <c r="L59" s="295">
        <f t="shared" si="19"/>
        <v>9525.2101167302208</v>
      </c>
      <c r="M59" s="295">
        <f t="shared" si="19"/>
        <v>10212.820336442521</v>
      </c>
      <c r="N59" s="295">
        <f t="shared" si="19"/>
        <v>10129.753260223539</v>
      </c>
      <c r="O59" s="295">
        <f t="shared" si="19"/>
        <v>9715.5187565653068</v>
      </c>
      <c r="P59" s="295">
        <f t="shared" si="19"/>
        <v>9516.7249609508726</v>
      </c>
      <c r="Q59" s="295">
        <f t="shared" si="19"/>
        <v>9543.9795513563149</v>
      </c>
      <c r="R59" s="295">
        <f t="shared" si="19"/>
        <v>9797.7606243212595</v>
      </c>
      <c r="S59" s="295">
        <f t="shared" si="19"/>
        <v>10279.672609347494</v>
      </c>
      <c r="T59" s="295">
        <f t="shared" si="19"/>
        <v>11006.842948618374</v>
      </c>
      <c r="U59" s="295">
        <f t="shared" si="19"/>
        <v>9348.0708351154026</v>
      </c>
      <c r="V59" s="295">
        <f t="shared" si="19"/>
        <v>6371.7501339344835</v>
      </c>
    </row>
    <row r="60" spans="2:22" s="8" customFormat="1">
      <c r="B60" s="20" t="s">
        <v>623</v>
      </c>
      <c r="C60" s="295">
        <f t="shared" ref="C60:V60" si="20">+C55</f>
        <v>4891.0107154617081</v>
      </c>
      <c r="D60" s="295">
        <f t="shared" si="20"/>
        <v>4159.0745775721116</v>
      </c>
      <c r="E60" s="295">
        <f t="shared" si="20"/>
        <v>4045.8195122039056</v>
      </c>
      <c r="F60" s="295">
        <f t="shared" si="20"/>
        <v>4091.2390304898577</v>
      </c>
      <c r="G60" s="295">
        <f t="shared" si="20"/>
        <v>4535.147827172369</v>
      </c>
      <c r="H60" s="295">
        <f t="shared" si="20"/>
        <v>4545.4587258886695</v>
      </c>
      <c r="I60" s="295">
        <f t="shared" si="20"/>
        <v>5093.9362994723788</v>
      </c>
      <c r="J60" s="295">
        <f t="shared" si="20"/>
        <v>5281.7322853052819</v>
      </c>
      <c r="K60" s="295">
        <f t="shared" si="20"/>
        <v>5484.1774134539928</v>
      </c>
      <c r="L60" s="295">
        <f t="shared" si="20"/>
        <v>6003.5661608745131</v>
      </c>
      <c r="M60" s="295">
        <f t="shared" si="20"/>
        <v>491.1309875725654</v>
      </c>
      <c r="N60" s="295">
        <f t="shared" si="20"/>
        <v>-20.760330877484783</v>
      </c>
      <c r="O60" s="295">
        <f t="shared" si="20"/>
        <v>116.04048890932948</v>
      </c>
      <c r="P60" s="295">
        <f t="shared" si="20"/>
        <v>235.5492401459334</v>
      </c>
      <c r="Q60" s="295">
        <f t="shared" si="20"/>
        <v>369.1905173262208</v>
      </c>
      <c r="R60" s="295">
        <f t="shared" si="20"/>
        <v>550.60107687345374</v>
      </c>
      <c r="S60" s="295">
        <f t="shared" si="20"/>
        <v>707.8298619602275</v>
      </c>
      <c r="T60" s="295">
        <f t="shared" si="20"/>
        <v>856.16803180619252</v>
      </c>
      <c r="U60" s="295">
        <f t="shared" si="20"/>
        <v>866.2144972977502</v>
      </c>
      <c r="V60" s="295">
        <f t="shared" si="20"/>
        <v>843.05478103372548</v>
      </c>
    </row>
    <row r="61" spans="2:22" s="8" customFormat="1">
      <c r="B61" s="20" t="s">
        <v>624</v>
      </c>
      <c r="C61" s="295">
        <f t="shared" ref="C61:V61" si="21">-C56</f>
        <v>-10435.356365028671</v>
      </c>
      <c r="D61" s="295">
        <f t="shared" si="21"/>
        <v>-13670.407451801884</v>
      </c>
      <c r="E61" s="295">
        <f t="shared" si="21"/>
        <v>-10443.6937437701</v>
      </c>
      <c r="F61" s="295">
        <f t="shared" si="21"/>
        <v>-8289.4916611998706</v>
      </c>
      <c r="G61" s="295">
        <f t="shared" si="21"/>
        <v>-8497.1925763693889</v>
      </c>
      <c r="H61" s="295">
        <f t="shared" si="21"/>
        <v>-6788.9449728503405</v>
      </c>
      <c r="I61" s="295">
        <f t="shared" si="21"/>
        <v>-5327.8290252813058</v>
      </c>
      <c r="J61" s="295">
        <f t="shared" si="21"/>
        <v>-5240.3999859102023</v>
      </c>
      <c r="K61" s="295">
        <f t="shared" si="21"/>
        <v>-5159.0704880782951</v>
      </c>
      <c r="L61" s="295">
        <f t="shared" si="21"/>
        <v>-5315.9559411622149</v>
      </c>
      <c r="M61" s="295">
        <f t="shared" si="21"/>
        <v>-574.1980637915475</v>
      </c>
      <c r="N61" s="295">
        <f t="shared" si="21"/>
        <v>-393.47417278074602</v>
      </c>
      <c r="O61" s="295">
        <f t="shared" si="21"/>
        <v>-314.83428452376393</v>
      </c>
      <c r="P61" s="295">
        <f t="shared" si="21"/>
        <v>-208.29464974049105</v>
      </c>
      <c r="Q61" s="295">
        <f t="shared" si="21"/>
        <v>-115.40944436127559</v>
      </c>
      <c r="R61" s="295">
        <f t="shared" si="21"/>
        <v>-68.6890918472198</v>
      </c>
      <c r="S61" s="295">
        <f t="shared" si="21"/>
        <v>19.340477310652027</v>
      </c>
      <c r="T61" s="295">
        <f t="shared" si="21"/>
        <v>-2514.9401453091641</v>
      </c>
      <c r="U61" s="295">
        <f t="shared" si="21"/>
        <v>-3842.5351984786689</v>
      </c>
      <c r="V61" s="295">
        <f t="shared" si="21"/>
        <v>-4317.6059894780656</v>
      </c>
    </row>
    <row r="62" spans="2:22" s="8" customFormat="1">
      <c r="B62" s="20" t="s">
        <v>179</v>
      </c>
      <c r="C62" s="1202">
        <f t="shared" ref="C62:V62" si="22">SUM(C59:C61)</f>
        <v>35705.654350433033</v>
      </c>
      <c r="D62" s="1202">
        <f t="shared" si="22"/>
        <v>26194.321476203266</v>
      </c>
      <c r="E62" s="1202">
        <f t="shared" si="22"/>
        <v>19796.447244637071</v>
      </c>
      <c r="F62" s="1202">
        <f t="shared" si="22"/>
        <v>15598.194613927059</v>
      </c>
      <c r="G62" s="1202">
        <f t="shared" si="22"/>
        <v>11636.149864730038</v>
      </c>
      <c r="H62" s="1202">
        <f t="shared" si="22"/>
        <v>9392.6636177683667</v>
      </c>
      <c r="I62" s="1202">
        <f t="shared" si="22"/>
        <v>9158.7708919594406</v>
      </c>
      <c r="J62" s="1202">
        <f t="shared" si="22"/>
        <v>9200.1031913545212</v>
      </c>
      <c r="K62" s="1202">
        <f t="shared" si="22"/>
        <v>9525.2101167302208</v>
      </c>
      <c r="L62" s="1202">
        <f t="shared" si="22"/>
        <v>10212.820336442521</v>
      </c>
      <c r="M62" s="1202">
        <f t="shared" si="22"/>
        <v>10129.753260223539</v>
      </c>
      <c r="N62" s="1202">
        <f t="shared" si="22"/>
        <v>9715.5187565653068</v>
      </c>
      <c r="O62" s="1202">
        <f t="shared" si="22"/>
        <v>9516.7249609508726</v>
      </c>
      <c r="P62" s="1202">
        <f t="shared" si="22"/>
        <v>9543.9795513563149</v>
      </c>
      <c r="Q62" s="1202">
        <f t="shared" si="22"/>
        <v>9797.7606243212595</v>
      </c>
      <c r="R62" s="1202">
        <f t="shared" si="22"/>
        <v>10279.672609347494</v>
      </c>
      <c r="S62" s="1202">
        <f t="shared" si="22"/>
        <v>11006.842948618374</v>
      </c>
      <c r="T62" s="1202">
        <f t="shared" si="22"/>
        <v>9348.0708351154026</v>
      </c>
      <c r="U62" s="1202">
        <f t="shared" si="22"/>
        <v>6371.7501339344835</v>
      </c>
      <c r="V62" s="1202">
        <f t="shared" si="22"/>
        <v>2897.1989254901437</v>
      </c>
    </row>
    <row r="63" spans="2:22" s="8" customFormat="1">
      <c r="B63" s="20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</row>
    <row r="64" spans="2:22" s="8" customFormat="1">
      <c r="B64" s="1201" t="s">
        <v>130</v>
      </c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</row>
    <row r="65" spans="2:22" s="8" customFormat="1">
      <c r="B65" s="20" t="s">
        <v>178</v>
      </c>
      <c r="C65" s="1187">
        <f>Devel_Financials!G8-Devel_Financials!C59</f>
        <v>41250</v>
      </c>
      <c r="D65" s="295">
        <f t="shared" ref="D65:V65" si="23">+C67</f>
        <v>39284.92015362846</v>
      </c>
      <c r="E65" s="295">
        <f t="shared" si="23"/>
        <v>37415.268512903443</v>
      </c>
      <c r="F65" s="295">
        <f t="shared" si="23"/>
        <v>35497.439525638438</v>
      </c>
      <c r="G65" s="295">
        <f t="shared" si="23"/>
        <v>33348.915167441548</v>
      </c>
      <c r="H65" s="295">
        <f t="shared" si="23"/>
        <v>31209.655683579273</v>
      </c>
      <c r="I65" s="295">
        <f t="shared" si="23"/>
        <v>28829.509467017047</v>
      </c>
      <c r="J65" s="295">
        <f t="shared" si="23"/>
        <v>26222.373829256787</v>
      </c>
      <c r="K65" s="295">
        <f t="shared" si="23"/>
        <v>23371.57199649619</v>
      </c>
      <c r="L65" s="295">
        <f t="shared" si="23"/>
        <v>20189.087662556427</v>
      </c>
      <c r="M65" s="295">
        <f t="shared" si="23"/>
        <v>17681.086180176535</v>
      </c>
      <c r="N65" s="295">
        <f t="shared" si="23"/>
        <v>15460.295802169661</v>
      </c>
      <c r="O65" s="295">
        <f t="shared" si="23"/>
        <v>13043.09008826898</v>
      </c>
      <c r="P65" s="295">
        <f t="shared" si="23"/>
        <v>10426.689576174107</v>
      </c>
      <c r="Q65" s="295">
        <f t="shared" si="23"/>
        <v>7621.2856276531184</v>
      </c>
      <c r="R65" s="295">
        <f t="shared" si="23"/>
        <v>4620.3928306717826</v>
      </c>
      <c r="S65" s="295">
        <f t="shared" si="23"/>
        <v>1409.1873862947191</v>
      </c>
      <c r="T65" s="295">
        <f t="shared" si="23"/>
        <v>0</v>
      </c>
      <c r="U65" s="295">
        <f t="shared" si="23"/>
        <v>0</v>
      </c>
      <c r="V65" s="295">
        <f t="shared" si="23"/>
        <v>0</v>
      </c>
    </row>
    <row r="66" spans="2:22" s="8" customFormat="1">
      <c r="B66" s="20" t="s">
        <v>625</v>
      </c>
      <c r="C66" s="295">
        <f>-$C$65*C71</f>
        <v>-1965.0798463715382</v>
      </c>
      <c r="D66" s="295">
        <f t="shared" ref="D66:V66" si="24">-$C$65*D71</f>
        <v>-1869.6516407250188</v>
      </c>
      <c r="E66" s="295">
        <f t="shared" si="24"/>
        <v>-1917.8289872650091</v>
      </c>
      <c r="F66" s="295">
        <f t="shared" si="24"/>
        <v>-2148.5243581968871</v>
      </c>
      <c r="G66" s="295">
        <f t="shared" si="24"/>
        <v>-2139.2594838622736</v>
      </c>
      <c r="H66" s="295">
        <f t="shared" si="24"/>
        <v>-2380.1462165622261</v>
      </c>
      <c r="I66" s="295">
        <f t="shared" si="24"/>
        <v>-2607.1356377602588</v>
      </c>
      <c r="J66" s="295">
        <f t="shared" si="24"/>
        <v>-2850.8018327605955</v>
      </c>
      <c r="K66" s="295">
        <f t="shared" si="24"/>
        <v>-3182.4843339397617</v>
      </c>
      <c r="L66" s="295">
        <f t="shared" si="24"/>
        <v>-2508.0014823798938</v>
      </c>
      <c r="M66" s="295">
        <f t="shared" si="24"/>
        <v>-2220.7903780068732</v>
      </c>
      <c r="N66" s="295">
        <f t="shared" si="24"/>
        <v>-2417.2057139006806</v>
      </c>
      <c r="O66" s="295">
        <f t="shared" si="24"/>
        <v>-2616.4005120948727</v>
      </c>
      <c r="P66" s="295">
        <f t="shared" si="24"/>
        <v>-2805.4039485209892</v>
      </c>
      <c r="Q66" s="295">
        <f t="shared" si="24"/>
        <v>-3000.8927969813353</v>
      </c>
      <c r="R66" s="295">
        <f t="shared" si="24"/>
        <v>-3211.2054443770635</v>
      </c>
      <c r="S66" s="295">
        <f t="shared" si="24"/>
        <v>-1409.1873862947191</v>
      </c>
      <c r="T66" s="295">
        <f t="shared" si="24"/>
        <v>0</v>
      </c>
      <c r="U66" s="295">
        <f t="shared" si="24"/>
        <v>0</v>
      </c>
      <c r="V66" s="295">
        <f t="shared" si="24"/>
        <v>0</v>
      </c>
    </row>
    <row r="67" spans="2:22" s="8" customFormat="1">
      <c r="B67" s="20" t="s">
        <v>179</v>
      </c>
      <c r="C67" s="1202">
        <f t="shared" ref="C67:V67" si="25">SUM(C65:C66)</f>
        <v>39284.92015362846</v>
      </c>
      <c r="D67" s="1202">
        <f t="shared" si="25"/>
        <v>37415.268512903443</v>
      </c>
      <c r="E67" s="1202">
        <f t="shared" si="25"/>
        <v>35497.439525638438</v>
      </c>
      <c r="F67" s="1202">
        <f t="shared" si="25"/>
        <v>33348.915167441548</v>
      </c>
      <c r="G67" s="1202">
        <f t="shared" si="25"/>
        <v>31209.655683579273</v>
      </c>
      <c r="H67" s="1202">
        <f t="shared" si="25"/>
        <v>28829.509467017047</v>
      </c>
      <c r="I67" s="1202">
        <f t="shared" si="25"/>
        <v>26222.373829256787</v>
      </c>
      <c r="J67" s="1202">
        <f t="shared" si="25"/>
        <v>23371.57199649619</v>
      </c>
      <c r="K67" s="1202">
        <f t="shared" si="25"/>
        <v>20189.087662556427</v>
      </c>
      <c r="L67" s="1202">
        <f t="shared" si="25"/>
        <v>17681.086180176535</v>
      </c>
      <c r="M67" s="1202">
        <f t="shared" si="25"/>
        <v>15460.295802169661</v>
      </c>
      <c r="N67" s="1202">
        <f t="shared" si="25"/>
        <v>13043.09008826898</v>
      </c>
      <c r="O67" s="1202">
        <f t="shared" si="25"/>
        <v>10426.689576174107</v>
      </c>
      <c r="P67" s="1202">
        <f t="shared" si="25"/>
        <v>7621.2856276531184</v>
      </c>
      <c r="Q67" s="1202">
        <f t="shared" si="25"/>
        <v>4620.3928306717826</v>
      </c>
      <c r="R67" s="1202">
        <f t="shared" si="25"/>
        <v>1409.1873862947191</v>
      </c>
      <c r="S67" s="1202">
        <f t="shared" si="25"/>
        <v>0</v>
      </c>
      <c r="T67" s="1202">
        <f t="shared" si="25"/>
        <v>0</v>
      </c>
      <c r="U67" s="1202">
        <f t="shared" si="25"/>
        <v>0</v>
      </c>
      <c r="V67" s="1202">
        <f t="shared" si="25"/>
        <v>0</v>
      </c>
    </row>
    <row r="68" spans="2:22" s="8" customFormat="1">
      <c r="B68" s="20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</row>
    <row r="69" spans="2:22" s="8" customFormat="1">
      <c r="B69" s="197" t="s">
        <v>626</v>
      </c>
      <c r="C69" s="1203">
        <v>0.11856995673846564</v>
      </c>
      <c r="D69" s="1203">
        <v>0.11648223938855418</v>
      </c>
      <c r="E69" s="1203">
        <v>0.15445406806507311</v>
      </c>
      <c r="F69" s="1203">
        <v>0.20666531625255077</v>
      </c>
      <c r="G69" s="1203">
        <v>0.29074825256527453</v>
      </c>
      <c r="H69" s="1203">
        <v>0.39063253556627558</v>
      </c>
      <c r="I69" s="1203">
        <v>0.54233138828010785</v>
      </c>
      <c r="J69" s="1203">
        <v>0.57668570898985561</v>
      </c>
      <c r="K69" s="1203">
        <v>0.59609955447103669</v>
      </c>
      <c r="L69" s="1203">
        <v>0.63028175623441207</v>
      </c>
      <c r="M69" s="1203">
        <v>4.8089653141165839E-2</v>
      </c>
      <c r="N69" s="1203">
        <v>-2.0494409236011986E-3</v>
      </c>
      <c r="O69" s="1203">
        <v>1.1943828406580408E-2</v>
      </c>
      <c r="P69" s="1203">
        <v>2.4751082027949903E-2</v>
      </c>
      <c r="Q69" s="1203">
        <v>3.8683079247980402E-2</v>
      </c>
      <c r="R69" s="1203">
        <v>5.6196624717150263E-2</v>
      </c>
      <c r="S69" s="1203">
        <v>6.8857237857612788E-2</v>
      </c>
      <c r="T69" s="1203">
        <v>7.7785068416340253E-2</v>
      </c>
      <c r="U69" s="1203">
        <v>9.2662380567750238E-2</v>
      </c>
      <c r="V69" s="1203">
        <v>0.13231133727981714</v>
      </c>
    </row>
    <row r="70" spans="2:22" s="8" customFormat="1">
      <c r="B70" s="197" t="s">
        <v>627</v>
      </c>
      <c r="C70" s="1203">
        <v>0.25297833612190718</v>
      </c>
      <c r="D70" s="1203">
        <v>0.38286393851331535</v>
      </c>
      <c r="E70" s="1203">
        <v>0.39870067843741913</v>
      </c>
      <c r="F70" s="1203">
        <v>0.41873632974449615</v>
      </c>
      <c r="G70" s="1203">
        <v>0.54475487623308383</v>
      </c>
      <c r="H70" s="1203">
        <v>0.58343567690100784</v>
      </c>
      <c r="I70" s="1203">
        <v>0.56723302804142817</v>
      </c>
      <c r="J70" s="1203">
        <v>0.57217284368482146</v>
      </c>
      <c r="K70" s="1203">
        <v>0.56076224155032883</v>
      </c>
      <c r="L70" s="1203">
        <v>0.55809329936199426</v>
      </c>
      <c r="M70" s="1203">
        <v>5.6223261045984539E-2</v>
      </c>
      <c r="N70" s="1203">
        <v>3.8843411351962488E-2</v>
      </c>
      <c r="O70" s="1203">
        <v>3.2405298410958572E-2</v>
      </c>
      <c r="P70" s="1203">
        <v>2.1887219668023178E-2</v>
      </c>
      <c r="Q70" s="1203">
        <v>1.2092381772221475E-2</v>
      </c>
      <c r="R70" s="1203">
        <v>7.010693002308192E-3</v>
      </c>
      <c r="S70" s="1203">
        <v>-1.8814293067140463E-3</v>
      </c>
      <c r="T70" s="1203">
        <v>0.22848878257364891</v>
      </c>
      <c r="U70" s="1203">
        <v>0.4110511426640503</v>
      </c>
      <c r="V70" s="1203">
        <v>0.6776169653112234</v>
      </c>
    </row>
    <row r="71" spans="2:22" s="8" customFormat="1">
      <c r="B71" s="197" t="s">
        <v>628</v>
      </c>
      <c r="C71" s="1203">
        <v>4.7638299305976683E-2</v>
      </c>
      <c r="D71" s="1203">
        <v>4.5324888260000452E-2</v>
      </c>
      <c r="E71" s="1203">
        <v>4.6492823933697192E-2</v>
      </c>
      <c r="F71" s="1203">
        <v>5.2085438986591202E-2</v>
      </c>
      <c r="G71" s="1203">
        <v>5.1860835972418751E-2</v>
      </c>
      <c r="H71" s="1203">
        <v>5.7700514340902453E-2</v>
      </c>
      <c r="I71" s="1203">
        <v>6.3203288188127482E-2</v>
      </c>
      <c r="J71" s="1203">
        <v>6.911034746086292E-2</v>
      </c>
      <c r="K71" s="1203">
        <v>7.7151135368236645E-2</v>
      </c>
      <c r="L71" s="1203">
        <v>6.0800035936482269E-2</v>
      </c>
      <c r="M71" s="1203">
        <v>5.3837342497136315E-2</v>
      </c>
      <c r="N71" s="1203">
        <v>5.8598926397592253E-2</v>
      </c>
      <c r="O71" s="1203">
        <v>6.3427891202299941E-2</v>
      </c>
      <c r="P71" s="1203">
        <v>6.8009792691417922E-2</v>
      </c>
      <c r="Q71" s="1203">
        <v>7.2748916290456614E-2</v>
      </c>
      <c r="R71" s="1203">
        <v>7.7847404712171234E-2</v>
      </c>
      <c r="S71" s="1212">
        <f>1-SUM(C71:R71)</f>
        <v>3.4162118455629553E-2</v>
      </c>
      <c r="T71" s="1203"/>
      <c r="U71" s="1203"/>
      <c r="V71" s="1203"/>
    </row>
    <row r="72" spans="2:22" s="8" customFormat="1">
      <c r="B72" s="197"/>
      <c r="C72" s="578"/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</row>
    <row r="73" spans="2:22" s="8" customFormat="1">
      <c r="B73" s="197" t="s">
        <v>168</v>
      </c>
      <c r="C73" s="1213">
        <v>4289.7653912261885</v>
      </c>
      <c r="D73" s="1213">
        <v>5095.8548903890269</v>
      </c>
      <c r="E73" s="1213">
        <v>5095.8548903890269</v>
      </c>
      <c r="F73" s="1213">
        <v>5095.8548903890269</v>
      </c>
      <c r="G73" s="1213">
        <v>5378.9579398550841</v>
      </c>
      <c r="H73" s="1213">
        <v>5378.9579398550841</v>
      </c>
      <c r="I73" s="1213">
        <v>5662.0609893211413</v>
      </c>
      <c r="J73" s="1213">
        <v>5662.0609893211413</v>
      </c>
      <c r="K73" s="1213">
        <v>5662.0609893211413</v>
      </c>
      <c r="L73" s="1213">
        <v>5945.1640387871985</v>
      </c>
      <c r="M73" s="1213">
        <v>646.04208491955399</v>
      </c>
      <c r="N73" s="1213"/>
      <c r="O73" s="578"/>
      <c r="P73" s="578"/>
      <c r="Q73" s="578"/>
      <c r="R73" s="578"/>
      <c r="S73" s="578"/>
      <c r="T73" s="578"/>
      <c r="U73" s="578"/>
      <c r="V73" s="578"/>
    </row>
    <row r="74" spans="2:22" s="8" customFormat="1">
      <c r="B74" s="20"/>
      <c r="C74" s="558"/>
      <c r="D74" s="558"/>
      <c r="E74" s="558"/>
      <c r="F74" s="558"/>
      <c r="G74" s="558"/>
      <c r="H74" s="558"/>
      <c r="I74" s="558"/>
      <c r="J74" s="558"/>
      <c r="K74" s="558"/>
      <c r="L74" s="558"/>
      <c r="M74" s="558"/>
      <c r="N74" s="558"/>
      <c r="O74" s="558"/>
      <c r="P74" s="558"/>
      <c r="Q74" s="558"/>
      <c r="R74" s="295"/>
      <c r="S74" s="295"/>
      <c r="T74" s="295"/>
      <c r="U74" s="295"/>
      <c r="V74" s="295"/>
    </row>
    <row r="75" spans="2:22" s="8" customFormat="1">
      <c r="B75" s="1204" t="s">
        <v>629</v>
      </c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</row>
    <row r="76" spans="2:22" s="8" customFormat="1">
      <c r="B76" s="1198" t="s">
        <v>630</v>
      </c>
      <c r="C76" s="1205">
        <f>NPV(0.14,C56:V56)-C59</f>
        <v>6074.1459807742358</v>
      </c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1205"/>
      <c r="Q76" s="1205"/>
      <c r="R76" s="1205"/>
      <c r="S76" s="1205"/>
      <c r="T76" s="1205"/>
      <c r="U76" s="1205"/>
      <c r="V76" s="1205"/>
    </row>
    <row r="77" spans="2:22" s="8" customFormat="1">
      <c r="B77" s="1206" t="s">
        <v>631</v>
      </c>
      <c r="C77" s="1207">
        <f>IRR(B78:V78,0.1)</f>
        <v>0.18144313999776571</v>
      </c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</row>
    <row r="78" spans="2:22" s="8" customFormat="1">
      <c r="B78" s="1208">
        <f>-C59</f>
        <v>-41250</v>
      </c>
      <c r="C78" s="1209">
        <f t="shared" ref="C78:V78" si="26">+C56</f>
        <v>10435.356365028671</v>
      </c>
      <c r="D78" s="1209">
        <f t="shared" si="26"/>
        <v>13670.407451801884</v>
      </c>
      <c r="E78" s="1209">
        <f t="shared" si="26"/>
        <v>10443.6937437701</v>
      </c>
      <c r="F78" s="1209">
        <f t="shared" si="26"/>
        <v>8289.4916611998706</v>
      </c>
      <c r="G78" s="1209">
        <f t="shared" si="26"/>
        <v>8497.1925763693889</v>
      </c>
      <c r="H78" s="1209">
        <f t="shared" si="26"/>
        <v>6788.9449728503405</v>
      </c>
      <c r="I78" s="1209">
        <f t="shared" si="26"/>
        <v>5327.8290252813058</v>
      </c>
      <c r="J78" s="1209">
        <f t="shared" si="26"/>
        <v>5240.3999859102023</v>
      </c>
      <c r="K78" s="1209">
        <f t="shared" si="26"/>
        <v>5159.0704880782951</v>
      </c>
      <c r="L78" s="1209">
        <f t="shared" si="26"/>
        <v>5315.9559411622149</v>
      </c>
      <c r="M78" s="1209">
        <f t="shared" si="26"/>
        <v>574.1980637915475</v>
      </c>
      <c r="N78" s="1209">
        <f t="shared" si="26"/>
        <v>393.47417278074602</v>
      </c>
      <c r="O78" s="1209">
        <f t="shared" si="26"/>
        <v>314.83428452376393</v>
      </c>
      <c r="P78" s="1209">
        <f t="shared" si="26"/>
        <v>208.29464974049105</v>
      </c>
      <c r="Q78" s="1209">
        <f t="shared" si="26"/>
        <v>115.40944436127559</v>
      </c>
      <c r="R78" s="1209">
        <f t="shared" si="26"/>
        <v>68.6890918472198</v>
      </c>
      <c r="S78" s="1209">
        <f t="shared" si="26"/>
        <v>-19.340477310652027</v>
      </c>
      <c r="T78" s="1209">
        <f t="shared" si="26"/>
        <v>2514.9401453091641</v>
      </c>
      <c r="U78" s="1209">
        <f t="shared" si="26"/>
        <v>3842.5351984786689</v>
      </c>
      <c r="V78" s="1209">
        <f t="shared" si="26"/>
        <v>4317.6059894780656</v>
      </c>
    </row>
    <row r="79" spans="2:22" s="8" customFormat="1">
      <c r="B79" s="1208"/>
      <c r="C79" s="1209"/>
      <c r="D79" s="1209"/>
      <c r="E79" s="1209"/>
      <c r="F79" s="1209"/>
      <c r="G79" s="1209"/>
      <c r="H79" s="1209"/>
      <c r="I79" s="1209"/>
      <c r="J79" s="1209"/>
      <c r="K79" s="1209"/>
      <c r="L79" s="1209"/>
      <c r="M79" s="1209"/>
      <c r="N79" s="1209"/>
      <c r="O79" s="1209"/>
      <c r="P79" s="1209"/>
      <c r="Q79" s="1209"/>
      <c r="R79" s="1209"/>
      <c r="S79" s="1209"/>
      <c r="T79" s="1209"/>
      <c r="U79" s="1209"/>
      <c r="V79" s="1209"/>
    </row>
    <row r="80" spans="2:22" s="1210" customFormat="1">
      <c r="B80" s="1201" t="s">
        <v>23</v>
      </c>
    </row>
    <row r="81" spans="2:22" s="1210" customFormat="1">
      <c r="B81" s="1336" t="s">
        <v>30</v>
      </c>
      <c r="C81" s="295">
        <f>C55</f>
        <v>4891.0107154617081</v>
      </c>
      <c r="D81" s="295">
        <f t="shared" ref="D81:V81" si="27">D55</f>
        <v>4159.0745775721116</v>
      </c>
      <c r="E81" s="295">
        <f t="shared" si="27"/>
        <v>4045.8195122039056</v>
      </c>
      <c r="F81" s="295">
        <f t="shared" si="27"/>
        <v>4091.2390304898577</v>
      </c>
      <c r="G81" s="295">
        <f t="shared" si="27"/>
        <v>4535.147827172369</v>
      </c>
      <c r="H81" s="295">
        <f t="shared" si="27"/>
        <v>4545.4587258886695</v>
      </c>
      <c r="I81" s="295">
        <f t="shared" si="27"/>
        <v>5093.9362994723788</v>
      </c>
      <c r="J81" s="295">
        <f t="shared" si="27"/>
        <v>5281.7322853052819</v>
      </c>
      <c r="K81" s="295">
        <f t="shared" si="27"/>
        <v>5484.1774134539928</v>
      </c>
      <c r="L81" s="295">
        <f t="shared" si="27"/>
        <v>6003.5661608745131</v>
      </c>
      <c r="M81" s="295">
        <f t="shared" si="27"/>
        <v>491.1309875725654</v>
      </c>
      <c r="N81" s="295">
        <f t="shared" si="27"/>
        <v>-20.760330877484783</v>
      </c>
      <c r="O81" s="295">
        <f t="shared" si="27"/>
        <v>116.04048890932948</v>
      </c>
      <c r="P81" s="295">
        <f t="shared" si="27"/>
        <v>235.5492401459334</v>
      </c>
      <c r="Q81" s="295">
        <f t="shared" si="27"/>
        <v>369.1905173262208</v>
      </c>
      <c r="R81" s="295">
        <f t="shared" si="27"/>
        <v>550.60107687345374</v>
      </c>
      <c r="S81" s="295">
        <f t="shared" si="27"/>
        <v>707.8298619602275</v>
      </c>
      <c r="T81" s="295">
        <f t="shared" si="27"/>
        <v>856.16803180619252</v>
      </c>
      <c r="U81" s="295">
        <f t="shared" si="27"/>
        <v>866.2144972977502</v>
      </c>
      <c r="V81" s="295">
        <f t="shared" si="27"/>
        <v>843.05478103372548</v>
      </c>
    </row>
    <row r="82" spans="2:22" s="1210" customFormat="1">
      <c r="B82" s="1336" t="s">
        <v>769</v>
      </c>
      <c r="C82" s="1336">
        <f t="shared" ref="C82:V82" si="28">+C81/(1-0.385)-C81</f>
        <v>3061.8522365085491</v>
      </c>
      <c r="D82" s="1336">
        <f t="shared" si="28"/>
        <v>2603.6483127890451</v>
      </c>
      <c r="E82" s="1336">
        <f t="shared" si="28"/>
        <v>2532.7488003227704</v>
      </c>
      <c r="F82" s="1336">
        <f t="shared" si="28"/>
        <v>2561.1821572985286</v>
      </c>
      <c r="G82" s="1336">
        <f t="shared" si="28"/>
        <v>2839.0762820509954</v>
      </c>
      <c r="H82" s="1336">
        <f t="shared" si="28"/>
        <v>2845.5310723042894</v>
      </c>
      <c r="I82" s="1336">
        <f t="shared" si="28"/>
        <v>3188.8869517022204</v>
      </c>
      <c r="J82" s="1336">
        <f t="shared" si="28"/>
        <v>3306.4502924268845</v>
      </c>
      <c r="K82" s="1336">
        <f t="shared" si="28"/>
        <v>3433.1842344386778</v>
      </c>
      <c r="L82" s="1336">
        <f t="shared" si="28"/>
        <v>3758.3300356694117</v>
      </c>
      <c r="M82" s="1336">
        <f t="shared" si="28"/>
        <v>307.45598409014264</v>
      </c>
      <c r="N82" s="1336">
        <f t="shared" si="28"/>
        <v>-12.996304695661209</v>
      </c>
      <c r="O82" s="1336">
        <f t="shared" si="28"/>
        <v>72.643232894458308</v>
      </c>
      <c r="P82" s="1336">
        <f t="shared" si="28"/>
        <v>147.45765440029979</v>
      </c>
      <c r="Q82" s="1336">
        <f t="shared" si="28"/>
        <v>231.11926694405696</v>
      </c>
      <c r="R82" s="1336">
        <f t="shared" si="28"/>
        <v>344.68522698582069</v>
      </c>
      <c r="S82" s="1336">
        <f t="shared" si="28"/>
        <v>443.11300301575227</v>
      </c>
      <c r="T82" s="1336">
        <f t="shared" si="28"/>
        <v>535.9751093420881</v>
      </c>
      <c r="U82" s="1336">
        <f t="shared" si="28"/>
        <v>542.26436009696556</v>
      </c>
      <c r="V82" s="1336">
        <f t="shared" si="28"/>
        <v>527.76600113493396</v>
      </c>
    </row>
    <row r="83" spans="2:22" s="1210" customFormat="1">
      <c r="B83" s="1336" t="s">
        <v>770</v>
      </c>
      <c r="C83" s="295">
        <f>$G$10*C65</f>
        <v>3300</v>
      </c>
      <c r="D83" s="295">
        <f t="shared" ref="D83:V83" si="29">$G$10*D65</f>
        <v>3142.793612290277</v>
      </c>
      <c r="E83" s="295">
        <f t="shared" si="29"/>
        <v>2993.2214810322757</v>
      </c>
      <c r="F83" s="295">
        <f t="shared" si="29"/>
        <v>2839.7951620510753</v>
      </c>
      <c r="G83" s="295">
        <f t="shared" si="29"/>
        <v>2667.913213395324</v>
      </c>
      <c r="H83" s="295">
        <f t="shared" si="29"/>
        <v>2496.7724546863419</v>
      </c>
      <c r="I83" s="295">
        <f t="shared" si="29"/>
        <v>2306.360757361364</v>
      </c>
      <c r="J83" s="295">
        <f t="shared" si="29"/>
        <v>2097.789906340543</v>
      </c>
      <c r="K83" s="295">
        <f t="shared" si="29"/>
        <v>1869.7257597196951</v>
      </c>
      <c r="L83" s="295">
        <f t="shared" si="29"/>
        <v>1615.1270130045141</v>
      </c>
      <c r="M83" s="295">
        <f t="shared" si="29"/>
        <v>1414.4868944141228</v>
      </c>
      <c r="N83" s="295">
        <f t="shared" si="29"/>
        <v>1236.823664173573</v>
      </c>
      <c r="O83" s="295">
        <f t="shared" si="29"/>
        <v>1043.4472070615184</v>
      </c>
      <c r="P83" s="295">
        <f t="shared" si="29"/>
        <v>834.13516609392855</v>
      </c>
      <c r="Q83" s="295">
        <f t="shared" si="29"/>
        <v>609.70285021224947</v>
      </c>
      <c r="R83" s="295">
        <f t="shared" si="29"/>
        <v>369.63142645374262</v>
      </c>
      <c r="S83" s="295">
        <f t="shared" si="29"/>
        <v>112.73499090357753</v>
      </c>
      <c r="T83" s="295">
        <f t="shared" si="29"/>
        <v>0</v>
      </c>
      <c r="U83" s="295">
        <f t="shared" si="29"/>
        <v>0</v>
      </c>
      <c r="V83" s="295">
        <f t="shared" si="29"/>
        <v>0</v>
      </c>
    </row>
    <row r="84" spans="2:22" s="1210" customFormat="1">
      <c r="B84" s="1336" t="s">
        <v>771</v>
      </c>
      <c r="C84" s="297">
        <f>$G$8/30</f>
        <v>2750</v>
      </c>
      <c r="D84" s="297">
        <f t="shared" ref="D84:V84" si="30">$G$8/30</f>
        <v>2750</v>
      </c>
      <c r="E84" s="297">
        <f t="shared" si="30"/>
        <v>2750</v>
      </c>
      <c r="F84" s="297">
        <f t="shared" si="30"/>
        <v>2750</v>
      </c>
      <c r="G84" s="297">
        <f t="shared" si="30"/>
        <v>2750</v>
      </c>
      <c r="H84" s="297">
        <f t="shared" si="30"/>
        <v>2750</v>
      </c>
      <c r="I84" s="297">
        <f t="shared" si="30"/>
        <v>2750</v>
      </c>
      <c r="J84" s="297">
        <f t="shared" si="30"/>
        <v>2750</v>
      </c>
      <c r="K84" s="297">
        <f t="shared" si="30"/>
        <v>2750</v>
      </c>
      <c r="L84" s="297">
        <f t="shared" si="30"/>
        <v>2750</v>
      </c>
      <c r="M84" s="297">
        <f t="shared" si="30"/>
        <v>2750</v>
      </c>
      <c r="N84" s="297">
        <f t="shared" si="30"/>
        <v>2750</v>
      </c>
      <c r="O84" s="297">
        <f t="shared" si="30"/>
        <v>2750</v>
      </c>
      <c r="P84" s="297">
        <f t="shared" si="30"/>
        <v>2750</v>
      </c>
      <c r="Q84" s="297">
        <f t="shared" si="30"/>
        <v>2750</v>
      </c>
      <c r="R84" s="297">
        <f t="shared" si="30"/>
        <v>2750</v>
      </c>
      <c r="S84" s="297">
        <f t="shared" si="30"/>
        <v>2750</v>
      </c>
      <c r="T84" s="297">
        <f t="shared" si="30"/>
        <v>2750</v>
      </c>
      <c r="U84" s="297">
        <f t="shared" si="30"/>
        <v>2750</v>
      </c>
      <c r="V84" s="297">
        <f t="shared" si="30"/>
        <v>2750</v>
      </c>
    </row>
    <row r="85" spans="2:22" s="1210" customFormat="1">
      <c r="B85" s="1336" t="s">
        <v>772</v>
      </c>
      <c r="C85" s="295">
        <f t="shared" ref="C85:V85" si="31">SUM(C81:C84)</f>
        <v>14002.862951970257</v>
      </c>
      <c r="D85" s="295">
        <f t="shared" si="31"/>
        <v>12655.516502651433</v>
      </c>
      <c r="E85" s="295">
        <f t="shared" si="31"/>
        <v>12321.789793558952</v>
      </c>
      <c r="F85" s="295">
        <f t="shared" si="31"/>
        <v>12242.216349839462</v>
      </c>
      <c r="G85" s="295">
        <f t="shared" si="31"/>
        <v>12792.137322618688</v>
      </c>
      <c r="H85" s="295">
        <f t="shared" si="31"/>
        <v>12637.7622528793</v>
      </c>
      <c r="I85" s="295">
        <f t="shared" si="31"/>
        <v>13339.184008535964</v>
      </c>
      <c r="J85" s="295">
        <f t="shared" si="31"/>
        <v>13435.97248407271</v>
      </c>
      <c r="K85" s="295">
        <f t="shared" si="31"/>
        <v>13537.087407612365</v>
      </c>
      <c r="L85" s="295">
        <f t="shared" si="31"/>
        <v>14127.023209548439</v>
      </c>
      <c r="M85" s="295">
        <f t="shared" si="31"/>
        <v>4963.0738660768311</v>
      </c>
      <c r="N85" s="295">
        <f t="shared" si="31"/>
        <v>3953.067028600427</v>
      </c>
      <c r="O85" s="295">
        <f t="shared" si="31"/>
        <v>3982.1309288653065</v>
      </c>
      <c r="P85" s="295">
        <f t="shared" si="31"/>
        <v>3967.1420606401616</v>
      </c>
      <c r="Q85" s="295">
        <f t="shared" si="31"/>
        <v>3960.0126344825271</v>
      </c>
      <c r="R85" s="295">
        <f t="shared" si="31"/>
        <v>4014.9177303130173</v>
      </c>
      <c r="S85" s="295">
        <f t="shared" si="31"/>
        <v>4013.6778558795572</v>
      </c>
      <c r="T85" s="295">
        <f t="shared" si="31"/>
        <v>4142.1431411482808</v>
      </c>
      <c r="U85" s="295">
        <f t="shared" si="31"/>
        <v>4158.4788573947153</v>
      </c>
      <c r="V85" s="295">
        <f t="shared" si="31"/>
        <v>4120.8207821686592</v>
      </c>
    </row>
    <row r="86" spans="2:22" s="1210" customFormat="1" ht="12.75" customHeight="1">
      <c r="B86" s="1336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</row>
    <row r="87" spans="2:22" s="8" customFormat="1" ht="12.75" customHeight="1"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</row>
    <row r="88" spans="2:22" s="46" customFormat="1" ht="15.75">
      <c r="B88" s="737" t="s">
        <v>618</v>
      </c>
    </row>
    <row r="89" spans="2:22">
      <c r="B89" s="569" t="s">
        <v>386</v>
      </c>
      <c r="C89" s="566">
        <v>1</v>
      </c>
      <c r="D89" s="566">
        <f>+C89+1</f>
        <v>2</v>
      </c>
      <c r="E89" s="566">
        <f t="shared" ref="E89:N89" si="32">+D89+1</f>
        <v>3</v>
      </c>
      <c r="F89" s="566">
        <f t="shared" si="32"/>
        <v>4</v>
      </c>
      <c r="G89" s="566">
        <f t="shared" si="32"/>
        <v>5</v>
      </c>
      <c r="H89" s="566">
        <f t="shared" si="32"/>
        <v>6</v>
      </c>
      <c r="I89" s="566">
        <f t="shared" si="32"/>
        <v>7</v>
      </c>
      <c r="J89" s="566">
        <f t="shared" si="32"/>
        <v>8</v>
      </c>
      <c r="K89" s="566">
        <f t="shared" si="32"/>
        <v>9</v>
      </c>
      <c r="L89" s="566">
        <f t="shared" si="32"/>
        <v>10</v>
      </c>
      <c r="M89" s="566">
        <f t="shared" si="32"/>
        <v>11</v>
      </c>
      <c r="N89" s="566">
        <f t="shared" si="32"/>
        <v>12</v>
      </c>
      <c r="O89" s="566">
        <f>+N89+1</f>
        <v>13</v>
      </c>
      <c r="P89" s="566">
        <f t="shared" ref="P89:U89" si="33">+O89+1</f>
        <v>14</v>
      </c>
      <c r="Q89" s="566">
        <f t="shared" si="33"/>
        <v>15</v>
      </c>
      <c r="R89" s="566">
        <f t="shared" si="33"/>
        <v>16</v>
      </c>
      <c r="S89" s="566">
        <f t="shared" si="33"/>
        <v>17</v>
      </c>
      <c r="T89" s="566">
        <f t="shared" si="33"/>
        <v>18</v>
      </c>
      <c r="U89" s="566">
        <f t="shared" si="33"/>
        <v>19</v>
      </c>
      <c r="V89" s="566">
        <f>+U89+1</f>
        <v>20</v>
      </c>
    </row>
    <row r="90" spans="2:22">
      <c r="B90" s="20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</row>
    <row r="91" spans="2:22" s="295" customFormat="1">
      <c r="B91" s="273" t="s">
        <v>30</v>
      </c>
      <c r="C91" s="295">
        <f t="shared" ref="C91:V91" si="34">+C$95*C105</f>
        <v>2970</v>
      </c>
      <c r="D91" s="295">
        <f t="shared" si="34"/>
        <v>5553.9</v>
      </c>
      <c r="E91" s="295">
        <f t="shared" si="34"/>
        <v>6366.7890000000007</v>
      </c>
      <c r="F91" s="295">
        <f t="shared" si="34"/>
        <v>6787.9765800000014</v>
      </c>
      <c r="G91" s="295">
        <f t="shared" si="34"/>
        <v>7272.8320500000009</v>
      </c>
      <c r="H91" s="295">
        <f t="shared" si="34"/>
        <v>8324.9684199000003</v>
      </c>
      <c r="I91" s="295">
        <f t="shared" si="34"/>
        <v>9490.4639986860002</v>
      </c>
      <c r="J91" s="295">
        <f t="shared" si="34"/>
        <v>9870.0825586334395</v>
      </c>
      <c r="K91" s="295">
        <f t="shared" si="34"/>
        <v>10264.885860978779</v>
      </c>
      <c r="L91" s="295">
        <f t="shared" si="34"/>
        <v>10675.481295417929</v>
      </c>
      <c r="M91" s="295">
        <f t="shared" si="34"/>
        <v>11102.500547234647</v>
      </c>
      <c r="N91" s="295">
        <f t="shared" si="34"/>
        <v>12101.725596485765</v>
      </c>
      <c r="O91" s="295">
        <f t="shared" si="34"/>
        <v>13190.880900169483</v>
      </c>
      <c r="P91" s="295">
        <f t="shared" si="34"/>
        <v>14378.060181184734</v>
      </c>
      <c r="Q91" s="295">
        <f t="shared" si="34"/>
        <v>15672.085597491359</v>
      </c>
      <c r="R91" s="295">
        <f t="shared" si="34"/>
        <v>22477.070133244186</v>
      </c>
      <c r="S91" s="295">
        <f t="shared" si="34"/>
        <v>21353.216626581976</v>
      </c>
      <c r="T91" s="295">
        <f t="shared" si="34"/>
        <v>20285.555795252876</v>
      </c>
      <c r="U91" s="295">
        <f t="shared" si="34"/>
        <v>19271.278005490232</v>
      </c>
      <c r="V91" s="295">
        <f t="shared" si="34"/>
        <v>18307.71410521572</v>
      </c>
    </row>
    <row r="92" spans="2:22" s="295" customFormat="1">
      <c r="B92" s="273" t="s">
        <v>116</v>
      </c>
      <c r="C92" s="295">
        <f t="shared" ref="C92:V92" si="35">+C$95*C106</f>
        <v>1980</v>
      </c>
      <c r="D92" s="295">
        <f t="shared" si="35"/>
        <v>7068.6</v>
      </c>
      <c r="E92" s="295">
        <f t="shared" si="35"/>
        <v>6856.5420000000013</v>
      </c>
      <c r="F92" s="295">
        <f t="shared" si="35"/>
        <v>6787.9765800000014</v>
      </c>
      <c r="G92" s="295">
        <f t="shared" si="35"/>
        <v>6787.9765800000014</v>
      </c>
      <c r="H92" s="295">
        <f t="shared" si="35"/>
        <v>7345.5603705000003</v>
      </c>
      <c r="I92" s="295">
        <f t="shared" si="35"/>
        <v>7492.4715779099997</v>
      </c>
      <c r="J92" s="295">
        <f t="shared" si="35"/>
        <v>7792.1704410263992</v>
      </c>
      <c r="K92" s="295">
        <f t="shared" si="35"/>
        <v>8103.8572586674554</v>
      </c>
      <c r="L92" s="295">
        <f t="shared" si="35"/>
        <v>8428.0115490141543</v>
      </c>
      <c r="M92" s="295">
        <f t="shared" si="35"/>
        <v>5843.4213406498147</v>
      </c>
      <c r="N92" s="295">
        <f t="shared" si="35"/>
        <v>6369.3292613082976</v>
      </c>
      <c r="O92" s="295">
        <f t="shared" si="35"/>
        <v>6942.5688948260431</v>
      </c>
      <c r="P92" s="295">
        <f t="shared" si="35"/>
        <v>7567.4000953603863</v>
      </c>
      <c r="Q92" s="295">
        <f t="shared" si="35"/>
        <v>8248.4661039428211</v>
      </c>
      <c r="R92" s="295">
        <f t="shared" si="35"/>
        <v>26972.484159893022</v>
      </c>
      <c r="S92" s="295">
        <f t="shared" si="35"/>
        <v>25623.859951898372</v>
      </c>
      <c r="T92" s="295">
        <f t="shared" si="35"/>
        <v>24342.666954303451</v>
      </c>
      <c r="U92" s="295">
        <f t="shared" si="35"/>
        <v>23125.533606588277</v>
      </c>
      <c r="V92" s="295">
        <f t="shared" si="35"/>
        <v>21969.256926258862</v>
      </c>
    </row>
    <row r="93" spans="2:22">
      <c r="B93" s="20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</row>
    <row r="94" spans="2:22">
      <c r="B94" s="1201" t="s">
        <v>129</v>
      </c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</row>
    <row r="95" spans="2:22">
      <c r="B95" s="20" t="s">
        <v>178</v>
      </c>
      <c r="C95" s="1187">
        <f>Devel_Financials!K8*Devel_Financials!K9</f>
        <v>49500</v>
      </c>
      <c r="D95" s="295">
        <f t="shared" ref="D95:V95" si="36">+C98</f>
        <v>50490</v>
      </c>
      <c r="E95" s="295">
        <f t="shared" si="36"/>
        <v>48975.3</v>
      </c>
      <c r="F95" s="295">
        <f t="shared" si="36"/>
        <v>48485.547000000006</v>
      </c>
      <c r="G95" s="295">
        <f t="shared" si="36"/>
        <v>48485.547000000006</v>
      </c>
      <c r="H95" s="295">
        <f t="shared" si="36"/>
        <v>48970.402470000001</v>
      </c>
      <c r="I95" s="295">
        <f t="shared" si="36"/>
        <v>49949.810519400002</v>
      </c>
      <c r="J95" s="295">
        <f t="shared" si="36"/>
        <v>51947.802940176</v>
      </c>
      <c r="K95" s="295">
        <f t="shared" si="36"/>
        <v>54025.71505778304</v>
      </c>
      <c r="L95" s="295">
        <f t="shared" si="36"/>
        <v>56186.743660094362</v>
      </c>
      <c r="M95" s="295">
        <f t="shared" si="36"/>
        <v>58434.213406498144</v>
      </c>
      <c r="N95" s="295">
        <f t="shared" si="36"/>
        <v>63693.292613082973</v>
      </c>
      <c r="O95" s="295">
        <f t="shared" si="36"/>
        <v>69425.688948260431</v>
      </c>
      <c r="P95" s="295">
        <f t="shared" si="36"/>
        <v>75674.000953603856</v>
      </c>
      <c r="Q95" s="295">
        <f t="shared" si="36"/>
        <v>82484.661039428203</v>
      </c>
      <c r="R95" s="295">
        <f t="shared" si="36"/>
        <v>89908.280532976743</v>
      </c>
      <c r="S95" s="295">
        <f t="shared" si="36"/>
        <v>85412.866506327904</v>
      </c>
      <c r="T95" s="295">
        <f t="shared" si="36"/>
        <v>81142.223181011504</v>
      </c>
      <c r="U95" s="295">
        <f t="shared" si="36"/>
        <v>77085.112021960929</v>
      </c>
      <c r="V95" s="295">
        <f t="shared" si="36"/>
        <v>73230.856420862881</v>
      </c>
    </row>
    <row r="96" spans="2:22">
      <c r="B96" s="20" t="s">
        <v>623</v>
      </c>
      <c r="C96" s="295">
        <f>+C91</f>
        <v>2970</v>
      </c>
      <c r="D96" s="295">
        <f>+D91</f>
        <v>5553.9</v>
      </c>
      <c r="E96" s="295">
        <f t="shared" ref="E96:V96" si="37">+E91</f>
        <v>6366.7890000000007</v>
      </c>
      <c r="F96" s="295">
        <f t="shared" si="37"/>
        <v>6787.9765800000014</v>
      </c>
      <c r="G96" s="295">
        <f t="shared" si="37"/>
        <v>7272.8320500000009</v>
      </c>
      <c r="H96" s="295">
        <f t="shared" si="37"/>
        <v>8324.9684199000003</v>
      </c>
      <c r="I96" s="295">
        <f t="shared" si="37"/>
        <v>9490.4639986860002</v>
      </c>
      <c r="J96" s="295">
        <f t="shared" si="37"/>
        <v>9870.0825586334395</v>
      </c>
      <c r="K96" s="295">
        <f t="shared" si="37"/>
        <v>10264.885860978779</v>
      </c>
      <c r="L96" s="295">
        <f t="shared" si="37"/>
        <v>10675.481295417929</v>
      </c>
      <c r="M96" s="295">
        <f t="shared" si="37"/>
        <v>11102.500547234647</v>
      </c>
      <c r="N96" s="295">
        <f t="shared" si="37"/>
        <v>12101.725596485765</v>
      </c>
      <c r="O96" s="295">
        <f t="shared" si="37"/>
        <v>13190.880900169483</v>
      </c>
      <c r="P96" s="295">
        <f t="shared" si="37"/>
        <v>14378.060181184734</v>
      </c>
      <c r="Q96" s="295">
        <f t="shared" si="37"/>
        <v>15672.085597491359</v>
      </c>
      <c r="R96" s="295">
        <f t="shared" si="37"/>
        <v>22477.070133244186</v>
      </c>
      <c r="S96" s="295">
        <f t="shared" si="37"/>
        <v>21353.216626581976</v>
      </c>
      <c r="T96" s="295">
        <f t="shared" si="37"/>
        <v>20285.555795252876</v>
      </c>
      <c r="U96" s="295">
        <f t="shared" si="37"/>
        <v>19271.278005490232</v>
      </c>
      <c r="V96" s="295">
        <f t="shared" si="37"/>
        <v>18307.71410521572</v>
      </c>
    </row>
    <row r="97" spans="2:22">
      <c r="B97" s="20" t="s">
        <v>624</v>
      </c>
      <c r="C97" s="295">
        <f>-C92</f>
        <v>-1980</v>
      </c>
      <c r="D97" s="295">
        <f>-D92</f>
        <v>-7068.6</v>
      </c>
      <c r="E97" s="295">
        <f t="shared" ref="E97:V97" si="38">-E92</f>
        <v>-6856.5420000000013</v>
      </c>
      <c r="F97" s="295">
        <f t="shared" si="38"/>
        <v>-6787.9765800000014</v>
      </c>
      <c r="G97" s="295">
        <f t="shared" si="38"/>
        <v>-6787.9765800000014</v>
      </c>
      <c r="H97" s="295">
        <f t="shared" si="38"/>
        <v>-7345.5603705000003</v>
      </c>
      <c r="I97" s="295">
        <f t="shared" si="38"/>
        <v>-7492.4715779099997</v>
      </c>
      <c r="J97" s="295">
        <f t="shared" si="38"/>
        <v>-7792.1704410263992</v>
      </c>
      <c r="K97" s="295">
        <f t="shared" si="38"/>
        <v>-8103.8572586674554</v>
      </c>
      <c r="L97" s="295">
        <f t="shared" si="38"/>
        <v>-8428.0115490141543</v>
      </c>
      <c r="M97" s="295">
        <f t="shared" si="38"/>
        <v>-5843.4213406498147</v>
      </c>
      <c r="N97" s="295">
        <f t="shared" si="38"/>
        <v>-6369.3292613082976</v>
      </c>
      <c r="O97" s="295">
        <f t="shared" si="38"/>
        <v>-6942.5688948260431</v>
      </c>
      <c r="P97" s="295">
        <f t="shared" si="38"/>
        <v>-7567.4000953603863</v>
      </c>
      <c r="Q97" s="295">
        <f t="shared" si="38"/>
        <v>-8248.4661039428211</v>
      </c>
      <c r="R97" s="295">
        <f t="shared" si="38"/>
        <v>-26972.484159893022</v>
      </c>
      <c r="S97" s="295">
        <f t="shared" si="38"/>
        <v>-25623.859951898372</v>
      </c>
      <c r="T97" s="295">
        <f t="shared" si="38"/>
        <v>-24342.666954303451</v>
      </c>
      <c r="U97" s="295">
        <f t="shared" si="38"/>
        <v>-23125.533606588277</v>
      </c>
      <c r="V97" s="295">
        <f t="shared" si="38"/>
        <v>-21969.256926258862</v>
      </c>
    </row>
    <row r="98" spans="2:22">
      <c r="B98" s="20" t="s">
        <v>179</v>
      </c>
      <c r="C98" s="1202">
        <f t="shared" ref="C98:V98" si="39">SUM(C95:C97)</f>
        <v>50490</v>
      </c>
      <c r="D98" s="1202">
        <f t="shared" si="39"/>
        <v>48975.3</v>
      </c>
      <c r="E98" s="1202">
        <f t="shared" si="39"/>
        <v>48485.547000000006</v>
      </c>
      <c r="F98" s="1202">
        <f t="shared" si="39"/>
        <v>48485.547000000006</v>
      </c>
      <c r="G98" s="1202">
        <f t="shared" si="39"/>
        <v>48970.402470000001</v>
      </c>
      <c r="H98" s="1202">
        <f t="shared" si="39"/>
        <v>49949.810519400002</v>
      </c>
      <c r="I98" s="1202">
        <f t="shared" si="39"/>
        <v>51947.802940176</v>
      </c>
      <c r="J98" s="1202">
        <f t="shared" si="39"/>
        <v>54025.71505778304</v>
      </c>
      <c r="K98" s="1202">
        <f t="shared" si="39"/>
        <v>56186.743660094362</v>
      </c>
      <c r="L98" s="1202">
        <f t="shared" si="39"/>
        <v>58434.213406498144</v>
      </c>
      <c r="M98" s="1202">
        <f t="shared" si="39"/>
        <v>63693.292613082973</v>
      </c>
      <c r="N98" s="1202">
        <f t="shared" si="39"/>
        <v>69425.688948260431</v>
      </c>
      <c r="O98" s="1202">
        <f t="shared" si="39"/>
        <v>75674.000953603856</v>
      </c>
      <c r="P98" s="1202">
        <f t="shared" si="39"/>
        <v>82484.661039428203</v>
      </c>
      <c r="Q98" s="1202">
        <f t="shared" si="39"/>
        <v>89908.280532976743</v>
      </c>
      <c r="R98" s="1202">
        <f t="shared" si="39"/>
        <v>85412.866506327904</v>
      </c>
      <c r="S98" s="1202">
        <f t="shared" si="39"/>
        <v>81142.223181011504</v>
      </c>
      <c r="T98" s="1202">
        <f t="shared" si="39"/>
        <v>77085.112021960929</v>
      </c>
      <c r="U98" s="1202">
        <f t="shared" si="39"/>
        <v>73230.856420862881</v>
      </c>
      <c r="V98" s="1202">
        <f t="shared" si="39"/>
        <v>69569.313599819739</v>
      </c>
    </row>
    <row r="99" spans="2:22">
      <c r="B99" s="20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</row>
    <row r="100" spans="2:22">
      <c r="B100" s="1201" t="s">
        <v>130</v>
      </c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</row>
    <row r="101" spans="2:22">
      <c r="B101" s="20" t="s">
        <v>178</v>
      </c>
      <c r="C101" s="1187">
        <f>Devel_Financials!K8-Devel_Financials!C95</f>
        <v>115500</v>
      </c>
      <c r="D101" s="295">
        <f t="shared" ref="D101:V101" si="40">+C103</f>
        <v>113190</v>
      </c>
      <c r="E101" s="295">
        <f t="shared" si="40"/>
        <v>106260</v>
      </c>
      <c r="F101" s="295">
        <f t="shared" si="40"/>
        <v>99330</v>
      </c>
      <c r="G101" s="295">
        <f t="shared" si="40"/>
        <v>92400</v>
      </c>
      <c r="H101" s="295">
        <f t="shared" si="40"/>
        <v>85470</v>
      </c>
      <c r="I101" s="295">
        <f t="shared" si="40"/>
        <v>77385</v>
      </c>
      <c r="J101" s="295">
        <f t="shared" si="40"/>
        <v>69300</v>
      </c>
      <c r="K101" s="295">
        <f t="shared" si="40"/>
        <v>61215</v>
      </c>
      <c r="L101" s="295">
        <f t="shared" si="40"/>
        <v>53130</v>
      </c>
      <c r="M101" s="295">
        <f t="shared" si="40"/>
        <v>45045</v>
      </c>
      <c r="N101" s="295">
        <f t="shared" si="40"/>
        <v>36960</v>
      </c>
      <c r="O101" s="295">
        <f t="shared" si="40"/>
        <v>27720</v>
      </c>
      <c r="P101" s="295">
        <f t="shared" si="40"/>
        <v>17325</v>
      </c>
      <c r="Q101" s="295">
        <f t="shared" si="40"/>
        <v>5775</v>
      </c>
      <c r="R101" s="295">
        <f t="shared" si="40"/>
        <v>0</v>
      </c>
      <c r="S101" s="295">
        <f t="shared" si="40"/>
        <v>0</v>
      </c>
      <c r="T101" s="295">
        <f t="shared" si="40"/>
        <v>0</v>
      </c>
      <c r="U101" s="295">
        <f t="shared" si="40"/>
        <v>0</v>
      </c>
      <c r="V101" s="295">
        <f t="shared" si="40"/>
        <v>0</v>
      </c>
    </row>
    <row r="102" spans="2:22">
      <c r="B102" s="20" t="s">
        <v>625</v>
      </c>
      <c r="C102" s="295">
        <f>-$C$101*C107</f>
        <v>-2310</v>
      </c>
      <c r="D102" s="295">
        <f t="shared" ref="D102:V102" si="41">-$C$101*D107</f>
        <v>-6930</v>
      </c>
      <c r="E102" s="295">
        <f t="shared" si="41"/>
        <v>-6930</v>
      </c>
      <c r="F102" s="295">
        <f t="shared" si="41"/>
        <v>-6930</v>
      </c>
      <c r="G102" s="295">
        <f t="shared" si="41"/>
        <v>-6930</v>
      </c>
      <c r="H102" s="295">
        <f t="shared" si="41"/>
        <v>-8085.0000000000009</v>
      </c>
      <c r="I102" s="295">
        <f t="shared" si="41"/>
        <v>-8085.0000000000009</v>
      </c>
      <c r="J102" s="295">
        <f t="shared" si="41"/>
        <v>-8085.0000000000009</v>
      </c>
      <c r="K102" s="295">
        <f t="shared" si="41"/>
        <v>-8085.0000000000009</v>
      </c>
      <c r="L102" s="295">
        <f t="shared" si="41"/>
        <v>-8085.0000000000009</v>
      </c>
      <c r="M102" s="295">
        <f t="shared" si="41"/>
        <v>-8085.0000000000009</v>
      </c>
      <c r="N102" s="295">
        <f t="shared" si="41"/>
        <v>-9240</v>
      </c>
      <c r="O102" s="295">
        <f t="shared" si="41"/>
        <v>-10395</v>
      </c>
      <c r="P102" s="295">
        <f t="shared" si="41"/>
        <v>-11550</v>
      </c>
      <c r="Q102" s="295">
        <f t="shared" si="41"/>
        <v>-5775</v>
      </c>
      <c r="R102" s="295">
        <f t="shared" si="41"/>
        <v>0</v>
      </c>
      <c r="S102" s="295">
        <f t="shared" si="41"/>
        <v>0</v>
      </c>
      <c r="T102" s="295">
        <f t="shared" si="41"/>
        <v>0</v>
      </c>
      <c r="U102" s="295">
        <f t="shared" si="41"/>
        <v>0</v>
      </c>
      <c r="V102" s="295">
        <f t="shared" si="41"/>
        <v>0</v>
      </c>
    </row>
    <row r="103" spans="2:22">
      <c r="B103" s="20" t="s">
        <v>179</v>
      </c>
      <c r="C103" s="1202">
        <f t="shared" ref="C103:V103" si="42">SUM(C101:C102)</f>
        <v>113190</v>
      </c>
      <c r="D103" s="1202">
        <f t="shared" si="42"/>
        <v>106260</v>
      </c>
      <c r="E103" s="1202">
        <f t="shared" si="42"/>
        <v>99330</v>
      </c>
      <c r="F103" s="1202">
        <f t="shared" si="42"/>
        <v>92400</v>
      </c>
      <c r="G103" s="1202">
        <f t="shared" si="42"/>
        <v>85470</v>
      </c>
      <c r="H103" s="1202">
        <f t="shared" si="42"/>
        <v>77385</v>
      </c>
      <c r="I103" s="1202">
        <f t="shared" si="42"/>
        <v>69300</v>
      </c>
      <c r="J103" s="1202">
        <f t="shared" si="42"/>
        <v>61215</v>
      </c>
      <c r="K103" s="1202">
        <f t="shared" si="42"/>
        <v>53130</v>
      </c>
      <c r="L103" s="1202">
        <f t="shared" si="42"/>
        <v>45045</v>
      </c>
      <c r="M103" s="1202">
        <f t="shared" si="42"/>
        <v>36960</v>
      </c>
      <c r="N103" s="1202">
        <f t="shared" si="42"/>
        <v>27720</v>
      </c>
      <c r="O103" s="1202">
        <f t="shared" si="42"/>
        <v>17325</v>
      </c>
      <c r="P103" s="1202">
        <f t="shared" si="42"/>
        <v>5775</v>
      </c>
      <c r="Q103" s="1202">
        <f t="shared" si="42"/>
        <v>0</v>
      </c>
      <c r="R103" s="1202">
        <f t="shared" si="42"/>
        <v>0</v>
      </c>
      <c r="S103" s="1202">
        <f t="shared" si="42"/>
        <v>0</v>
      </c>
      <c r="T103" s="1202">
        <f t="shared" si="42"/>
        <v>0</v>
      </c>
      <c r="U103" s="1202">
        <f t="shared" si="42"/>
        <v>0</v>
      </c>
      <c r="V103" s="1202">
        <f t="shared" si="42"/>
        <v>0</v>
      </c>
    </row>
    <row r="104" spans="2:22">
      <c r="B104" s="20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</row>
    <row r="105" spans="2:22">
      <c r="B105" s="197" t="s">
        <v>626</v>
      </c>
      <c r="C105" s="1203">
        <v>0.06</v>
      </c>
      <c r="D105" s="1203">
        <v>0.11</v>
      </c>
      <c r="E105" s="1203">
        <v>0.13</v>
      </c>
      <c r="F105" s="1203">
        <v>0.14000000000000001</v>
      </c>
      <c r="G105" s="1203">
        <v>0.15</v>
      </c>
      <c r="H105" s="1203">
        <v>0.17</v>
      </c>
      <c r="I105" s="1203">
        <v>0.19</v>
      </c>
      <c r="J105" s="1203">
        <v>0.19</v>
      </c>
      <c r="K105" s="1203">
        <v>0.19</v>
      </c>
      <c r="L105" s="1203">
        <v>0.19</v>
      </c>
      <c r="M105" s="1203">
        <v>0.19</v>
      </c>
      <c r="N105" s="1203">
        <v>0.19</v>
      </c>
      <c r="O105" s="1203">
        <v>0.19</v>
      </c>
      <c r="P105" s="1203">
        <v>0.19</v>
      </c>
      <c r="Q105" s="1203">
        <v>0.19</v>
      </c>
      <c r="R105" s="1203">
        <v>0.25</v>
      </c>
      <c r="S105" s="1203">
        <v>0.25</v>
      </c>
      <c r="T105" s="1203">
        <v>0.25</v>
      </c>
      <c r="U105" s="1203">
        <v>0.25</v>
      </c>
      <c r="V105" s="1203">
        <v>0.25</v>
      </c>
    </row>
    <row r="106" spans="2:22">
      <c r="B106" s="197" t="s">
        <v>627</v>
      </c>
      <c r="C106" s="1203">
        <v>0.04</v>
      </c>
      <c r="D106" s="1203">
        <v>0.14000000000000001</v>
      </c>
      <c r="E106" s="1203">
        <v>0.14000000000000001</v>
      </c>
      <c r="F106" s="1203">
        <v>0.14000000000000001</v>
      </c>
      <c r="G106" s="1203">
        <v>0.14000000000000001</v>
      </c>
      <c r="H106" s="1203">
        <v>0.15</v>
      </c>
      <c r="I106" s="1203">
        <v>0.15</v>
      </c>
      <c r="J106" s="1203">
        <v>0.15</v>
      </c>
      <c r="K106" s="1203">
        <v>0.15</v>
      </c>
      <c r="L106" s="1203">
        <v>0.15</v>
      </c>
      <c r="M106" s="1203">
        <v>0.1</v>
      </c>
      <c r="N106" s="1203">
        <v>0.1</v>
      </c>
      <c r="O106" s="1203">
        <v>0.1</v>
      </c>
      <c r="P106" s="1203">
        <v>0.1</v>
      </c>
      <c r="Q106" s="1203">
        <v>0.1</v>
      </c>
      <c r="R106" s="1203">
        <v>0.3</v>
      </c>
      <c r="S106" s="1203">
        <v>0.3</v>
      </c>
      <c r="T106" s="1203">
        <v>0.3</v>
      </c>
      <c r="U106" s="1203">
        <v>0.3</v>
      </c>
      <c r="V106" s="1203">
        <v>0.3</v>
      </c>
    </row>
    <row r="107" spans="2:22">
      <c r="B107" s="197" t="s">
        <v>628</v>
      </c>
      <c r="C107" s="1203">
        <v>0.02</v>
      </c>
      <c r="D107" s="1203">
        <v>0.06</v>
      </c>
      <c r="E107" s="1203">
        <v>0.06</v>
      </c>
      <c r="F107" s="1203">
        <v>0.06</v>
      </c>
      <c r="G107" s="1203">
        <v>0.06</v>
      </c>
      <c r="H107" s="1203">
        <v>7.0000000000000007E-2</v>
      </c>
      <c r="I107" s="1203">
        <v>7.0000000000000007E-2</v>
      </c>
      <c r="J107" s="1203">
        <v>7.0000000000000007E-2</v>
      </c>
      <c r="K107" s="1203">
        <v>7.0000000000000007E-2</v>
      </c>
      <c r="L107" s="1203">
        <v>7.0000000000000007E-2</v>
      </c>
      <c r="M107" s="1203">
        <v>7.0000000000000007E-2</v>
      </c>
      <c r="N107" s="1203">
        <v>0.08</v>
      </c>
      <c r="O107" s="1203">
        <v>0.09</v>
      </c>
      <c r="P107" s="1203">
        <v>0.1</v>
      </c>
      <c r="Q107" s="1203">
        <v>0.05</v>
      </c>
      <c r="R107" s="1203"/>
      <c r="S107" s="1203"/>
      <c r="T107" s="1203"/>
      <c r="U107" s="1203"/>
      <c r="V107" s="1203"/>
    </row>
    <row r="108" spans="2:22">
      <c r="B108" s="197"/>
      <c r="C108" s="578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</row>
    <row r="109" spans="2:22">
      <c r="B109" s="1204" t="s">
        <v>629</v>
      </c>
    </row>
    <row r="110" spans="2:22">
      <c r="B110" s="1198" t="s">
        <v>630</v>
      </c>
      <c r="C110" s="1205">
        <f>NPV(0.14,C92:V92)-C95</f>
        <v>1914.611082886433</v>
      </c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</row>
    <row r="111" spans="2:22">
      <c r="B111" s="1206" t="s">
        <v>631</v>
      </c>
      <c r="C111" s="1207">
        <f>IRR(B112:V112,0.1)</f>
        <v>0.14488740067412184</v>
      </c>
      <c r="D111" s="957"/>
      <c r="E111" s="957"/>
      <c r="F111" s="957"/>
      <c r="G111" s="957"/>
      <c r="H111" s="957"/>
      <c r="I111" s="957"/>
      <c r="J111" s="957"/>
      <c r="K111" s="957"/>
      <c r="L111" s="957"/>
      <c r="M111" s="957"/>
      <c r="N111" s="957"/>
      <c r="O111" s="957"/>
      <c r="P111" s="957"/>
      <c r="Q111" s="957"/>
      <c r="R111" s="957"/>
      <c r="S111" s="957"/>
      <c r="T111" s="957"/>
      <c r="U111" s="957"/>
      <c r="V111" s="957"/>
    </row>
    <row r="112" spans="2:22">
      <c r="B112" s="1208">
        <f>-C95</f>
        <v>-49500</v>
      </c>
      <c r="C112" s="1209">
        <f>+C92</f>
        <v>1980</v>
      </c>
      <c r="D112" s="1209">
        <f t="shared" ref="D112:V112" si="43">+D92</f>
        <v>7068.6</v>
      </c>
      <c r="E112" s="1209">
        <f t="shared" si="43"/>
        <v>6856.5420000000013</v>
      </c>
      <c r="F112" s="1209">
        <f t="shared" si="43"/>
        <v>6787.9765800000014</v>
      </c>
      <c r="G112" s="1209">
        <f t="shared" si="43"/>
        <v>6787.9765800000014</v>
      </c>
      <c r="H112" s="1209">
        <f t="shared" si="43"/>
        <v>7345.5603705000003</v>
      </c>
      <c r="I112" s="1209">
        <f t="shared" si="43"/>
        <v>7492.4715779099997</v>
      </c>
      <c r="J112" s="1209">
        <f t="shared" si="43"/>
        <v>7792.1704410263992</v>
      </c>
      <c r="K112" s="1209">
        <f t="shared" si="43"/>
        <v>8103.8572586674554</v>
      </c>
      <c r="L112" s="1209">
        <f t="shared" si="43"/>
        <v>8428.0115490141543</v>
      </c>
      <c r="M112" s="1209">
        <f t="shared" si="43"/>
        <v>5843.4213406498147</v>
      </c>
      <c r="N112" s="1209">
        <f t="shared" si="43"/>
        <v>6369.3292613082976</v>
      </c>
      <c r="O112" s="1209">
        <f t="shared" si="43"/>
        <v>6942.5688948260431</v>
      </c>
      <c r="P112" s="1209">
        <f t="shared" si="43"/>
        <v>7567.4000953603863</v>
      </c>
      <c r="Q112" s="1209">
        <f t="shared" si="43"/>
        <v>8248.4661039428211</v>
      </c>
      <c r="R112" s="1209">
        <f t="shared" si="43"/>
        <v>26972.484159893022</v>
      </c>
      <c r="S112" s="1209">
        <f t="shared" si="43"/>
        <v>25623.859951898372</v>
      </c>
      <c r="T112" s="1209">
        <f t="shared" si="43"/>
        <v>24342.666954303451</v>
      </c>
      <c r="U112" s="1209">
        <f t="shared" si="43"/>
        <v>23125.533606588277</v>
      </c>
      <c r="V112" s="1209">
        <f t="shared" si="43"/>
        <v>21969.256926258862</v>
      </c>
    </row>
    <row r="113" spans="2:22">
      <c r="B113" s="1208"/>
      <c r="C113" s="1209"/>
      <c r="D113" s="1209"/>
      <c r="E113" s="1209"/>
      <c r="F113" s="1209"/>
      <c r="G113" s="1209"/>
      <c r="H113" s="1209"/>
      <c r="I113" s="1209"/>
      <c r="J113" s="1209"/>
      <c r="K113" s="1209"/>
      <c r="L113" s="1209"/>
      <c r="M113" s="1209"/>
      <c r="N113" s="1209"/>
      <c r="O113" s="1209"/>
      <c r="P113" s="1209"/>
      <c r="Q113" s="1209"/>
      <c r="R113" s="1209"/>
      <c r="S113" s="1209"/>
      <c r="T113" s="1209"/>
      <c r="U113" s="1209"/>
      <c r="V113" s="1209"/>
    </row>
    <row r="114" spans="2:22" s="1210" customFormat="1">
      <c r="B114" s="1201" t="s">
        <v>23</v>
      </c>
    </row>
    <row r="115" spans="2:22" s="1210" customFormat="1">
      <c r="B115" s="1336" t="s">
        <v>30</v>
      </c>
      <c r="C115" s="295">
        <f>C91</f>
        <v>2970</v>
      </c>
      <c r="D115" s="295">
        <f t="shared" ref="D115:V115" si="44">D91</f>
        <v>5553.9</v>
      </c>
      <c r="E115" s="295">
        <f t="shared" si="44"/>
        <v>6366.7890000000007</v>
      </c>
      <c r="F115" s="295">
        <f t="shared" si="44"/>
        <v>6787.9765800000014</v>
      </c>
      <c r="G115" s="295">
        <f t="shared" si="44"/>
        <v>7272.8320500000009</v>
      </c>
      <c r="H115" s="295">
        <f t="shared" si="44"/>
        <v>8324.9684199000003</v>
      </c>
      <c r="I115" s="295">
        <f t="shared" si="44"/>
        <v>9490.4639986860002</v>
      </c>
      <c r="J115" s="295">
        <f t="shared" si="44"/>
        <v>9870.0825586334395</v>
      </c>
      <c r="K115" s="295">
        <f t="shared" si="44"/>
        <v>10264.885860978779</v>
      </c>
      <c r="L115" s="295">
        <f t="shared" si="44"/>
        <v>10675.481295417929</v>
      </c>
      <c r="M115" s="295">
        <f t="shared" si="44"/>
        <v>11102.500547234647</v>
      </c>
      <c r="N115" s="295">
        <f t="shared" si="44"/>
        <v>12101.725596485765</v>
      </c>
      <c r="O115" s="295">
        <f t="shared" si="44"/>
        <v>13190.880900169483</v>
      </c>
      <c r="P115" s="295">
        <f t="shared" si="44"/>
        <v>14378.060181184734</v>
      </c>
      <c r="Q115" s="295">
        <f t="shared" si="44"/>
        <v>15672.085597491359</v>
      </c>
      <c r="R115" s="295">
        <f t="shared" si="44"/>
        <v>22477.070133244186</v>
      </c>
      <c r="S115" s="295">
        <f t="shared" si="44"/>
        <v>21353.216626581976</v>
      </c>
      <c r="T115" s="295">
        <f t="shared" si="44"/>
        <v>20285.555795252876</v>
      </c>
      <c r="U115" s="295">
        <f t="shared" si="44"/>
        <v>19271.278005490232</v>
      </c>
      <c r="V115" s="295">
        <f t="shared" si="44"/>
        <v>18307.71410521572</v>
      </c>
    </row>
    <row r="116" spans="2:22" s="1210" customFormat="1">
      <c r="B116" s="1336" t="s">
        <v>769</v>
      </c>
      <c r="C116" s="1336">
        <f t="shared" ref="C116:V116" si="45">+C115/(1-0.385)-C115</f>
        <v>1859.2682926829266</v>
      </c>
      <c r="D116" s="1336">
        <f t="shared" si="45"/>
        <v>3476.8317073170729</v>
      </c>
      <c r="E116" s="1336">
        <f t="shared" si="45"/>
        <v>3985.71343902439</v>
      </c>
      <c r="F116" s="1336">
        <f t="shared" si="45"/>
        <v>4249.3837126829285</v>
      </c>
      <c r="G116" s="1336">
        <f t="shared" si="45"/>
        <v>4552.9111207317073</v>
      </c>
      <c r="H116" s="1336">
        <f t="shared" si="45"/>
        <v>5211.5655961975608</v>
      </c>
      <c r="I116" s="1336">
        <f t="shared" si="45"/>
        <v>5941.18477966522</v>
      </c>
      <c r="J116" s="1336">
        <f t="shared" si="45"/>
        <v>6178.8321708518288</v>
      </c>
      <c r="K116" s="1336">
        <f t="shared" si="45"/>
        <v>6425.9854576859034</v>
      </c>
      <c r="L116" s="1336">
        <f t="shared" si="45"/>
        <v>6683.0248759933384</v>
      </c>
      <c r="M116" s="1336">
        <f t="shared" si="45"/>
        <v>6950.3458710330724</v>
      </c>
      <c r="N116" s="1336">
        <f t="shared" si="45"/>
        <v>7575.8769994260474</v>
      </c>
      <c r="O116" s="1336">
        <f t="shared" si="45"/>
        <v>8257.7059293743914</v>
      </c>
      <c r="P116" s="1336">
        <f t="shared" si="45"/>
        <v>9000.899463018086</v>
      </c>
      <c r="Q116" s="1336">
        <f t="shared" si="45"/>
        <v>9810.9804146897131</v>
      </c>
      <c r="R116" s="1336">
        <f t="shared" si="45"/>
        <v>14071.011384226036</v>
      </c>
      <c r="S116" s="1336">
        <f t="shared" si="45"/>
        <v>13367.460815014732</v>
      </c>
      <c r="T116" s="1336">
        <f t="shared" si="45"/>
        <v>12699.087774263993</v>
      </c>
      <c r="U116" s="1336">
        <f t="shared" si="45"/>
        <v>12064.133385550795</v>
      </c>
      <c r="V116" s="1336">
        <f t="shared" si="45"/>
        <v>11460.926716273258</v>
      </c>
    </row>
    <row r="117" spans="2:22" s="1210" customFormat="1">
      <c r="B117" s="1336" t="s">
        <v>770</v>
      </c>
      <c r="C117" s="295">
        <f>$K$10*C101</f>
        <v>9240</v>
      </c>
      <c r="D117" s="295">
        <f t="shared" ref="D117:V117" si="46">$K$10*D101</f>
        <v>9055.2000000000007</v>
      </c>
      <c r="E117" s="295">
        <f t="shared" si="46"/>
        <v>8500.7999999999993</v>
      </c>
      <c r="F117" s="295">
        <f t="shared" si="46"/>
        <v>7946.4000000000005</v>
      </c>
      <c r="G117" s="295">
        <f t="shared" si="46"/>
        <v>7392</v>
      </c>
      <c r="H117" s="295">
        <f t="shared" si="46"/>
        <v>6837.6</v>
      </c>
      <c r="I117" s="295">
        <f t="shared" si="46"/>
        <v>6190.8</v>
      </c>
      <c r="J117" s="295">
        <f t="shared" si="46"/>
        <v>5544</v>
      </c>
      <c r="K117" s="295">
        <f t="shared" si="46"/>
        <v>4897.2</v>
      </c>
      <c r="L117" s="295">
        <f t="shared" si="46"/>
        <v>4250.3999999999996</v>
      </c>
      <c r="M117" s="295">
        <f t="shared" si="46"/>
        <v>3603.6</v>
      </c>
      <c r="N117" s="295">
        <f t="shared" si="46"/>
        <v>2956.8</v>
      </c>
      <c r="O117" s="295">
        <f t="shared" si="46"/>
        <v>2217.6</v>
      </c>
      <c r="P117" s="295">
        <f t="shared" si="46"/>
        <v>1386</v>
      </c>
      <c r="Q117" s="295">
        <f t="shared" si="46"/>
        <v>462</v>
      </c>
      <c r="R117" s="295">
        <f t="shared" si="46"/>
        <v>0</v>
      </c>
      <c r="S117" s="295">
        <f t="shared" si="46"/>
        <v>0</v>
      </c>
      <c r="T117" s="295">
        <f t="shared" si="46"/>
        <v>0</v>
      </c>
      <c r="U117" s="295">
        <f t="shared" si="46"/>
        <v>0</v>
      </c>
      <c r="V117" s="295">
        <f t="shared" si="46"/>
        <v>0</v>
      </c>
    </row>
    <row r="118" spans="2:22" s="1210" customFormat="1">
      <c r="B118" s="1336" t="s">
        <v>771</v>
      </c>
      <c r="C118" s="297">
        <f>$K$8/30/2</f>
        <v>2750</v>
      </c>
      <c r="D118" s="297">
        <f>$K$8/30</f>
        <v>5500</v>
      </c>
      <c r="E118" s="297">
        <f t="shared" ref="E118:V118" si="47">$K$8/30</f>
        <v>5500</v>
      </c>
      <c r="F118" s="297">
        <f t="shared" si="47"/>
        <v>5500</v>
      </c>
      <c r="G118" s="297">
        <f t="shared" si="47"/>
        <v>5500</v>
      </c>
      <c r="H118" s="297">
        <f t="shared" si="47"/>
        <v>5500</v>
      </c>
      <c r="I118" s="297">
        <f t="shared" si="47"/>
        <v>5500</v>
      </c>
      <c r="J118" s="297">
        <f t="shared" si="47"/>
        <v>5500</v>
      </c>
      <c r="K118" s="297">
        <f t="shared" si="47"/>
        <v>5500</v>
      </c>
      <c r="L118" s="297">
        <f t="shared" si="47"/>
        <v>5500</v>
      </c>
      <c r="M118" s="297">
        <f t="shared" si="47"/>
        <v>5500</v>
      </c>
      <c r="N118" s="297">
        <f t="shared" si="47"/>
        <v>5500</v>
      </c>
      <c r="O118" s="297">
        <f t="shared" si="47"/>
        <v>5500</v>
      </c>
      <c r="P118" s="297">
        <f t="shared" si="47"/>
        <v>5500</v>
      </c>
      <c r="Q118" s="297">
        <f t="shared" si="47"/>
        <v>5500</v>
      </c>
      <c r="R118" s="297">
        <f t="shared" si="47"/>
        <v>5500</v>
      </c>
      <c r="S118" s="297">
        <f t="shared" si="47"/>
        <v>5500</v>
      </c>
      <c r="T118" s="297">
        <f t="shared" si="47"/>
        <v>5500</v>
      </c>
      <c r="U118" s="297">
        <f t="shared" si="47"/>
        <v>5500</v>
      </c>
      <c r="V118" s="297">
        <f t="shared" si="47"/>
        <v>5500</v>
      </c>
    </row>
    <row r="119" spans="2:22" s="1210" customFormat="1">
      <c r="B119" s="1336" t="s">
        <v>772</v>
      </c>
      <c r="C119" s="295">
        <f t="shared" ref="C119:V119" si="48">SUM(C115:C118)</f>
        <v>16819.268292682926</v>
      </c>
      <c r="D119" s="295">
        <f t="shared" si="48"/>
        <v>23585.931707317075</v>
      </c>
      <c r="E119" s="295">
        <f t="shared" si="48"/>
        <v>24353.302439024388</v>
      </c>
      <c r="F119" s="295">
        <f t="shared" si="48"/>
        <v>24483.760292682931</v>
      </c>
      <c r="G119" s="295">
        <f t="shared" si="48"/>
        <v>24717.743170731708</v>
      </c>
      <c r="H119" s="295">
        <f t="shared" si="48"/>
        <v>25874.13401609756</v>
      </c>
      <c r="I119" s="295">
        <f t="shared" si="48"/>
        <v>27122.44877835122</v>
      </c>
      <c r="J119" s="295">
        <f t="shared" si="48"/>
        <v>27092.914729485266</v>
      </c>
      <c r="K119" s="295">
        <f t="shared" si="48"/>
        <v>27088.071318664683</v>
      </c>
      <c r="L119" s="295">
        <f t="shared" si="48"/>
        <v>27108.906171411269</v>
      </c>
      <c r="M119" s="295">
        <f t="shared" si="48"/>
        <v>27156.446418267718</v>
      </c>
      <c r="N119" s="295">
        <f t="shared" si="48"/>
        <v>28134.402595911812</v>
      </c>
      <c r="O119" s="295">
        <f t="shared" si="48"/>
        <v>29166.186829543873</v>
      </c>
      <c r="P119" s="295">
        <f t="shared" si="48"/>
        <v>30264.95964420282</v>
      </c>
      <c r="Q119" s="295">
        <f t="shared" si="48"/>
        <v>31445.066012181072</v>
      </c>
      <c r="R119" s="295">
        <f t="shared" si="48"/>
        <v>42048.081517470222</v>
      </c>
      <c r="S119" s="295">
        <f t="shared" si="48"/>
        <v>40220.677441596708</v>
      </c>
      <c r="T119" s="295">
        <f t="shared" si="48"/>
        <v>38484.643569516869</v>
      </c>
      <c r="U119" s="295">
        <f t="shared" si="48"/>
        <v>36835.411391041023</v>
      </c>
      <c r="V119" s="295">
        <f t="shared" si="48"/>
        <v>35268.640821488982</v>
      </c>
    </row>
    <row r="120" spans="2:22" s="1210" customFormat="1" ht="12.75" customHeight="1">
      <c r="B120" s="1336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</row>
    <row r="121" spans="2:22">
      <c r="B121" s="20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</row>
    <row r="122" spans="2:22" ht="15.75">
      <c r="B122" s="737" t="s">
        <v>587</v>
      </c>
    </row>
    <row r="123" spans="2:22">
      <c r="B123" s="569" t="s">
        <v>386</v>
      </c>
      <c r="C123" s="566">
        <v>1</v>
      </c>
      <c r="D123" s="566">
        <f>+C123+1</f>
        <v>2</v>
      </c>
      <c r="E123" s="566">
        <f t="shared" ref="E123:N123" si="49">+D123+1</f>
        <v>3</v>
      </c>
      <c r="F123" s="566">
        <f t="shared" si="49"/>
        <v>4</v>
      </c>
      <c r="G123" s="566">
        <f t="shared" si="49"/>
        <v>5</v>
      </c>
      <c r="H123" s="566">
        <f t="shared" si="49"/>
        <v>6</v>
      </c>
      <c r="I123" s="566">
        <f t="shared" si="49"/>
        <v>7</v>
      </c>
      <c r="J123" s="566">
        <f t="shared" si="49"/>
        <v>8</v>
      </c>
      <c r="K123" s="566">
        <f t="shared" si="49"/>
        <v>9</v>
      </c>
      <c r="L123" s="566">
        <f t="shared" si="49"/>
        <v>10</v>
      </c>
      <c r="M123" s="566">
        <f t="shared" si="49"/>
        <v>11</v>
      </c>
      <c r="N123" s="566">
        <f t="shared" si="49"/>
        <v>12</v>
      </c>
      <c r="O123" s="566">
        <f>+N123+1</f>
        <v>13</v>
      </c>
      <c r="P123" s="566">
        <f t="shared" ref="P123:U123" si="50">+O123+1</f>
        <v>14</v>
      </c>
      <c r="Q123" s="566">
        <f t="shared" si="50"/>
        <v>15</v>
      </c>
      <c r="R123" s="566">
        <f t="shared" si="50"/>
        <v>16</v>
      </c>
      <c r="S123" s="566">
        <f t="shared" si="50"/>
        <v>17</v>
      </c>
      <c r="T123" s="566">
        <f t="shared" si="50"/>
        <v>18</v>
      </c>
      <c r="U123" s="566">
        <f t="shared" si="50"/>
        <v>19</v>
      </c>
      <c r="V123" s="566">
        <f>+U123+1</f>
        <v>20</v>
      </c>
    </row>
    <row r="124" spans="2:22">
      <c r="B124" s="20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</row>
    <row r="125" spans="2:22">
      <c r="B125" s="273" t="s">
        <v>30</v>
      </c>
      <c r="C125" s="295">
        <f t="shared" ref="C125:V125" si="51">+C$129*C139</f>
        <v>10125</v>
      </c>
      <c r="D125" s="295">
        <f t="shared" si="51"/>
        <v>18933.75</v>
      </c>
      <c r="E125" s="295">
        <f t="shared" si="51"/>
        <v>21704.962500000001</v>
      </c>
      <c r="F125" s="295">
        <f t="shared" si="51"/>
        <v>23140.829249999999</v>
      </c>
      <c r="G125" s="295">
        <f t="shared" si="51"/>
        <v>24793.745624999996</v>
      </c>
      <c r="H125" s="295">
        <f t="shared" si="51"/>
        <v>28380.574158749998</v>
      </c>
      <c r="I125" s="295">
        <f t="shared" si="51"/>
        <v>32353.854540975</v>
      </c>
      <c r="J125" s="295">
        <f t="shared" si="51"/>
        <v>33648.008722614002</v>
      </c>
      <c r="K125" s="295">
        <f t="shared" si="51"/>
        <v>34993.929071518563</v>
      </c>
      <c r="L125" s="295">
        <f t="shared" si="51"/>
        <v>36393.686234379311</v>
      </c>
      <c r="M125" s="295">
        <f t="shared" si="51"/>
        <v>37849.433683754483</v>
      </c>
      <c r="N125" s="295">
        <f t="shared" si="51"/>
        <v>41255.882715292384</v>
      </c>
      <c r="O125" s="295">
        <f t="shared" si="51"/>
        <v>44968.912159668696</v>
      </c>
      <c r="P125" s="295">
        <f t="shared" si="51"/>
        <v>49016.114254038883</v>
      </c>
      <c r="Q125" s="295">
        <f t="shared" si="51"/>
        <v>53427.564536902384</v>
      </c>
      <c r="R125" s="295">
        <f t="shared" si="51"/>
        <v>76626.37545424157</v>
      </c>
      <c r="S125" s="295">
        <f t="shared" si="51"/>
        <v>72795.056681529502</v>
      </c>
      <c r="T125" s="295">
        <f t="shared" si="51"/>
        <v>69155.303847453033</v>
      </c>
      <c r="U125" s="295">
        <f t="shared" si="51"/>
        <v>65697.538655080381</v>
      </c>
      <c r="V125" s="295">
        <f t="shared" si="51"/>
        <v>62412.66172232636</v>
      </c>
    </row>
    <row r="126" spans="2:22">
      <c r="B126" s="273" t="s">
        <v>116</v>
      </c>
      <c r="C126" s="295">
        <f t="shared" ref="C126:V126" si="52">+C$129*C140</f>
        <v>6750</v>
      </c>
      <c r="D126" s="295">
        <f t="shared" si="52"/>
        <v>24097.500000000004</v>
      </c>
      <c r="E126" s="295">
        <f t="shared" si="52"/>
        <v>23374.575000000001</v>
      </c>
      <c r="F126" s="295">
        <f t="shared" si="52"/>
        <v>23140.829249999999</v>
      </c>
      <c r="G126" s="295">
        <f t="shared" si="52"/>
        <v>23140.829249999999</v>
      </c>
      <c r="H126" s="295">
        <f t="shared" si="52"/>
        <v>25041.683081249997</v>
      </c>
      <c r="I126" s="295">
        <f t="shared" si="52"/>
        <v>25542.516742874999</v>
      </c>
      <c r="J126" s="295">
        <f t="shared" si="52"/>
        <v>26564.217412590002</v>
      </c>
      <c r="K126" s="295">
        <f t="shared" si="52"/>
        <v>27626.786109093602</v>
      </c>
      <c r="L126" s="295">
        <f t="shared" si="52"/>
        <v>28731.857553457347</v>
      </c>
      <c r="M126" s="295">
        <f t="shared" si="52"/>
        <v>19920.754570397097</v>
      </c>
      <c r="N126" s="295">
        <f t="shared" si="52"/>
        <v>21713.622481732833</v>
      </c>
      <c r="O126" s="295">
        <f t="shared" si="52"/>
        <v>23667.84850508879</v>
      </c>
      <c r="P126" s="295">
        <f t="shared" si="52"/>
        <v>25797.954870546782</v>
      </c>
      <c r="Q126" s="295">
        <f t="shared" si="52"/>
        <v>28119.770808895992</v>
      </c>
      <c r="R126" s="295">
        <f t="shared" si="52"/>
        <v>91951.650545089884</v>
      </c>
      <c r="S126" s="295">
        <f t="shared" si="52"/>
        <v>87354.068017835394</v>
      </c>
      <c r="T126" s="295">
        <f t="shared" si="52"/>
        <v>82986.36461694364</v>
      </c>
      <c r="U126" s="295">
        <f t="shared" si="52"/>
        <v>78837.046386096452</v>
      </c>
      <c r="V126" s="295">
        <f t="shared" si="52"/>
        <v>74895.194066791635</v>
      </c>
    </row>
    <row r="127" spans="2:22">
      <c r="B127" s="20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</row>
    <row r="128" spans="2:22">
      <c r="B128" s="1201" t="s">
        <v>129</v>
      </c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</row>
    <row r="129" spans="2:22">
      <c r="B129" s="20" t="s">
        <v>178</v>
      </c>
      <c r="C129" s="1187">
        <f>Devel_Financials!O8*Devel_Financials!O9</f>
        <v>168750</v>
      </c>
      <c r="D129" s="295">
        <f t="shared" ref="D129:V129" si="53">+C132</f>
        <v>172125</v>
      </c>
      <c r="E129" s="295">
        <f t="shared" si="53"/>
        <v>166961.25</v>
      </c>
      <c r="F129" s="295">
        <f t="shared" si="53"/>
        <v>165291.63749999998</v>
      </c>
      <c r="G129" s="295">
        <f t="shared" si="53"/>
        <v>165291.63749999998</v>
      </c>
      <c r="H129" s="295">
        <f t="shared" si="53"/>
        <v>166944.55387499998</v>
      </c>
      <c r="I129" s="295">
        <f t="shared" si="53"/>
        <v>170283.44495249999</v>
      </c>
      <c r="J129" s="295">
        <f t="shared" si="53"/>
        <v>177094.78275060002</v>
      </c>
      <c r="K129" s="295">
        <f t="shared" si="53"/>
        <v>184178.57406062403</v>
      </c>
      <c r="L129" s="295">
        <f t="shared" si="53"/>
        <v>191545.71702304899</v>
      </c>
      <c r="M129" s="295">
        <f t="shared" si="53"/>
        <v>199207.54570397094</v>
      </c>
      <c r="N129" s="295">
        <f t="shared" si="53"/>
        <v>217136.22481732833</v>
      </c>
      <c r="O129" s="295">
        <f t="shared" si="53"/>
        <v>236678.48505088789</v>
      </c>
      <c r="P129" s="295">
        <f t="shared" si="53"/>
        <v>257979.54870546781</v>
      </c>
      <c r="Q129" s="295">
        <f t="shared" si="53"/>
        <v>281197.70808895992</v>
      </c>
      <c r="R129" s="295">
        <f t="shared" si="53"/>
        <v>306505.50181696628</v>
      </c>
      <c r="S129" s="295">
        <f t="shared" si="53"/>
        <v>291180.22672611801</v>
      </c>
      <c r="T129" s="295">
        <f t="shared" si="53"/>
        <v>276621.21538981213</v>
      </c>
      <c r="U129" s="295">
        <f t="shared" si="53"/>
        <v>262790.15462032153</v>
      </c>
      <c r="V129" s="295">
        <f t="shared" si="53"/>
        <v>249650.64688930544</v>
      </c>
    </row>
    <row r="130" spans="2:22">
      <c r="B130" s="20" t="s">
        <v>623</v>
      </c>
      <c r="C130" s="295">
        <f>+C125</f>
        <v>10125</v>
      </c>
      <c r="D130" s="295">
        <f>+D125</f>
        <v>18933.75</v>
      </c>
      <c r="E130" s="295">
        <f t="shared" ref="E130:V130" si="54">+E125</f>
        <v>21704.962500000001</v>
      </c>
      <c r="F130" s="295">
        <f t="shared" si="54"/>
        <v>23140.829249999999</v>
      </c>
      <c r="G130" s="295">
        <f t="shared" si="54"/>
        <v>24793.745624999996</v>
      </c>
      <c r="H130" s="295">
        <f t="shared" si="54"/>
        <v>28380.574158749998</v>
      </c>
      <c r="I130" s="295">
        <f t="shared" si="54"/>
        <v>32353.854540975</v>
      </c>
      <c r="J130" s="295">
        <f t="shared" si="54"/>
        <v>33648.008722614002</v>
      </c>
      <c r="K130" s="295">
        <f t="shared" si="54"/>
        <v>34993.929071518563</v>
      </c>
      <c r="L130" s="295">
        <f t="shared" si="54"/>
        <v>36393.686234379311</v>
      </c>
      <c r="M130" s="295">
        <f t="shared" si="54"/>
        <v>37849.433683754483</v>
      </c>
      <c r="N130" s="295">
        <f t="shared" si="54"/>
        <v>41255.882715292384</v>
      </c>
      <c r="O130" s="295">
        <f t="shared" si="54"/>
        <v>44968.912159668696</v>
      </c>
      <c r="P130" s="295">
        <f t="shared" si="54"/>
        <v>49016.114254038883</v>
      </c>
      <c r="Q130" s="295">
        <f t="shared" si="54"/>
        <v>53427.564536902384</v>
      </c>
      <c r="R130" s="295">
        <f t="shared" si="54"/>
        <v>76626.37545424157</v>
      </c>
      <c r="S130" s="295">
        <f t="shared" si="54"/>
        <v>72795.056681529502</v>
      </c>
      <c r="T130" s="295">
        <f t="shared" si="54"/>
        <v>69155.303847453033</v>
      </c>
      <c r="U130" s="295">
        <f t="shared" si="54"/>
        <v>65697.538655080381</v>
      </c>
      <c r="V130" s="295">
        <f t="shared" si="54"/>
        <v>62412.66172232636</v>
      </c>
    </row>
    <row r="131" spans="2:22">
      <c r="B131" s="20" t="s">
        <v>624</v>
      </c>
      <c r="C131" s="295">
        <f>-C126</f>
        <v>-6750</v>
      </c>
      <c r="D131" s="295">
        <f>-D126</f>
        <v>-24097.500000000004</v>
      </c>
      <c r="E131" s="295">
        <f t="shared" ref="E131:V131" si="55">-E126</f>
        <v>-23374.575000000001</v>
      </c>
      <c r="F131" s="295">
        <f t="shared" si="55"/>
        <v>-23140.829249999999</v>
      </c>
      <c r="G131" s="295">
        <f t="shared" si="55"/>
        <v>-23140.829249999999</v>
      </c>
      <c r="H131" s="295">
        <f t="shared" si="55"/>
        <v>-25041.683081249997</v>
      </c>
      <c r="I131" s="295">
        <f t="shared" si="55"/>
        <v>-25542.516742874999</v>
      </c>
      <c r="J131" s="295">
        <f t="shared" si="55"/>
        <v>-26564.217412590002</v>
      </c>
      <c r="K131" s="295">
        <f t="shared" si="55"/>
        <v>-27626.786109093602</v>
      </c>
      <c r="L131" s="295">
        <f t="shared" si="55"/>
        <v>-28731.857553457347</v>
      </c>
      <c r="M131" s="295">
        <f t="shared" si="55"/>
        <v>-19920.754570397097</v>
      </c>
      <c r="N131" s="295">
        <f t="shared" si="55"/>
        <v>-21713.622481732833</v>
      </c>
      <c r="O131" s="295">
        <f t="shared" si="55"/>
        <v>-23667.84850508879</v>
      </c>
      <c r="P131" s="295">
        <f t="shared" si="55"/>
        <v>-25797.954870546782</v>
      </c>
      <c r="Q131" s="295">
        <f t="shared" si="55"/>
        <v>-28119.770808895992</v>
      </c>
      <c r="R131" s="295">
        <f t="shared" si="55"/>
        <v>-91951.650545089884</v>
      </c>
      <c r="S131" s="295">
        <f t="shared" si="55"/>
        <v>-87354.068017835394</v>
      </c>
      <c r="T131" s="295">
        <f t="shared" si="55"/>
        <v>-82986.36461694364</v>
      </c>
      <c r="U131" s="295">
        <f t="shared" si="55"/>
        <v>-78837.046386096452</v>
      </c>
      <c r="V131" s="295">
        <f t="shared" si="55"/>
        <v>-74895.194066791635</v>
      </c>
    </row>
    <row r="132" spans="2:22">
      <c r="B132" s="20" t="s">
        <v>179</v>
      </c>
      <c r="C132" s="1202">
        <f t="shared" ref="C132:V132" si="56">SUM(C129:C131)</f>
        <v>172125</v>
      </c>
      <c r="D132" s="1202">
        <f t="shared" si="56"/>
        <v>166961.25</v>
      </c>
      <c r="E132" s="1202">
        <f t="shared" si="56"/>
        <v>165291.63749999998</v>
      </c>
      <c r="F132" s="1202">
        <f t="shared" si="56"/>
        <v>165291.63749999998</v>
      </c>
      <c r="G132" s="1202">
        <f t="shared" si="56"/>
        <v>166944.55387499998</v>
      </c>
      <c r="H132" s="1202">
        <f t="shared" si="56"/>
        <v>170283.44495249999</v>
      </c>
      <c r="I132" s="1202">
        <f t="shared" si="56"/>
        <v>177094.78275060002</v>
      </c>
      <c r="J132" s="1202">
        <f t="shared" si="56"/>
        <v>184178.57406062403</v>
      </c>
      <c r="K132" s="1202">
        <f t="shared" si="56"/>
        <v>191545.71702304899</v>
      </c>
      <c r="L132" s="1202">
        <f t="shared" si="56"/>
        <v>199207.54570397094</v>
      </c>
      <c r="M132" s="1202">
        <f t="shared" si="56"/>
        <v>217136.22481732833</v>
      </c>
      <c r="N132" s="1202">
        <f t="shared" si="56"/>
        <v>236678.48505088789</v>
      </c>
      <c r="O132" s="1202">
        <f t="shared" si="56"/>
        <v>257979.54870546781</v>
      </c>
      <c r="P132" s="1202">
        <f t="shared" si="56"/>
        <v>281197.70808895992</v>
      </c>
      <c r="Q132" s="1202">
        <f t="shared" si="56"/>
        <v>306505.50181696628</v>
      </c>
      <c r="R132" s="1202">
        <f t="shared" si="56"/>
        <v>291180.22672611801</v>
      </c>
      <c r="S132" s="1202">
        <f t="shared" si="56"/>
        <v>276621.21538981213</v>
      </c>
      <c r="T132" s="1202">
        <f t="shared" si="56"/>
        <v>262790.15462032153</v>
      </c>
      <c r="U132" s="1202">
        <f t="shared" si="56"/>
        <v>249650.64688930544</v>
      </c>
      <c r="V132" s="1202">
        <f t="shared" si="56"/>
        <v>237168.11454484018</v>
      </c>
    </row>
    <row r="133" spans="2:22">
      <c r="B133" s="20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</row>
    <row r="134" spans="2:22">
      <c r="B134" s="1201" t="s">
        <v>130</v>
      </c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</row>
    <row r="135" spans="2:22">
      <c r="B135" s="20" t="s">
        <v>178</v>
      </c>
      <c r="C135" s="1187">
        <f>Devel_Financials!O8-Devel_Financials!C129</f>
        <v>393750</v>
      </c>
      <c r="D135" s="295">
        <f t="shared" ref="D135:V135" si="57">+C137</f>
        <v>385875</v>
      </c>
      <c r="E135" s="295">
        <f t="shared" si="57"/>
        <v>362250</v>
      </c>
      <c r="F135" s="295">
        <f t="shared" si="57"/>
        <v>338625</v>
      </c>
      <c r="G135" s="295">
        <f t="shared" si="57"/>
        <v>315000</v>
      </c>
      <c r="H135" s="295">
        <f t="shared" si="57"/>
        <v>291375</v>
      </c>
      <c r="I135" s="295">
        <f t="shared" si="57"/>
        <v>263812.5</v>
      </c>
      <c r="J135" s="295">
        <f t="shared" si="57"/>
        <v>236250</v>
      </c>
      <c r="K135" s="295">
        <f t="shared" si="57"/>
        <v>208687.5</v>
      </c>
      <c r="L135" s="295">
        <f t="shared" si="57"/>
        <v>181125</v>
      </c>
      <c r="M135" s="295">
        <f t="shared" si="57"/>
        <v>153562.5</v>
      </c>
      <c r="N135" s="295">
        <f t="shared" si="57"/>
        <v>126000</v>
      </c>
      <c r="O135" s="295">
        <f t="shared" si="57"/>
        <v>94500</v>
      </c>
      <c r="P135" s="295">
        <f t="shared" si="57"/>
        <v>59062.5</v>
      </c>
      <c r="Q135" s="295">
        <f t="shared" si="57"/>
        <v>19687.5</v>
      </c>
      <c r="R135" s="295">
        <f t="shared" si="57"/>
        <v>0</v>
      </c>
      <c r="S135" s="295">
        <f t="shared" si="57"/>
        <v>0</v>
      </c>
      <c r="T135" s="295">
        <f t="shared" si="57"/>
        <v>0</v>
      </c>
      <c r="U135" s="295">
        <f t="shared" si="57"/>
        <v>0</v>
      </c>
      <c r="V135" s="295">
        <f t="shared" si="57"/>
        <v>0</v>
      </c>
    </row>
    <row r="136" spans="2:22">
      <c r="B136" s="20" t="s">
        <v>625</v>
      </c>
      <c r="C136" s="295">
        <f>-$C$135*C141</f>
        <v>-7875</v>
      </c>
      <c r="D136" s="295">
        <f t="shared" ref="D136:V136" si="58">-$C$135*D141</f>
        <v>-23625</v>
      </c>
      <c r="E136" s="295">
        <f t="shared" si="58"/>
        <v>-23625</v>
      </c>
      <c r="F136" s="295">
        <f t="shared" si="58"/>
        <v>-23625</v>
      </c>
      <c r="G136" s="295">
        <f t="shared" si="58"/>
        <v>-23625</v>
      </c>
      <c r="H136" s="295">
        <f t="shared" si="58"/>
        <v>-27562.500000000004</v>
      </c>
      <c r="I136" s="295">
        <f t="shared" si="58"/>
        <v>-27562.500000000004</v>
      </c>
      <c r="J136" s="295">
        <f t="shared" si="58"/>
        <v>-27562.500000000004</v>
      </c>
      <c r="K136" s="295">
        <f t="shared" si="58"/>
        <v>-27562.500000000004</v>
      </c>
      <c r="L136" s="295">
        <f t="shared" si="58"/>
        <v>-27562.500000000004</v>
      </c>
      <c r="M136" s="295">
        <f t="shared" si="58"/>
        <v>-27562.500000000004</v>
      </c>
      <c r="N136" s="295">
        <f t="shared" si="58"/>
        <v>-31500</v>
      </c>
      <c r="O136" s="295">
        <f t="shared" si="58"/>
        <v>-35437.5</v>
      </c>
      <c r="P136" s="295">
        <f t="shared" si="58"/>
        <v>-39375</v>
      </c>
      <c r="Q136" s="295">
        <f t="shared" si="58"/>
        <v>-19687.5</v>
      </c>
      <c r="R136" s="295">
        <f t="shared" si="58"/>
        <v>0</v>
      </c>
      <c r="S136" s="295">
        <f t="shared" si="58"/>
        <v>0</v>
      </c>
      <c r="T136" s="295">
        <f t="shared" si="58"/>
        <v>0</v>
      </c>
      <c r="U136" s="295">
        <f t="shared" si="58"/>
        <v>0</v>
      </c>
      <c r="V136" s="295">
        <f t="shared" si="58"/>
        <v>0</v>
      </c>
    </row>
    <row r="137" spans="2:22">
      <c r="B137" s="20" t="s">
        <v>179</v>
      </c>
      <c r="C137" s="1202">
        <f t="shared" ref="C137:V137" si="59">SUM(C135:C136)</f>
        <v>385875</v>
      </c>
      <c r="D137" s="1202">
        <f t="shared" si="59"/>
        <v>362250</v>
      </c>
      <c r="E137" s="1202">
        <f t="shared" si="59"/>
        <v>338625</v>
      </c>
      <c r="F137" s="1202">
        <f t="shared" si="59"/>
        <v>315000</v>
      </c>
      <c r="G137" s="1202">
        <f t="shared" si="59"/>
        <v>291375</v>
      </c>
      <c r="H137" s="1202">
        <f t="shared" si="59"/>
        <v>263812.5</v>
      </c>
      <c r="I137" s="1202">
        <f t="shared" si="59"/>
        <v>236250</v>
      </c>
      <c r="J137" s="1202">
        <f t="shared" si="59"/>
        <v>208687.5</v>
      </c>
      <c r="K137" s="1202">
        <f t="shared" si="59"/>
        <v>181125</v>
      </c>
      <c r="L137" s="1202">
        <f t="shared" si="59"/>
        <v>153562.5</v>
      </c>
      <c r="M137" s="1202">
        <f t="shared" si="59"/>
        <v>126000</v>
      </c>
      <c r="N137" s="1202">
        <f t="shared" si="59"/>
        <v>94500</v>
      </c>
      <c r="O137" s="1202">
        <f t="shared" si="59"/>
        <v>59062.5</v>
      </c>
      <c r="P137" s="1202">
        <f t="shared" si="59"/>
        <v>19687.5</v>
      </c>
      <c r="Q137" s="1202">
        <f t="shared" si="59"/>
        <v>0</v>
      </c>
      <c r="R137" s="1202">
        <f t="shared" si="59"/>
        <v>0</v>
      </c>
      <c r="S137" s="1202">
        <f t="shared" si="59"/>
        <v>0</v>
      </c>
      <c r="T137" s="1202">
        <f t="shared" si="59"/>
        <v>0</v>
      </c>
      <c r="U137" s="1202">
        <f t="shared" si="59"/>
        <v>0</v>
      </c>
      <c r="V137" s="1202">
        <f t="shared" si="59"/>
        <v>0</v>
      </c>
    </row>
    <row r="138" spans="2:22">
      <c r="B138" s="20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</row>
    <row r="139" spans="2:22">
      <c r="B139" s="197" t="s">
        <v>626</v>
      </c>
      <c r="C139" s="1203">
        <v>0.06</v>
      </c>
      <c r="D139" s="1203">
        <v>0.11</v>
      </c>
      <c r="E139" s="1203">
        <v>0.13</v>
      </c>
      <c r="F139" s="1203">
        <v>0.14000000000000001</v>
      </c>
      <c r="G139" s="1203">
        <v>0.15</v>
      </c>
      <c r="H139" s="1203">
        <v>0.17</v>
      </c>
      <c r="I139" s="1203">
        <v>0.19</v>
      </c>
      <c r="J139" s="1203">
        <v>0.19</v>
      </c>
      <c r="K139" s="1203">
        <v>0.19</v>
      </c>
      <c r="L139" s="1203">
        <v>0.19</v>
      </c>
      <c r="M139" s="1203">
        <v>0.19</v>
      </c>
      <c r="N139" s="1203">
        <v>0.19</v>
      </c>
      <c r="O139" s="1203">
        <v>0.19</v>
      </c>
      <c r="P139" s="1203">
        <v>0.19</v>
      </c>
      <c r="Q139" s="1203">
        <v>0.19</v>
      </c>
      <c r="R139" s="1203">
        <v>0.25</v>
      </c>
      <c r="S139" s="1203">
        <v>0.25</v>
      </c>
      <c r="T139" s="1203">
        <v>0.25</v>
      </c>
      <c r="U139" s="1203">
        <v>0.25</v>
      </c>
      <c r="V139" s="1203">
        <v>0.25</v>
      </c>
    </row>
    <row r="140" spans="2:22">
      <c r="B140" s="197" t="s">
        <v>627</v>
      </c>
      <c r="C140" s="1203">
        <v>0.04</v>
      </c>
      <c r="D140" s="1203">
        <v>0.14000000000000001</v>
      </c>
      <c r="E140" s="1203">
        <v>0.14000000000000001</v>
      </c>
      <c r="F140" s="1203">
        <v>0.14000000000000001</v>
      </c>
      <c r="G140" s="1203">
        <v>0.14000000000000001</v>
      </c>
      <c r="H140" s="1203">
        <v>0.15</v>
      </c>
      <c r="I140" s="1203">
        <v>0.15</v>
      </c>
      <c r="J140" s="1203">
        <v>0.15</v>
      </c>
      <c r="K140" s="1203">
        <v>0.15</v>
      </c>
      <c r="L140" s="1203">
        <v>0.15</v>
      </c>
      <c r="M140" s="1203">
        <v>0.1</v>
      </c>
      <c r="N140" s="1203">
        <v>0.1</v>
      </c>
      <c r="O140" s="1203">
        <v>0.1</v>
      </c>
      <c r="P140" s="1203">
        <v>0.1</v>
      </c>
      <c r="Q140" s="1203">
        <v>0.1</v>
      </c>
      <c r="R140" s="1203">
        <v>0.3</v>
      </c>
      <c r="S140" s="1203">
        <v>0.3</v>
      </c>
      <c r="T140" s="1203">
        <v>0.3</v>
      </c>
      <c r="U140" s="1203">
        <v>0.3</v>
      </c>
      <c r="V140" s="1203">
        <v>0.3</v>
      </c>
    </row>
    <row r="141" spans="2:22">
      <c r="B141" s="197" t="s">
        <v>628</v>
      </c>
      <c r="C141" s="1203">
        <v>0.02</v>
      </c>
      <c r="D141" s="1203">
        <v>0.06</v>
      </c>
      <c r="E141" s="1203">
        <v>0.06</v>
      </c>
      <c r="F141" s="1203">
        <v>0.06</v>
      </c>
      <c r="G141" s="1203">
        <v>0.06</v>
      </c>
      <c r="H141" s="1203">
        <v>7.0000000000000007E-2</v>
      </c>
      <c r="I141" s="1203">
        <v>7.0000000000000007E-2</v>
      </c>
      <c r="J141" s="1203">
        <v>7.0000000000000007E-2</v>
      </c>
      <c r="K141" s="1203">
        <v>7.0000000000000007E-2</v>
      </c>
      <c r="L141" s="1203">
        <v>7.0000000000000007E-2</v>
      </c>
      <c r="M141" s="1203">
        <v>7.0000000000000007E-2</v>
      </c>
      <c r="N141" s="1203">
        <v>0.08</v>
      </c>
      <c r="O141" s="1203">
        <v>0.09</v>
      </c>
      <c r="P141" s="1203">
        <v>0.1</v>
      </c>
      <c r="Q141" s="1203">
        <v>0.05</v>
      </c>
      <c r="R141" s="1203"/>
      <c r="S141" s="1203"/>
      <c r="T141" s="1203"/>
      <c r="U141" s="1203"/>
      <c r="V141" s="1203"/>
    </row>
    <row r="142" spans="2:22">
      <c r="B142" s="197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</row>
    <row r="143" spans="2:22">
      <c r="B143" s="1204" t="s">
        <v>629</v>
      </c>
    </row>
    <row r="144" spans="2:22">
      <c r="B144" s="1198" t="s">
        <v>630</v>
      </c>
      <c r="C144" s="1205">
        <f>NPV(0.14,C126:V126)-C129</f>
        <v>6527.083237112849</v>
      </c>
      <c r="D144" s="1205"/>
      <c r="E144" s="1205"/>
      <c r="F144" s="1205"/>
      <c r="G144" s="1205"/>
      <c r="H144" s="1205"/>
      <c r="I144" s="1205"/>
      <c r="J144" s="1205"/>
      <c r="K144" s="1205"/>
      <c r="L144" s="1205"/>
      <c r="M144" s="1205"/>
      <c r="N144" s="1205"/>
      <c r="O144" s="1205"/>
      <c r="P144" s="1205"/>
      <c r="Q144" s="1205"/>
      <c r="R144" s="1205"/>
      <c r="S144" s="1205"/>
      <c r="T144" s="1205"/>
      <c r="U144" s="1205"/>
      <c r="V144" s="1205"/>
    </row>
    <row r="145" spans="2:22">
      <c r="B145" s="1206" t="s">
        <v>631</v>
      </c>
      <c r="C145" s="1207">
        <f>IRR(B146:V146,0.1)</f>
        <v>0.1448874006741217</v>
      </c>
      <c r="D145" s="957"/>
      <c r="E145" s="957"/>
      <c r="F145" s="957"/>
      <c r="G145" s="957"/>
      <c r="H145" s="957"/>
      <c r="I145" s="957"/>
      <c r="J145" s="957"/>
      <c r="K145" s="957"/>
      <c r="L145" s="957"/>
      <c r="M145" s="957"/>
      <c r="N145" s="957"/>
      <c r="O145" s="957"/>
      <c r="P145" s="957"/>
      <c r="Q145" s="957"/>
      <c r="R145" s="957"/>
      <c r="S145" s="957"/>
      <c r="T145" s="957"/>
      <c r="U145" s="957"/>
      <c r="V145" s="957"/>
    </row>
    <row r="146" spans="2:22">
      <c r="B146" s="1208">
        <f>-C129</f>
        <v>-168750</v>
      </c>
      <c r="C146" s="1209">
        <f>+C126</f>
        <v>6750</v>
      </c>
      <c r="D146" s="1209">
        <f t="shared" ref="D146:V146" si="60">+D126</f>
        <v>24097.500000000004</v>
      </c>
      <c r="E146" s="1209">
        <f t="shared" si="60"/>
        <v>23374.575000000001</v>
      </c>
      <c r="F146" s="1209">
        <f t="shared" si="60"/>
        <v>23140.829249999999</v>
      </c>
      <c r="G146" s="1209">
        <f t="shared" si="60"/>
        <v>23140.829249999999</v>
      </c>
      <c r="H146" s="1209">
        <f t="shared" si="60"/>
        <v>25041.683081249997</v>
      </c>
      <c r="I146" s="1209">
        <f t="shared" si="60"/>
        <v>25542.516742874999</v>
      </c>
      <c r="J146" s="1209">
        <f t="shared" si="60"/>
        <v>26564.217412590002</v>
      </c>
      <c r="K146" s="1209">
        <f t="shared" si="60"/>
        <v>27626.786109093602</v>
      </c>
      <c r="L146" s="1209">
        <f t="shared" si="60"/>
        <v>28731.857553457347</v>
      </c>
      <c r="M146" s="1209">
        <f t="shared" si="60"/>
        <v>19920.754570397097</v>
      </c>
      <c r="N146" s="1209">
        <f t="shared" si="60"/>
        <v>21713.622481732833</v>
      </c>
      <c r="O146" s="1209">
        <f t="shared" si="60"/>
        <v>23667.84850508879</v>
      </c>
      <c r="P146" s="1209">
        <f t="shared" si="60"/>
        <v>25797.954870546782</v>
      </c>
      <c r="Q146" s="1209">
        <f t="shared" si="60"/>
        <v>28119.770808895992</v>
      </c>
      <c r="R146" s="1209">
        <f t="shared" si="60"/>
        <v>91951.650545089884</v>
      </c>
      <c r="S146" s="1209">
        <f t="shared" si="60"/>
        <v>87354.068017835394</v>
      </c>
      <c r="T146" s="1209">
        <f t="shared" si="60"/>
        <v>82986.36461694364</v>
      </c>
      <c r="U146" s="1209">
        <f t="shared" si="60"/>
        <v>78837.046386096452</v>
      </c>
      <c r="V146" s="1209">
        <f t="shared" si="60"/>
        <v>74895.194066791635</v>
      </c>
    </row>
    <row r="147" spans="2:22">
      <c r="B147" s="20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</row>
    <row r="148" spans="2:22" s="1210" customFormat="1">
      <c r="B148" s="1201" t="s">
        <v>23</v>
      </c>
    </row>
    <row r="149" spans="2:22" s="1210" customFormat="1">
      <c r="B149" s="1336" t="s">
        <v>30</v>
      </c>
      <c r="C149" s="295">
        <f>C125</f>
        <v>10125</v>
      </c>
      <c r="D149" s="295">
        <f t="shared" ref="D149:V149" si="61">D125</f>
        <v>18933.75</v>
      </c>
      <c r="E149" s="295">
        <f t="shared" si="61"/>
        <v>21704.962500000001</v>
      </c>
      <c r="F149" s="295">
        <f t="shared" si="61"/>
        <v>23140.829249999999</v>
      </c>
      <c r="G149" s="295">
        <f t="shared" si="61"/>
        <v>24793.745624999996</v>
      </c>
      <c r="H149" s="295">
        <f t="shared" si="61"/>
        <v>28380.574158749998</v>
      </c>
      <c r="I149" s="295">
        <f t="shared" si="61"/>
        <v>32353.854540975</v>
      </c>
      <c r="J149" s="295">
        <f t="shared" si="61"/>
        <v>33648.008722614002</v>
      </c>
      <c r="K149" s="295">
        <f t="shared" si="61"/>
        <v>34993.929071518563</v>
      </c>
      <c r="L149" s="295">
        <f t="shared" si="61"/>
        <v>36393.686234379311</v>
      </c>
      <c r="M149" s="295">
        <f t="shared" si="61"/>
        <v>37849.433683754483</v>
      </c>
      <c r="N149" s="295">
        <f t="shared" si="61"/>
        <v>41255.882715292384</v>
      </c>
      <c r="O149" s="295">
        <f t="shared" si="61"/>
        <v>44968.912159668696</v>
      </c>
      <c r="P149" s="295">
        <f t="shared" si="61"/>
        <v>49016.114254038883</v>
      </c>
      <c r="Q149" s="295">
        <f t="shared" si="61"/>
        <v>53427.564536902384</v>
      </c>
      <c r="R149" s="295">
        <f t="shared" si="61"/>
        <v>76626.37545424157</v>
      </c>
      <c r="S149" s="295">
        <f t="shared" si="61"/>
        <v>72795.056681529502</v>
      </c>
      <c r="T149" s="295">
        <f t="shared" si="61"/>
        <v>69155.303847453033</v>
      </c>
      <c r="U149" s="295">
        <f t="shared" si="61"/>
        <v>65697.538655080381</v>
      </c>
      <c r="V149" s="295">
        <f t="shared" si="61"/>
        <v>62412.66172232636</v>
      </c>
    </row>
    <row r="150" spans="2:22" s="1210" customFormat="1">
      <c r="B150" s="1336" t="s">
        <v>769</v>
      </c>
      <c r="C150" s="1336">
        <f t="shared" ref="C150:V150" si="62">+C149/(1-0.385)-C149</f>
        <v>6338.414634146342</v>
      </c>
      <c r="D150" s="1336">
        <f t="shared" si="62"/>
        <v>11852.835365853658</v>
      </c>
      <c r="E150" s="1336">
        <f t="shared" si="62"/>
        <v>13587.659451219515</v>
      </c>
      <c r="F150" s="1336">
        <f t="shared" si="62"/>
        <v>14486.53538414634</v>
      </c>
      <c r="G150" s="1336">
        <f t="shared" si="62"/>
        <v>15521.287911585365</v>
      </c>
      <c r="H150" s="1336">
        <f t="shared" si="62"/>
        <v>17766.700896128048</v>
      </c>
      <c r="I150" s="1336">
        <f t="shared" si="62"/>
        <v>20254.039021585973</v>
      </c>
      <c r="J150" s="1336">
        <f t="shared" si="62"/>
        <v>21064.200582449419</v>
      </c>
      <c r="K150" s="1336">
        <f t="shared" si="62"/>
        <v>21906.768605747391</v>
      </c>
      <c r="L150" s="1336">
        <f t="shared" si="62"/>
        <v>22783.039349977291</v>
      </c>
      <c r="M150" s="1336">
        <f t="shared" si="62"/>
        <v>23694.360923976383</v>
      </c>
      <c r="N150" s="1336">
        <f t="shared" si="62"/>
        <v>25826.853407134251</v>
      </c>
      <c r="O150" s="1336">
        <f t="shared" si="62"/>
        <v>28151.270213776334</v>
      </c>
      <c r="P150" s="1336">
        <f t="shared" si="62"/>
        <v>30684.884533016215</v>
      </c>
      <c r="Q150" s="1336">
        <f t="shared" si="62"/>
        <v>33446.524140987676</v>
      </c>
      <c r="R150" s="1336">
        <f t="shared" si="62"/>
        <v>47969.356991679684</v>
      </c>
      <c r="S150" s="1336">
        <f t="shared" si="62"/>
        <v>45570.889142095708</v>
      </c>
      <c r="T150" s="1336">
        <f t="shared" si="62"/>
        <v>43292.344684990923</v>
      </c>
      <c r="U150" s="1336">
        <f t="shared" si="62"/>
        <v>41127.727450741382</v>
      </c>
      <c r="V150" s="1336">
        <f t="shared" si="62"/>
        <v>39071.341078204307</v>
      </c>
    </row>
    <row r="151" spans="2:22" s="1210" customFormat="1">
      <c r="B151" s="1336" t="s">
        <v>770</v>
      </c>
      <c r="C151" s="295">
        <f>$O$10*C135</f>
        <v>31500</v>
      </c>
      <c r="D151" s="295">
        <f t="shared" ref="D151:V151" si="63">$O$10*D135</f>
        <v>30870</v>
      </c>
      <c r="E151" s="295">
        <f t="shared" si="63"/>
        <v>28980</v>
      </c>
      <c r="F151" s="295">
        <f t="shared" si="63"/>
        <v>27090</v>
      </c>
      <c r="G151" s="295">
        <f t="shared" si="63"/>
        <v>25200</v>
      </c>
      <c r="H151" s="295">
        <f t="shared" si="63"/>
        <v>23310</v>
      </c>
      <c r="I151" s="295">
        <f t="shared" si="63"/>
        <v>21105</v>
      </c>
      <c r="J151" s="295">
        <f t="shared" si="63"/>
        <v>18900</v>
      </c>
      <c r="K151" s="295">
        <f t="shared" si="63"/>
        <v>16695</v>
      </c>
      <c r="L151" s="295">
        <f t="shared" si="63"/>
        <v>14490</v>
      </c>
      <c r="M151" s="295">
        <f t="shared" si="63"/>
        <v>12285</v>
      </c>
      <c r="N151" s="295">
        <f t="shared" si="63"/>
        <v>10080</v>
      </c>
      <c r="O151" s="295">
        <f t="shared" si="63"/>
        <v>7560</v>
      </c>
      <c r="P151" s="295">
        <f t="shared" si="63"/>
        <v>4725</v>
      </c>
      <c r="Q151" s="295">
        <f t="shared" si="63"/>
        <v>1575</v>
      </c>
      <c r="R151" s="295">
        <f t="shared" si="63"/>
        <v>0</v>
      </c>
      <c r="S151" s="295">
        <f t="shared" si="63"/>
        <v>0</v>
      </c>
      <c r="T151" s="295">
        <f t="shared" si="63"/>
        <v>0</v>
      </c>
      <c r="U151" s="295">
        <f t="shared" si="63"/>
        <v>0</v>
      </c>
      <c r="V151" s="295">
        <f t="shared" si="63"/>
        <v>0</v>
      </c>
    </row>
    <row r="152" spans="2:22" s="1210" customFormat="1">
      <c r="B152" s="1336" t="s">
        <v>771</v>
      </c>
      <c r="C152" s="297">
        <f>$O$8/30/2</f>
        <v>9375</v>
      </c>
      <c r="D152" s="297">
        <f>$O$8/30</f>
        <v>18750</v>
      </c>
      <c r="E152" s="297">
        <f t="shared" ref="E152:V152" si="64">$O$8/30</f>
        <v>18750</v>
      </c>
      <c r="F152" s="297">
        <f t="shared" si="64"/>
        <v>18750</v>
      </c>
      <c r="G152" s="297">
        <f t="shared" si="64"/>
        <v>18750</v>
      </c>
      <c r="H152" s="297">
        <f t="shared" si="64"/>
        <v>18750</v>
      </c>
      <c r="I152" s="297">
        <f t="shared" si="64"/>
        <v>18750</v>
      </c>
      <c r="J152" s="297">
        <f t="shared" si="64"/>
        <v>18750</v>
      </c>
      <c r="K152" s="297">
        <f t="shared" si="64"/>
        <v>18750</v>
      </c>
      <c r="L152" s="297">
        <f t="shared" si="64"/>
        <v>18750</v>
      </c>
      <c r="M152" s="297">
        <f t="shared" si="64"/>
        <v>18750</v>
      </c>
      <c r="N152" s="297">
        <f t="shared" si="64"/>
        <v>18750</v>
      </c>
      <c r="O152" s="297">
        <f t="shared" si="64"/>
        <v>18750</v>
      </c>
      <c r="P152" s="297">
        <f t="shared" si="64"/>
        <v>18750</v>
      </c>
      <c r="Q152" s="297">
        <f t="shared" si="64"/>
        <v>18750</v>
      </c>
      <c r="R152" s="297">
        <f t="shared" si="64"/>
        <v>18750</v>
      </c>
      <c r="S152" s="297">
        <f t="shared" si="64"/>
        <v>18750</v>
      </c>
      <c r="T152" s="297">
        <f t="shared" si="64"/>
        <v>18750</v>
      </c>
      <c r="U152" s="297">
        <f t="shared" si="64"/>
        <v>18750</v>
      </c>
      <c r="V152" s="297">
        <f t="shared" si="64"/>
        <v>18750</v>
      </c>
    </row>
    <row r="153" spans="2:22" s="1210" customFormat="1">
      <c r="B153" s="1336" t="s">
        <v>772</v>
      </c>
      <c r="C153" s="295">
        <f t="shared" ref="C153:V153" si="65">SUM(C149:C152)</f>
        <v>57338.414634146342</v>
      </c>
      <c r="D153" s="295">
        <f t="shared" si="65"/>
        <v>80406.585365853651</v>
      </c>
      <c r="E153" s="295">
        <f t="shared" si="65"/>
        <v>83022.621951219509</v>
      </c>
      <c r="F153" s="295">
        <f t="shared" si="65"/>
        <v>83467.364634146332</v>
      </c>
      <c r="G153" s="295">
        <f t="shared" si="65"/>
        <v>84265.033536585368</v>
      </c>
      <c r="H153" s="295">
        <f t="shared" si="65"/>
        <v>88207.275054878046</v>
      </c>
      <c r="I153" s="295">
        <f t="shared" si="65"/>
        <v>92462.893562560974</v>
      </c>
      <c r="J153" s="295">
        <f t="shared" si="65"/>
        <v>92362.209305063414</v>
      </c>
      <c r="K153" s="295">
        <f t="shared" si="65"/>
        <v>92345.697677265955</v>
      </c>
      <c r="L153" s="295">
        <f t="shared" si="65"/>
        <v>92416.725584356609</v>
      </c>
      <c r="M153" s="295">
        <f t="shared" si="65"/>
        <v>92578.794607730873</v>
      </c>
      <c r="N153" s="295">
        <f t="shared" si="65"/>
        <v>95912.736122426635</v>
      </c>
      <c r="O153" s="295">
        <f t="shared" si="65"/>
        <v>99430.18237344503</v>
      </c>
      <c r="P153" s="295">
        <f t="shared" si="65"/>
        <v>103175.9987870551</v>
      </c>
      <c r="Q153" s="295">
        <f t="shared" si="65"/>
        <v>107199.08867789006</v>
      </c>
      <c r="R153" s="295">
        <f t="shared" si="65"/>
        <v>143345.73244592125</v>
      </c>
      <c r="S153" s="295">
        <f t="shared" si="65"/>
        <v>137115.9458236252</v>
      </c>
      <c r="T153" s="295">
        <f t="shared" si="65"/>
        <v>131197.64853244397</v>
      </c>
      <c r="U153" s="295">
        <f t="shared" si="65"/>
        <v>125575.26610582176</v>
      </c>
      <c r="V153" s="295">
        <f t="shared" si="65"/>
        <v>120234.00280053067</v>
      </c>
    </row>
    <row r="154" spans="2:22" s="1210" customFormat="1" ht="12.75" customHeight="1">
      <c r="B154" s="1336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</row>
    <row r="155" spans="2:22">
      <c r="B155" s="20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</row>
    <row r="156" spans="2:22" ht="15.75">
      <c r="B156" s="737" t="s">
        <v>585</v>
      </c>
    </row>
    <row r="157" spans="2:22">
      <c r="B157" s="569" t="s">
        <v>386</v>
      </c>
      <c r="C157" s="566">
        <v>1</v>
      </c>
      <c r="D157" s="566">
        <f>+C157+1</f>
        <v>2</v>
      </c>
      <c r="E157" s="566">
        <f t="shared" ref="E157:N157" si="66">+D157+1</f>
        <v>3</v>
      </c>
      <c r="F157" s="566">
        <f t="shared" si="66"/>
        <v>4</v>
      </c>
      <c r="G157" s="566">
        <f t="shared" si="66"/>
        <v>5</v>
      </c>
      <c r="H157" s="566">
        <f t="shared" si="66"/>
        <v>6</v>
      </c>
      <c r="I157" s="566">
        <f t="shared" si="66"/>
        <v>7</v>
      </c>
      <c r="J157" s="566">
        <f t="shared" si="66"/>
        <v>8</v>
      </c>
      <c r="K157" s="566">
        <f t="shared" si="66"/>
        <v>9</v>
      </c>
      <c r="L157" s="566">
        <f t="shared" si="66"/>
        <v>10</v>
      </c>
      <c r="M157" s="566">
        <f t="shared" si="66"/>
        <v>11</v>
      </c>
      <c r="N157" s="566">
        <f t="shared" si="66"/>
        <v>12</v>
      </c>
      <c r="O157" s="566">
        <f>+N157+1</f>
        <v>13</v>
      </c>
      <c r="P157" s="566">
        <f t="shared" ref="P157:U157" si="67">+O157+1</f>
        <v>14</v>
      </c>
      <c r="Q157" s="566">
        <f t="shared" si="67"/>
        <v>15</v>
      </c>
      <c r="R157" s="566">
        <f t="shared" si="67"/>
        <v>16</v>
      </c>
      <c r="S157" s="566">
        <f t="shared" si="67"/>
        <v>17</v>
      </c>
      <c r="T157" s="566">
        <f t="shared" si="67"/>
        <v>18</v>
      </c>
      <c r="U157" s="566">
        <f t="shared" si="67"/>
        <v>19</v>
      </c>
      <c r="V157" s="566">
        <f>+U157+1</f>
        <v>20</v>
      </c>
    </row>
    <row r="158" spans="2:22">
      <c r="B158" s="20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</row>
    <row r="159" spans="2:22">
      <c r="B159" s="273" t="s">
        <v>30</v>
      </c>
      <c r="C159" s="295">
        <f t="shared" ref="C159:V159" si="68">+C$163*C173</f>
        <v>3465.45</v>
      </c>
      <c r="D159" s="295">
        <f t="shared" si="68"/>
        <v>6480.3914999999997</v>
      </c>
      <c r="E159" s="295">
        <f t="shared" si="68"/>
        <v>7428.8851649999988</v>
      </c>
      <c r="F159" s="295">
        <f t="shared" si="68"/>
        <v>7920.3344913000001</v>
      </c>
      <c r="G159" s="295">
        <f t="shared" si="68"/>
        <v>8486.0726692499993</v>
      </c>
      <c r="H159" s="295">
        <f t="shared" si="68"/>
        <v>9713.7245154015</v>
      </c>
      <c r="I159" s="295">
        <f t="shared" si="68"/>
        <v>11073.645947557708</v>
      </c>
      <c r="J159" s="295">
        <f t="shared" si="68"/>
        <v>11516.591785460017</v>
      </c>
      <c r="K159" s="295">
        <f t="shared" si="68"/>
        <v>11977.25545687842</v>
      </c>
      <c r="L159" s="295">
        <f t="shared" si="68"/>
        <v>12456.345675153558</v>
      </c>
      <c r="M159" s="295">
        <f t="shared" si="68"/>
        <v>12954.599502159699</v>
      </c>
      <c r="N159" s="295">
        <f t="shared" si="68"/>
        <v>14120.513457354073</v>
      </c>
      <c r="O159" s="295">
        <f t="shared" si="68"/>
        <v>15391.359668515939</v>
      </c>
      <c r="P159" s="295">
        <f t="shared" si="68"/>
        <v>16776.582038682373</v>
      </c>
      <c r="Q159" s="295">
        <f t="shared" si="68"/>
        <v>18286.474422163788</v>
      </c>
      <c r="R159" s="295">
        <f t="shared" si="68"/>
        <v>26226.654105471745</v>
      </c>
      <c r="S159" s="295">
        <f t="shared" si="68"/>
        <v>24915.321400198158</v>
      </c>
      <c r="T159" s="295">
        <f t="shared" si="68"/>
        <v>23669.55533018825</v>
      </c>
      <c r="U159" s="295">
        <f t="shared" si="68"/>
        <v>22486.077563678838</v>
      </c>
      <c r="V159" s="295">
        <f t="shared" si="68"/>
        <v>21361.7736854949</v>
      </c>
    </row>
    <row r="160" spans="2:22">
      <c r="B160" s="273" t="s">
        <v>116</v>
      </c>
      <c r="C160" s="295">
        <f t="shared" ref="C160:V160" si="69">+C$163*C174</f>
        <v>2310.3000000000002</v>
      </c>
      <c r="D160" s="295">
        <f t="shared" si="69"/>
        <v>8247.7710000000006</v>
      </c>
      <c r="E160" s="295">
        <f t="shared" si="69"/>
        <v>8000.3378699999994</v>
      </c>
      <c r="F160" s="295">
        <f t="shared" si="69"/>
        <v>7920.3344913000001</v>
      </c>
      <c r="G160" s="295">
        <f t="shared" si="69"/>
        <v>7920.3344913000001</v>
      </c>
      <c r="H160" s="295">
        <f t="shared" si="69"/>
        <v>8570.9333959424985</v>
      </c>
      <c r="I160" s="295">
        <f t="shared" si="69"/>
        <v>8742.3520638613481</v>
      </c>
      <c r="J160" s="295">
        <f t="shared" si="69"/>
        <v>9092.0461464158034</v>
      </c>
      <c r="K160" s="295">
        <f t="shared" si="69"/>
        <v>9455.7279922724356</v>
      </c>
      <c r="L160" s="295">
        <f t="shared" si="69"/>
        <v>9833.9571119633347</v>
      </c>
      <c r="M160" s="295">
        <f t="shared" si="69"/>
        <v>6818.2102642945792</v>
      </c>
      <c r="N160" s="295">
        <f t="shared" si="69"/>
        <v>7431.8491880810907</v>
      </c>
      <c r="O160" s="295">
        <f t="shared" si="69"/>
        <v>8100.7156150083892</v>
      </c>
      <c r="P160" s="295">
        <f t="shared" si="69"/>
        <v>8829.7800203591451</v>
      </c>
      <c r="Q160" s="295">
        <f t="shared" si="69"/>
        <v>9624.4602221914665</v>
      </c>
      <c r="R160" s="295">
        <f t="shared" si="69"/>
        <v>31471.984926566092</v>
      </c>
      <c r="S160" s="295">
        <f t="shared" si="69"/>
        <v>29898.385680237789</v>
      </c>
      <c r="T160" s="295">
        <f t="shared" si="69"/>
        <v>28403.4663962259</v>
      </c>
      <c r="U160" s="295">
        <f t="shared" si="69"/>
        <v>26983.293076414604</v>
      </c>
      <c r="V160" s="295">
        <f t="shared" si="69"/>
        <v>25634.12842259388</v>
      </c>
    </row>
    <row r="161" spans="2:22">
      <c r="B161" s="20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</row>
    <row r="162" spans="2:22">
      <c r="B162" s="1201" t="s">
        <v>129</v>
      </c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</row>
    <row r="163" spans="2:22">
      <c r="B163" s="20" t="s">
        <v>178</v>
      </c>
      <c r="C163" s="1187">
        <f>Devel_Financials!S8*Devel_Financials!S9</f>
        <v>57757.5</v>
      </c>
      <c r="D163" s="295">
        <f t="shared" ref="D163:V163" si="70">+C166</f>
        <v>58912.649999999994</v>
      </c>
      <c r="E163" s="295">
        <f t="shared" si="70"/>
        <v>57145.270499999991</v>
      </c>
      <c r="F163" s="295">
        <f t="shared" si="70"/>
        <v>56573.817794999995</v>
      </c>
      <c r="G163" s="295">
        <f t="shared" si="70"/>
        <v>56573.817794999995</v>
      </c>
      <c r="H163" s="295">
        <f t="shared" si="70"/>
        <v>57139.555972949995</v>
      </c>
      <c r="I163" s="295">
        <f t="shared" si="70"/>
        <v>58282.347092408992</v>
      </c>
      <c r="J163" s="295">
        <f t="shared" si="70"/>
        <v>60613.640976105358</v>
      </c>
      <c r="K163" s="295">
        <f t="shared" si="70"/>
        <v>63038.186615149578</v>
      </c>
      <c r="L163" s="295">
        <f t="shared" si="70"/>
        <v>65559.714079755562</v>
      </c>
      <c r="M163" s="295">
        <f t="shared" si="70"/>
        <v>68182.102642945785</v>
      </c>
      <c r="N163" s="295">
        <f t="shared" si="70"/>
        <v>74318.491880810907</v>
      </c>
      <c r="O163" s="295">
        <f t="shared" si="70"/>
        <v>81007.156150083887</v>
      </c>
      <c r="P163" s="295">
        <f t="shared" si="70"/>
        <v>88297.80020359144</v>
      </c>
      <c r="Q163" s="295">
        <f t="shared" si="70"/>
        <v>96244.602221914669</v>
      </c>
      <c r="R163" s="295">
        <f t="shared" si="70"/>
        <v>104906.61642188698</v>
      </c>
      <c r="S163" s="295">
        <f t="shared" si="70"/>
        <v>99661.285600792631</v>
      </c>
      <c r="T163" s="295">
        <f t="shared" si="70"/>
        <v>94678.221320753</v>
      </c>
      <c r="U163" s="295">
        <f t="shared" si="70"/>
        <v>89944.310254715354</v>
      </c>
      <c r="V163" s="295">
        <f t="shared" si="70"/>
        <v>85447.094741979599</v>
      </c>
    </row>
    <row r="164" spans="2:22">
      <c r="B164" s="20" t="s">
        <v>623</v>
      </c>
      <c r="C164" s="295">
        <f>+C159</f>
        <v>3465.45</v>
      </c>
      <c r="D164" s="295">
        <f>+D159</f>
        <v>6480.3914999999997</v>
      </c>
      <c r="E164" s="295">
        <f t="shared" ref="E164:V164" si="71">+E159</f>
        <v>7428.8851649999988</v>
      </c>
      <c r="F164" s="295">
        <f t="shared" si="71"/>
        <v>7920.3344913000001</v>
      </c>
      <c r="G164" s="295">
        <f t="shared" si="71"/>
        <v>8486.0726692499993</v>
      </c>
      <c r="H164" s="295">
        <f t="shared" si="71"/>
        <v>9713.7245154015</v>
      </c>
      <c r="I164" s="295">
        <f t="shared" si="71"/>
        <v>11073.645947557708</v>
      </c>
      <c r="J164" s="295">
        <f t="shared" si="71"/>
        <v>11516.591785460017</v>
      </c>
      <c r="K164" s="295">
        <f t="shared" si="71"/>
        <v>11977.25545687842</v>
      </c>
      <c r="L164" s="295">
        <f t="shared" si="71"/>
        <v>12456.345675153558</v>
      </c>
      <c r="M164" s="295">
        <f t="shared" si="71"/>
        <v>12954.599502159699</v>
      </c>
      <c r="N164" s="295">
        <f t="shared" si="71"/>
        <v>14120.513457354073</v>
      </c>
      <c r="O164" s="295">
        <f t="shared" si="71"/>
        <v>15391.359668515939</v>
      </c>
      <c r="P164" s="295">
        <f t="shared" si="71"/>
        <v>16776.582038682373</v>
      </c>
      <c r="Q164" s="295">
        <f t="shared" si="71"/>
        <v>18286.474422163788</v>
      </c>
      <c r="R164" s="295">
        <f t="shared" si="71"/>
        <v>26226.654105471745</v>
      </c>
      <c r="S164" s="295">
        <f t="shared" si="71"/>
        <v>24915.321400198158</v>
      </c>
      <c r="T164" s="295">
        <f t="shared" si="71"/>
        <v>23669.55533018825</v>
      </c>
      <c r="U164" s="295">
        <f t="shared" si="71"/>
        <v>22486.077563678838</v>
      </c>
      <c r="V164" s="295">
        <f t="shared" si="71"/>
        <v>21361.7736854949</v>
      </c>
    </row>
    <row r="165" spans="2:22">
      <c r="B165" s="20" t="s">
        <v>624</v>
      </c>
      <c r="C165" s="295">
        <f>-C160</f>
        <v>-2310.3000000000002</v>
      </c>
      <c r="D165" s="295">
        <f>-D160</f>
        <v>-8247.7710000000006</v>
      </c>
      <c r="E165" s="295">
        <f t="shared" ref="E165:V165" si="72">-E160</f>
        <v>-8000.3378699999994</v>
      </c>
      <c r="F165" s="295">
        <f t="shared" si="72"/>
        <v>-7920.3344913000001</v>
      </c>
      <c r="G165" s="295">
        <f t="shared" si="72"/>
        <v>-7920.3344913000001</v>
      </c>
      <c r="H165" s="295">
        <f t="shared" si="72"/>
        <v>-8570.9333959424985</v>
      </c>
      <c r="I165" s="295">
        <f t="shared" si="72"/>
        <v>-8742.3520638613481</v>
      </c>
      <c r="J165" s="295">
        <f t="shared" si="72"/>
        <v>-9092.0461464158034</v>
      </c>
      <c r="K165" s="295">
        <f t="shared" si="72"/>
        <v>-9455.7279922724356</v>
      </c>
      <c r="L165" s="295">
        <f t="shared" si="72"/>
        <v>-9833.9571119633347</v>
      </c>
      <c r="M165" s="295">
        <f t="shared" si="72"/>
        <v>-6818.2102642945792</v>
      </c>
      <c r="N165" s="295">
        <f t="shared" si="72"/>
        <v>-7431.8491880810907</v>
      </c>
      <c r="O165" s="295">
        <f t="shared" si="72"/>
        <v>-8100.7156150083892</v>
      </c>
      <c r="P165" s="295">
        <f t="shared" si="72"/>
        <v>-8829.7800203591451</v>
      </c>
      <c r="Q165" s="295">
        <f t="shared" si="72"/>
        <v>-9624.4602221914665</v>
      </c>
      <c r="R165" s="295">
        <f t="shared" si="72"/>
        <v>-31471.984926566092</v>
      </c>
      <c r="S165" s="295">
        <f t="shared" si="72"/>
        <v>-29898.385680237789</v>
      </c>
      <c r="T165" s="295">
        <f t="shared" si="72"/>
        <v>-28403.4663962259</v>
      </c>
      <c r="U165" s="295">
        <f t="shared" si="72"/>
        <v>-26983.293076414604</v>
      </c>
      <c r="V165" s="295">
        <f t="shared" si="72"/>
        <v>-25634.12842259388</v>
      </c>
    </row>
    <row r="166" spans="2:22">
      <c r="B166" s="20" t="s">
        <v>179</v>
      </c>
      <c r="C166" s="1202">
        <f t="shared" ref="C166:V166" si="73">SUM(C163:C165)</f>
        <v>58912.649999999994</v>
      </c>
      <c r="D166" s="1202">
        <f t="shared" si="73"/>
        <v>57145.270499999991</v>
      </c>
      <c r="E166" s="1202">
        <f t="shared" si="73"/>
        <v>56573.817794999995</v>
      </c>
      <c r="F166" s="1202">
        <f t="shared" si="73"/>
        <v>56573.817794999995</v>
      </c>
      <c r="G166" s="1202">
        <f t="shared" si="73"/>
        <v>57139.555972949995</v>
      </c>
      <c r="H166" s="1202">
        <f t="shared" si="73"/>
        <v>58282.347092408992</v>
      </c>
      <c r="I166" s="1202">
        <f t="shared" si="73"/>
        <v>60613.640976105358</v>
      </c>
      <c r="J166" s="1202">
        <f t="shared" si="73"/>
        <v>63038.186615149578</v>
      </c>
      <c r="K166" s="1202">
        <f t="shared" si="73"/>
        <v>65559.714079755562</v>
      </c>
      <c r="L166" s="1202">
        <f t="shared" si="73"/>
        <v>68182.102642945785</v>
      </c>
      <c r="M166" s="1202">
        <f t="shared" si="73"/>
        <v>74318.491880810907</v>
      </c>
      <c r="N166" s="1202">
        <f t="shared" si="73"/>
        <v>81007.156150083887</v>
      </c>
      <c r="O166" s="1202">
        <f t="shared" si="73"/>
        <v>88297.80020359144</v>
      </c>
      <c r="P166" s="1202">
        <f t="shared" si="73"/>
        <v>96244.602221914669</v>
      </c>
      <c r="Q166" s="1202">
        <f t="shared" si="73"/>
        <v>104906.61642188698</v>
      </c>
      <c r="R166" s="1202">
        <f t="shared" si="73"/>
        <v>99661.285600792631</v>
      </c>
      <c r="S166" s="1202">
        <f t="shared" si="73"/>
        <v>94678.221320753</v>
      </c>
      <c r="T166" s="1202">
        <f t="shared" si="73"/>
        <v>89944.310254715354</v>
      </c>
      <c r="U166" s="1202">
        <f t="shared" si="73"/>
        <v>85447.094741979599</v>
      </c>
      <c r="V166" s="1202">
        <f t="shared" si="73"/>
        <v>81174.740004880616</v>
      </c>
    </row>
    <row r="167" spans="2:22">
      <c r="B167" s="20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</row>
    <row r="168" spans="2:22">
      <c r="B168" s="1201" t="s">
        <v>130</v>
      </c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</row>
    <row r="169" spans="2:22">
      <c r="B169" s="20" t="s">
        <v>178</v>
      </c>
      <c r="C169" s="1187">
        <f>Devel_Financials!S8-Devel_Financials!C163</f>
        <v>134767.5</v>
      </c>
      <c r="D169" s="295">
        <f>C171</f>
        <v>132072.15</v>
      </c>
      <c r="E169" s="295">
        <f t="shared" ref="E169:V169" si="74">D171</f>
        <v>123986.09999999999</v>
      </c>
      <c r="F169" s="295">
        <f t="shared" si="74"/>
        <v>115900.04999999999</v>
      </c>
      <c r="G169" s="295">
        <f t="shared" si="74"/>
        <v>107813.99999999999</v>
      </c>
      <c r="H169" s="295">
        <f t="shared" si="74"/>
        <v>99727.949999999983</v>
      </c>
      <c r="I169" s="295">
        <f t="shared" si="74"/>
        <v>90294.224999999977</v>
      </c>
      <c r="J169" s="295">
        <f t="shared" si="74"/>
        <v>80860.499999999971</v>
      </c>
      <c r="K169" s="295">
        <f t="shared" si="74"/>
        <v>71426.774999999965</v>
      </c>
      <c r="L169" s="295">
        <f t="shared" si="74"/>
        <v>61993.049999999967</v>
      </c>
      <c r="M169" s="295">
        <f t="shared" si="74"/>
        <v>52559.324999999968</v>
      </c>
      <c r="N169" s="295">
        <f t="shared" si="74"/>
        <v>43125.599999999969</v>
      </c>
      <c r="O169" s="295">
        <f t="shared" si="74"/>
        <v>32344.199999999968</v>
      </c>
      <c r="P169" s="295">
        <f t="shared" si="74"/>
        <v>20215.124999999971</v>
      </c>
      <c r="Q169" s="295">
        <f t="shared" si="74"/>
        <v>6738.3749999999709</v>
      </c>
      <c r="R169" s="295">
        <f t="shared" si="74"/>
        <v>-2.9103830456733704E-11</v>
      </c>
      <c r="S169" s="295">
        <f t="shared" si="74"/>
        <v>-2.9103830456733704E-11</v>
      </c>
      <c r="T169" s="295">
        <f t="shared" si="74"/>
        <v>-2.9103830456733704E-11</v>
      </c>
      <c r="U169" s="295">
        <f t="shared" si="74"/>
        <v>-2.9103830456733704E-11</v>
      </c>
      <c r="V169" s="295">
        <f t="shared" si="74"/>
        <v>-2.9103830456733704E-11</v>
      </c>
    </row>
    <row r="170" spans="2:22">
      <c r="B170" s="20" t="s">
        <v>625</v>
      </c>
      <c r="C170" s="295">
        <f>-$C$169*C175</f>
        <v>-2695.35</v>
      </c>
      <c r="D170" s="295">
        <f t="shared" ref="D170:V170" si="75">-$C$169*D175</f>
        <v>-8086.0499999999993</v>
      </c>
      <c r="E170" s="295">
        <f t="shared" si="75"/>
        <v>-8086.0499999999993</v>
      </c>
      <c r="F170" s="295">
        <f t="shared" si="75"/>
        <v>-8086.0499999999993</v>
      </c>
      <c r="G170" s="295">
        <f t="shared" si="75"/>
        <v>-8086.0499999999993</v>
      </c>
      <c r="H170" s="295">
        <f t="shared" si="75"/>
        <v>-9433.7250000000004</v>
      </c>
      <c r="I170" s="295">
        <f t="shared" si="75"/>
        <v>-9433.7250000000004</v>
      </c>
      <c r="J170" s="295">
        <f t="shared" si="75"/>
        <v>-9433.7250000000004</v>
      </c>
      <c r="K170" s="295">
        <f t="shared" si="75"/>
        <v>-9433.7250000000004</v>
      </c>
      <c r="L170" s="295">
        <f t="shared" si="75"/>
        <v>-9433.7250000000004</v>
      </c>
      <c r="M170" s="295">
        <f t="shared" si="75"/>
        <v>-9433.7250000000004</v>
      </c>
      <c r="N170" s="295">
        <f t="shared" si="75"/>
        <v>-10781.4</v>
      </c>
      <c r="O170" s="295">
        <f t="shared" si="75"/>
        <v>-12129.074999999999</v>
      </c>
      <c r="P170" s="295">
        <f t="shared" si="75"/>
        <v>-13476.75</v>
      </c>
      <c r="Q170" s="295">
        <f t="shared" si="75"/>
        <v>-6738.375</v>
      </c>
      <c r="R170" s="295">
        <f t="shared" si="75"/>
        <v>0</v>
      </c>
      <c r="S170" s="295">
        <f t="shared" si="75"/>
        <v>0</v>
      </c>
      <c r="T170" s="295">
        <f t="shared" si="75"/>
        <v>0</v>
      </c>
      <c r="U170" s="295">
        <f t="shared" si="75"/>
        <v>0</v>
      </c>
      <c r="V170" s="295">
        <f t="shared" si="75"/>
        <v>0</v>
      </c>
    </row>
    <row r="171" spans="2:22">
      <c r="B171" s="20" t="s">
        <v>179</v>
      </c>
      <c r="C171" s="1202">
        <f t="shared" ref="C171:V171" si="76">SUM(C169:C170)</f>
        <v>132072.15</v>
      </c>
      <c r="D171" s="1202">
        <f t="shared" si="76"/>
        <v>123986.09999999999</v>
      </c>
      <c r="E171" s="1202">
        <f t="shared" si="76"/>
        <v>115900.04999999999</v>
      </c>
      <c r="F171" s="1202">
        <f t="shared" si="76"/>
        <v>107813.99999999999</v>
      </c>
      <c r="G171" s="1202">
        <f t="shared" si="76"/>
        <v>99727.949999999983</v>
      </c>
      <c r="H171" s="1202">
        <f t="shared" si="76"/>
        <v>90294.224999999977</v>
      </c>
      <c r="I171" s="1202">
        <f t="shared" si="76"/>
        <v>80860.499999999971</v>
      </c>
      <c r="J171" s="1202">
        <f t="shared" si="76"/>
        <v>71426.774999999965</v>
      </c>
      <c r="K171" s="1202">
        <f t="shared" si="76"/>
        <v>61993.049999999967</v>
      </c>
      <c r="L171" s="1202">
        <f t="shared" si="76"/>
        <v>52559.324999999968</v>
      </c>
      <c r="M171" s="1202">
        <f t="shared" si="76"/>
        <v>43125.599999999969</v>
      </c>
      <c r="N171" s="1202">
        <f t="shared" si="76"/>
        <v>32344.199999999968</v>
      </c>
      <c r="O171" s="1202">
        <f t="shared" si="76"/>
        <v>20215.124999999971</v>
      </c>
      <c r="P171" s="1202">
        <f t="shared" si="76"/>
        <v>6738.3749999999709</v>
      </c>
      <c r="Q171" s="1202">
        <f t="shared" si="76"/>
        <v>-2.9103830456733704E-11</v>
      </c>
      <c r="R171" s="1202">
        <f t="shared" si="76"/>
        <v>-2.9103830456733704E-11</v>
      </c>
      <c r="S171" s="1202">
        <f t="shared" si="76"/>
        <v>-2.9103830456733704E-11</v>
      </c>
      <c r="T171" s="1202">
        <f t="shared" si="76"/>
        <v>-2.9103830456733704E-11</v>
      </c>
      <c r="U171" s="1202">
        <f t="shared" si="76"/>
        <v>-2.9103830456733704E-11</v>
      </c>
      <c r="V171" s="1202">
        <f t="shared" si="76"/>
        <v>-2.9103830456733704E-11</v>
      </c>
    </row>
    <row r="172" spans="2:22">
      <c r="B172" s="20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</row>
    <row r="173" spans="2:22">
      <c r="B173" s="197" t="s">
        <v>626</v>
      </c>
      <c r="C173" s="1203">
        <v>0.06</v>
      </c>
      <c r="D173" s="1203">
        <v>0.11</v>
      </c>
      <c r="E173" s="1203">
        <v>0.13</v>
      </c>
      <c r="F173" s="1203">
        <v>0.14000000000000001</v>
      </c>
      <c r="G173" s="1203">
        <v>0.15</v>
      </c>
      <c r="H173" s="1203">
        <v>0.17</v>
      </c>
      <c r="I173" s="1203">
        <v>0.19</v>
      </c>
      <c r="J173" s="1203">
        <v>0.19</v>
      </c>
      <c r="K173" s="1203">
        <v>0.19</v>
      </c>
      <c r="L173" s="1203">
        <v>0.19</v>
      </c>
      <c r="M173" s="1203">
        <v>0.19</v>
      </c>
      <c r="N173" s="1203">
        <v>0.19</v>
      </c>
      <c r="O173" s="1203">
        <v>0.19</v>
      </c>
      <c r="P173" s="1203">
        <v>0.19</v>
      </c>
      <c r="Q173" s="1203">
        <v>0.19</v>
      </c>
      <c r="R173" s="1203">
        <v>0.25</v>
      </c>
      <c r="S173" s="1203">
        <v>0.25</v>
      </c>
      <c r="T173" s="1203">
        <v>0.25</v>
      </c>
      <c r="U173" s="1203">
        <v>0.25</v>
      </c>
      <c r="V173" s="1203">
        <v>0.25</v>
      </c>
    </row>
    <row r="174" spans="2:22">
      <c r="B174" s="197" t="s">
        <v>627</v>
      </c>
      <c r="C174" s="1203">
        <v>0.04</v>
      </c>
      <c r="D174" s="1203">
        <v>0.14000000000000001</v>
      </c>
      <c r="E174" s="1203">
        <v>0.14000000000000001</v>
      </c>
      <c r="F174" s="1203">
        <v>0.14000000000000001</v>
      </c>
      <c r="G174" s="1203">
        <v>0.14000000000000001</v>
      </c>
      <c r="H174" s="1203">
        <v>0.15</v>
      </c>
      <c r="I174" s="1203">
        <v>0.15</v>
      </c>
      <c r="J174" s="1203">
        <v>0.15</v>
      </c>
      <c r="K174" s="1203">
        <v>0.15</v>
      </c>
      <c r="L174" s="1203">
        <v>0.15</v>
      </c>
      <c r="M174" s="1203">
        <v>0.1</v>
      </c>
      <c r="N174" s="1203">
        <v>0.1</v>
      </c>
      <c r="O174" s="1203">
        <v>0.1</v>
      </c>
      <c r="P174" s="1203">
        <v>0.1</v>
      </c>
      <c r="Q174" s="1203">
        <v>0.1</v>
      </c>
      <c r="R174" s="1203">
        <v>0.3</v>
      </c>
      <c r="S174" s="1203">
        <v>0.3</v>
      </c>
      <c r="T174" s="1203">
        <v>0.3</v>
      </c>
      <c r="U174" s="1203">
        <v>0.3</v>
      </c>
      <c r="V174" s="1203">
        <v>0.3</v>
      </c>
    </row>
    <row r="175" spans="2:22">
      <c r="B175" s="197" t="s">
        <v>628</v>
      </c>
      <c r="C175" s="1203">
        <v>0.02</v>
      </c>
      <c r="D175" s="1203">
        <v>0.06</v>
      </c>
      <c r="E175" s="1203">
        <v>0.06</v>
      </c>
      <c r="F175" s="1203">
        <v>0.06</v>
      </c>
      <c r="G175" s="1203">
        <v>0.06</v>
      </c>
      <c r="H175" s="1203">
        <v>7.0000000000000007E-2</v>
      </c>
      <c r="I175" s="1203">
        <v>7.0000000000000007E-2</v>
      </c>
      <c r="J175" s="1203">
        <v>7.0000000000000007E-2</v>
      </c>
      <c r="K175" s="1203">
        <v>7.0000000000000007E-2</v>
      </c>
      <c r="L175" s="1203">
        <v>7.0000000000000007E-2</v>
      </c>
      <c r="M175" s="1203">
        <v>7.0000000000000007E-2</v>
      </c>
      <c r="N175" s="1203">
        <v>0.08</v>
      </c>
      <c r="O175" s="1203">
        <v>0.09</v>
      </c>
      <c r="P175" s="1203">
        <v>0.1</v>
      </c>
      <c r="Q175" s="1203">
        <v>0.05</v>
      </c>
      <c r="R175" s="1203"/>
      <c r="S175" s="1203"/>
      <c r="T175" s="1203"/>
      <c r="U175" s="1203"/>
      <c r="V175" s="1203"/>
    </row>
    <row r="176" spans="2:22">
      <c r="B176" s="197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</row>
    <row r="177" spans="2:22">
      <c r="B177" s="1204" t="s">
        <v>629</v>
      </c>
    </row>
    <row r="178" spans="2:22">
      <c r="B178" s="1198" t="s">
        <v>630</v>
      </c>
      <c r="C178" s="1205">
        <f>NPV(0.14,C160:V160)-C163</f>
        <v>2234.0030226225063</v>
      </c>
      <c r="D178" s="1205"/>
      <c r="E178" s="1205"/>
      <c r="F178" s="1205"/>
      <c r="G178" s="1205"/>
      <c r="H178" s="1205"/>
      <c r="I178" s="1205"/>
      <c r="J178" s="1205"/>
      <c r="K178" s="1205"/>
      <c r="L178" s="1205"/>
      <c r="M178" s="1205"/>
      <c r="N178" s="1205"/>
      <c r="O178" s="1205"/>
      <c r="P178" s="1205"/>
      <c r="Q178" s="1205"/>
      <c r="R178" s="1205"/>
      <c r="S178" s="1205"/>
      <c r="T178" s="1205"/>
      <c r="U178" s="1205"/>
      <c r="V178" s="1205"/>
    </row>
    <row r="179" spans="2:22">
      <c r="B179" s="1206" t="s">
        <v>631</v>
      </c>
      <c r="C179" s="1207">
        <f>IRR(B180:V180,0.1)</f>
        <v>0.14488740067412187</v>
      </c>
      <c r="D179" s="957"/>
      <c r="E179" s="957"/>
      <c r="F179" s="957"/>
      <c r="G179" s="957"/>
      <c r="H179" s="957"/>
      <c r="I179" s="957"/>
      <c r="J179" s="957"/>
      <c r="K179" s="957"/>
      <c r="L179" s="957"/>
      <c r="M179" s="957"/>
      <c r="N179" s="957"/>
      <c r="O179" s="957"/>
      <c r="P179" s="957"/>
      <c r="Q179" s="957"/>
      <c r="R179" s="957"/>
      <c r="S179" s="957"/>
      <c r="T179" s="957"/>
      <c r="U179" s="957"/>
      <c r="V179" s="957"/>
    </row>
    <row r="180" spans="2:22">
      <c r="B180" s="1208">
        <f>-C163</f>
        <v>-57757.5</v>
      </c>
      <c r="C180" s="1209">
        <f>+C160</f>
        <v>2310.3000000000002</v>
      </c>
      <c r="D180" s="1209">
        <f t="shared" ref="D180:V180" si="77">+D160</f>
        <v>8247.7710000000006</v>
      </c>
      <c r="E180" s="1209">
        <f t="shared" si="77"/>
        <v>8000.3378699999994</v>
      </c>
      <c r="F180" s="1209">
        <f t="shared" si="77"/>
        <v>7920.3344913000001</v>
      </c>
      <c r="G180" s="1209">
        <f t="shared" si="77"/>
        <v>7920.3344913000001</v>
      </c>
      <c r="H180" s="1209">
        <f t="shared" si="77"/>
        <v>8570.9333959424985</v>
      </c>
      <c r="I180" s="1209">
        <f t="shared" si="77"/>
        <v>8742.3520638613481</v>
      </c>
      <c r="J180" s="1209">
        <f t="shared" si="77"/>
        <v>9092.0461464158034</v>
      </c>
      <c r="K180" s="1209">
        <f t="shared" si="77"/>
        <v>9455.7279922724356</v>
      </c>
      <c r="L180" s="1209">
        <f t="shared" si="77"/>
        <v>9833.9571119633347</v>
      </c>
      <c r="M180" s="1209">
        <f t="shared" si="77"/>
        <v>6818.2102642945792</v>
      </c>
      <c r="N180" s="1209">
        <f t="shared" si="77"/>
        <v>7431.8491880810907</v>
      </c>
      <c r="O180" s="1209">
        <f t="shared" si="77"/>
        <v>8100.7156150083892</v>
      </c>
      <c r="P180" s="1209">
        <f t="shared" si="77"/>
        <v>8829.7800203591451</v>
      </c>
      <c r="Q180" s="1209">
        <f t="shared" si="77"/>
        <v>9624.4602221914665</v>
      </c>
      <c r="R180" s="1209">
        <f t="shared" si="77"/>
        <v>31471.984926566092</v>
      </c>
      <c r="S180" s="1209">
        <f t="shared" si="77"/>
        <v>29898.385680237789</v>
      </c>
      <c r="T180" s="1209">
        <f t="shared" si="77"/>
        <v>28403.4663962259</v>
      </c>
      <c r="U180" s="1209">
        <f t="shared" si="77"/>
        <v>26983.293076414604</v>
      </c>
      <c r="V180" s="1209">
        <f t="shared" si="77"/>
        <v>25634.12842259388</v>
      </c>
    </row>
    <row r="181" spans="2:22">
      <c r="B181" s="20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</row>
    <row r="182" spans="2:22" s="1210" customFormat="1">
      <c r="B182" s="1201" t="s">
        <v>23</v>
      </c>
    </row>
    <row r="183" spans="2:22" s="1210" customFormat="1">
      <c r="B183" s="1336" t="s">
        <v>30</v>
      </c>
      <c r="C183" s="295">
        <f>C159</f>
        <v>3465.45</v>
      </c>
      <c r="D183" s="295">
        <f t="shared" ref="D183:V183" si="78">D159</f>
        <v>6480.3914999999997</v>
      </c>
      <c r="E183" s="295">
        <f t="shared" si="78"/>
        <v>7428.8851649999988</v>
      </c>
      <c r="F183" s="295">
        <f t="shared" si="78"/>
        <v>7920.3344913000001</v>
      </c>
      <c r="G183" s="295">
        <f t="shared" si="78"/>
        <v>8486.0726692499993</v>
      </c>
      <c r="H183" s="295">
        <f t="shared" si="78"/>
        <v>9713.7245154015</v>
      </c>
      <c r="I183" s="295">
        <f t="shared" si="78"/>
        <v>11073.645947557708</v>
      </c>
      <c r="J183" s="295">
        <f t="shared" si="78"/>
        <v>11516.591785460017</v>
      </c>
      <c r="K183" s="295">
        <f t="shared" si="78"/>
        <v>11977.25545687842</v>
      </c>
      <c r="L183" s="295">
        <f t="shared" si="78"/>
        <v>12456.345675153558</v>
      </c>
      <c r="M183" s="295">
        <f t="shared" si="78"/>
        <v>12954.599502159699</v>
      </c>
      <c r="N183" s="295">
        <f t="shared" si="78"/>
        <v>14120.513457354073</v>
      </c>
      <c r="O183" s="295">
        <f t="shared" si="78"/>
        <v>15391.359668515939</v>
      </c>
      <c r="P183" s="295">
        <f t="shared" si="78"/>
        <v>16776.582038682373</v>
      </c>
      <c r="Q183" s="295">
        <f t="shared" si="78"/>
        <v>18286.474422163788</v>
      </c>
      <c r="R183" s="295">
        <f t="shared" si="78"/>
        <v>26226.654105471745</v>
      </c>
      <c r="S183" s="295">
        <f t="shared" si="78"/>
        <v>24915.321400198158</v>
      </c>
      <c r="T183" s="295">
        <f t="shared" si="78"/>
        <v>23669.55533018825</v>
      </c>
      <c r="U183" s="295">
        <f t="shared" si="78"/>
        <v>22486.077563678838</v>
      </c>
      <c r="V183" s="295">
        <f t="shared" si="78"/>
        <v>21361.7736854949</v>
      </c>
    </row>
    <row r="184" spans="2:22" s="1210" customFormat="1">
      <c r="B184" s="1336" t="s">
        <v>769</v>
      </c>
      <c r="C184" s="1336">
        <f t="shared" ref="C184:V184" si="79">+C183/(1-0.385)-C183</f>
        <v>2169.4280487804881</v>
      </c>
      <c r="D184" s="1336">
        <f t="shared" si="79"/>
        <v>4056.8304512195118</v>
      </c>
      <c r="E184" s="1336">
        <f t="shared" si="79"/>
        <v>4650.602908170732</v>
      </c>
      <c r="F184" s="1336">
        <f t="shared" si="79"/>
        <v>4958.2581774804876</v>
      </c>
      <c r="G184" s="1336">
        <f t="shared" si="79"/>
        <v>5312.4194758719514</v>
      </c>
      <c r="H184" s="1336">
        <f t="shared" si="79"/>
        <v>6080.9494933814276</v>
      </c>
      <c r="I184" s="1336">
        <f t="shared" si="79"/>
        <v>6932.2824224548258</v>
      </c>
      <c r="J184" s="1336">
        <f t="shared" si="79"/>
        <v>7209.5737193530204</v>
      </c>
      <c r="K184" s="1336">
        <f t="shared" si="79"/>
        <v>7497.9566681271408</v>
      </c>
      <c r="L184" s="1336">
        <f t="shared" si="79"/>
        <v>7797.8749348522269</v>
      </c>
      <c r="M184" s="1336">
        <f t="shared" si="79"/>
        <v>8109.7899322463145</v>
      </c>
      <c r="N184" s="1336">
        <f t="shared" si="79"/>
        <v>8839.6710261484859</v>
      </c>
      <c r="O184" s="1336">
        <f t="shared" si="79"/>
        <v>9635.2414185018497</v>
      </c>
      <c r="P184" s="1336">
        <f t="shared" si="79"/>
        <v>10502.413146167015</v>
      </c>
      <c r="Q184" s="1336">
        <f t="shared" si="79"/>
        <v>11447.630329322048</v>
      </c>
      <c r="R184" s="1336">
        <f t="shared" si="79"/>
        <v>16418.311919685562</v>
      </c>
      <c r="S184" s="1336">
        <f t="shared" si="79"/>
        <v>15597.396323701283</v>
      </c>
      <c r="T184" s="1336">
        <f t="shared" si="79"/>
        <v>14817.526507516221</v>
      </c>
      <c r="U184" s="1336">
        <f t="shared" si="79"/>
        <v>14076.650182140409</v>
      </c>
      <c r="V184" s="1336">
        <f t="shared" si="79"/>
        <v>13372.817673033391</v>
      </c>
    </row>
    <row r="185" spans="2:22" s="1210" customFormat="1">
      <c r="B185" s="1336" t="s">
        <v>770</v>
      </c>
      <c r="C185" s="295">
        <f>$S$10*C169</f>
        <v>10781.4</v>
      </c>
      <c r="D185" s="295">
        <f t="shared" ref="D185:V185" si="80">$S$10*D169</f>
        <v>10565.771999999999</v>
      </c>
      <c r="E185" s="295">
        <f t="shared" si="80"/>
        <v>9918.887999999999</v>
      </c>
      <c r="F185" s="295">
        <f t="shared" si="80"/>
        <v>9272.003999999999</v>
      </c>
      <c r="G185" s="295">
        <f t="shared" si="80"/>
        <v>8625.119999999999</v>
      </c>
      <c r="H185" s="295">
        <f t="shared" si="80"/>
        <v>7978.235999999999</v>
      </c>
      <c r="I185" s="295">
        <f t="shared" si="80"/>
        <v>7223.5379999999986</v>
      </c>
      <c r="J185" s="295">
        <f t="shared" si="80"/>
        <v>6468.8399999999974</v>
      </c>
      <c r="K185" s="295">
        <f t="shared" si="80"/>
        <v>5714.1419999999971</v>
      </c>
      <c r="L185" s="295">
        <f t="shared" si="80"/>
        <v>4959.4439999999977</v>
      </c>
      <c r="M185" s="295">
        <f t="shared" si="80"/>
        <v>4204.7459999999974</v>
      </c>
      <c r="N185" s="295">
        <f t="shared" si="80"/>
        <v>3450.0479999999975</v>
      </c>
      <c r="O185" s="295">
        <f t="shared" si="80"/>
        <v>2587.5359999999973</v>
      </c>
      <c r="P185" s="295">
        <f t="shared" si="80"/>
        <v>1617.2099999999978</v>
      </c>
      <c r="Q185" s="295">
        <f t="shared" si="80"/>
        <v>539.06999999999766</v>
      </c>
      <c r="R185" s="295">
        <f t="shared" si="80"/>
        <v>-2.3283064365386963E-12</v>
      </c>
      <c r="S185" s="295">
        <f t="shared" si="80"/>
        <v>-2.3283064365386963E-12</v>
      </c>
      <c r="T185" s="295">
        <f t="shared" si="80"/>
        <v>-2.3283064365386963E-12</v>
      </c>
      <c r="U185" s="295">
        <f t="shared" si="80"/>
        <v>-2.3283064365386963E-12</v>
      </c>
      <c r="V185" s="295">
        <f t="shared" si="80"/>
        <v>-2.3283064365386963E-12</v>
      </c>
    </row>
    <row r="186" spans="2:22" s="1210" customFormat="1">
      <c r="B186" s="1336" t="s">
        <v>771</v>
      </c>
      <c r="C186" s="297">
        <f>$S$8/30/2</f>
        <v>3208.75</v>
      </c>
      <c r="D186" s="297">
        <f>$S$8/30</f>
        <v>6417.5</v>
      </c>
      <c r="E186" s="297">
        <f t="shared" ref="E186:V186" si="81">$S$8/30</f>
        <v>6417.5</v>
      </c>
      <c r="F186" s="297">
        <f t="shared" si="81"/>
        <v>6417.5</v>
      </c>
      <c r="G186" s="297">
        <f t="shared" si="81"/>
        <v>6417.5</v>
      </c>
      <c r="H186" s="297">
        <f t="shared" si="81"/>
        <v>6417.5</v>
      </c>
      <c r="I186" s="297">
        <f t="shared" si="81"/>
        <v>6417.5</v>
      </c>
      <c r="J186" s="297">
        <f t="shared" si="81"/>
        <v>6417.5</v>
      </c>
      <c r="K186" s="297">
        <f t="shared" si="81"/>
        <v>6417.5</v>
      </c>
      <c r="L186" s="297">
        <f t="shared" si="81"/>
        <v>6417.5</v>
      </c>
      <c r="M186" s="297">
        <f t="shared" si="81"/>
        <v>6417.5</v>
      </c>
      <c r="N186" s="297">
        <f t="shared" si="81"/>
        <v>6417.5</v>
      </c>
      <c r="O186" s="297">
        <f t="shared" si="81"/>
        <v>6417.5</v>
      </c>
      <c r="P186" s="297">
        <f t="shared" si="81"/>
        <v>6417.5</v>
      </c>
      <c r="Q186" s="297">
        <f t="shared" si="81"/>
        <v>6417.5</v>
      </c>
      <c r="R186" s="297">
        <f t="shared" si="81"/>
        <v>6417.5</v>
      </c>
      <c r="S186" s="297">
        <f t="shared" si="81"/>
        <v>6417.5</v>
      </c>
      <c r="T186" s="297">
        <f t="shared" si="81"/>
        <v>6417.5</v>
      </c>
      <c r="U186" s="297">
        <f t="shared" si="81"/>
        <v>6417.5</v>
      </c>
      <c r="V186" s="297">
        <f t="shared" si="81"/>
        <v>6417.5</v>
      </c>
    </row>
    <row r="187" spans="2:22" s="1210" customFormat="1">
      <c r="B187" s="1336" t="s">
        <v>772</v>
      </c>
      <c r="C187" s="295">
        <f t="shared" ref="C187:V187" si="82">SUM(C183:C186)</f>
        <v>19625.028048780488</v>
      </c>
      <c r="D187" s="295">
        <f t="shared" si="82"/>
        <v>27520.493951219512</v>
      </c>
      <c r="E187" s="295">
        <f t="shared" si="82"/>
        <v>28415.87607317073</v>
      </c>
      <c r="F187" s="295">
        <f t="shared" si="82"/>
        <v>28568.096668780487</v>
      </c>
      <c r="G187" s="295">
        <f t="shared" si="82"/>
        <v>28841.112145121951</v>
      </c>
      <c r="H187" s="295">
        <f t="shared" si="82"/>
        <v>30190.410008782928</v>
      </c>
      <c r="I187" s="295">
        <f t="shared" si="82"/>
        <v>31646.966370012531</v>
      </c>
      <c r="J187" s="295">
        <f t="shared" si="82"/>
        <v>31612.505504813034</v>
      </c>
      <c r="K187" s="295">
        <f t="shared" si="82"/>
        <v>31606.854125005557</v>
      </c>
      <c r="L187" s="295">
        <f t="shared" si="82"/>
        <v>31631.164610005784</v>
      </c>
      <c r="M187" s="295">
        <f t="shared" si="82"/>
        <v>31686.635434406009</v>
      </c>
      <c r="N187" s="295">
        <f t="shared" si="82"/>
        <v>32827.732483502557</v>
      </c>
      <c r="O187" s="295">
        <f t="shared" si="82"/>
        <v>34031.637087017785</v>
      </c>
      <c r="P187" s="295">
        <f t="shared" si="82"/>
        <v>35313.705184849387</v>
      </c>
      <c r="Q187" s="295">
        <f t="shared" si="82"/>
        <v>36690.674751485829</v>
      </c>
      <c r="R187" s="295">
        <f t="shared" si="82"/>
        <v>49062.466025157308</v>
      </c>
      <c r="S187" s="295">
        <f t="shared" si="82"/>
        <v>46930.217723899441</v>
      </c>
      <c r="T187" s="295">
        <f t="shared" si="82"/>
        <v>44904.581837704471</v>
      </c>
      <c r="U187" s="295">
        <f t="shared" si="82"/>
        <v>42980.227745819248</v>
      </c>
      <c r="V187" s="295">
        <f t="shared" si="82"/>
        <v>41152.091358528291</v>
      </c>
    </row>
    <row r="188" spans="2:22" s="1210" customFormat="1" ht="12.75" customHeight="1">
      <c r="B188" s="1336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</row>
    <row r="189" spans="2:22">
      <c r="B189" s="20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</row>
  </sheetData>
  <pageMargins left="0.5" right="0.5" top="0.75" bottom="0.5" header="0.25" footer="0.25"/>
  <pageSetup scale="40" fitToWidth="2" orientation="landscape" r:id="rId1"/>
  <headerFooter alignWithMargins="0">
    <oddHeader>&amp;LNewCo&amp;RCONFIDENTIAL</oddHeader>
    <oddFooter>&amp;L&amp;D&amp;C&amp;F&amp;RPage &amp;P</oddFooter>
  </headerFooter>
  <rowBreaks count="1" manualBreakCount="1">
    <brk id="87" min="1" max="2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B2:I42"/>
  <sheetViews>
    <sheetView zoomScale="75" zoomScaleNormal="75" workbookViewId="0"/>
  </sheetViews>
  <sheetFormatPr defaultRowHeight="12.75"/>
  <cols>
    <col min="1" max="1" width="1.7109375" customWidth="1"/>
    <col min="2" max="7" width="13.28515625" customWidth="1"/>
    <col min="8" max="8" width="5.7109375" customWidth="1"/>
    <col min="9" max="10" width="13.28515625" customWidth="1"/>
  </cols>
  <sheetData>
    <row r="2" spans="2:6" ht="18.75">
      <c r="B2" s="270" t="s">
        <v>730</v>
      </c>
      <c r="C2" s="1305"/>
      <c r="D2" s="1305"/>
      <c r="E2" s="1305"/>
    </row>
    <row r="5" spans="2:6" ht="15.75">
      <c r="B5" s="1357" t="s">
        <v>731</v>
      </c>
      <c r="C5" s="1357"/>
      <c r="E5" s="1357" t="s">
        <v>732</v>
      </c>
      <c r="F5" s="1357"/>
    </row>
    <row r="7" spans="2:6">
      <c r="B7" s="1306" t="s">
        <v>386</v>
      </c>
      <c r="C7" s="1306" t="s">
        <v>733</v>
      </c>
      <c r="E7" s="1306" t="s">
        <v>559</v>
      </c>
      <c r="F7" s="1306" t="s">
        <v>734</v>
      </c>
    </row>
    <row r="8" spans="2:6">
      <c r="B8" s="1307">
        <v>2000</v>
      </c>
      <c r="C8" s="1307">
        <v>1</v>
      </c>
      <c r="E8" s="1307" t="s">
        <v>115</v>
      </c>
      <c r="F8" s="1307">
        <v>1</v>
      </c>
    </row>
    <row r="9" spans="2:6">
      <c r="B9" s="1307">
        <v>2001</v>
      </c>
      <c r="C9" s="1307">
        <v>5</v>
      </c>
      <c r="E9" s="1307" t="s">
        <v>735</v>
      </c>
      <c r="F9" s="1307">
        <v>3</v>
      </c>
    </row>
    <row r="10" spans="2:6">
      <c r="B10" s="1307">
        <v>2002</v>
      </c>
      <c r="C10" s="1307">
        <v>14</v>
      </c>
      <c r="E10" s="1307" t="s">
        <v>736</v>
      </c>
      <c r="F10" s="1307">
        <v>2</v>
      </c>
    </row>
    <row r="11" spans="2:6">
      <c r="B11" s="1307">
        <v>2003</v>
      </c>
      <c r="C11" s="1307">
        <v>12</v>
      </c>
      <c r="E11" s="1307" t="s">
        <v>737</v>
      </c>
      <c r="F11" s="1307">
        <v>3</v>
      </c>
    </row>
    <row r="12" spans="2:6">
      <c r="B12" s="1308">
        <v>2004</v>
      </c>
      <c r="C12" s="1308">
        <v>12</v>
      </c>
      <c r="E12" s="1307" t="s">
        <v>738</v>
      </c>
      <c r="F12" s="1307">
        <v>3</v>
      </c>
    </row>
    <row r="13" spans="2:6">
      <c r="B13" s="1309" t="s">
        <v>128</v>
      </c>
      <c r="C13" s="1309">
        <f>SUM(C8:C12)</f>
        <v>44</v>
      </c>
      <c r="E13" s="1307" t="s">
        <v>739</v>
      </c>
      <c r="F13" s="1307">
        <v>2</v>
      </c>
    </row>
    <row r="14" spans="2:6">
      <c r="E14" s="1308" t="s">
        <v>740</v>
      </c>
      <c r="F14" s="1308">
        <v>2</v>
      </c>
    </row>
    <row r="15" spans="2:6">
      <c r="E15" s="1309" t="s">
        <v>128</v>
      </c>
      <c r="F15" s="1309">
        <f>SUM(F8:F14)</f>
        <v>16</v>
      </c>
    </row>
    <row r="16" spans="2:6" ht="13.5" customHeight="1"/>
    <row r="17" spans="2:9" ht="13.5" customHeight="1">
      <c r="B17" s="1318" t="s">
        <v>741</v>
      </c>
    </row>
    <row r="19" spans="2:9">
      <c r="C19" s="1319">
        <v>2001</v>
      </c>
      <c r="D19" s="1319">
        <v>2002</v>
      </c>
      <c r="E19" s="1319">
        <v>2003</v>
      </c>
      <c r="F19" s="1319">
        <v>2004</v>
      </c>
      <c r="G19" s="1319">
        <v>2005</v>
      </c>
    </row>
    <row r="20" spans="2:9">
      <c r="B20" t="s">
        <v>101</v>
      </c>
      <c r="C20" s="1320">
        <v>485</v>
      </c>
      <c r="D20" s="1320"/>
      <c r="E20" s="1320"/>
      <c r="F20" s="1320"/>
      <c r="G20" s="1320"/>
      <c r="H20" s="1320"/>
      <c r="I20" s="1320"/>
    </row>
    <row r="21" spans="2:9">
      <c r="B21" t="s">
        <v>115</v>
      </c>
      <c r="C21" s="1320">
        <v>170</v>
      </c>
      <c r="D21" s="1320"/>
      <c r="E21" s="1320"/>
      <c r="F21" s="1320"/>
      <c r="G21" s="1320"/>
      <c r="H21" s="1320"/>
      <c r="I21" s="1320"/>
    </row>
    <row r="22" spans="2:9">
      <c r="B22" t="s">
        <v>585</v>
      </c>
      <c r="C22" s="1320">
        <v>453</v>
      </c>
      <c r="D22" s="1320"/>
      <c r="E22" s="1320"/>
      <c r="F22" s="1320"/>
      <c r="G22" s="1320"/>
      <c r="H22" s="1320"/>
      <c r="I22" s="1320"/>
    </row>
    <row r="23" spans="2:9">
      <c r="B23" t="s">
        <v>735</v>
      </c>
      <c r="C23" s="1320"/>
      <c r="D23" s="1320">
        <v>750</v>
      </c>
      <c r="E23" s="1320"/>
      <c r="F23" s="1320"/>
      <c r="G23" s="1320"/>
      <c r="H23" s="1320"/>
      <c r="I23" s="1320"/>
    </row>
    <row r="24" spans="2:9">
      <c r="B24" t="s">
        <v>736</v>
      </c>
      <c r="C24" s="1320"/>
      <c r="D24" s="1320">
        <v>250</v>
      </c>
      <c r="E24" s="1320"/>
      <c r="F24" s="1320"/>
      <c r="G24" s="1320"/>
      <c r="H24" s="1320"/>
      <c r="I24" s="1320"/>
    </row>
    <row r="25" spans="2:9">
      <c r="B25" t="s">
        <v>618</v>
      </c>
      <c r="C25" s="1320"/>
      <c r="D25" s="1320">
        <v>220</v>
      </c>
      <c r="E25" s="1320"/>
      <c r="F25" s="1320"/>
      <c r="G25" s="1320"/>
      <c r="H25" s="1320"/>
      <c r="I25" s="1320"/>
    </row>
    <row r="26" spans="2:9">
      <c r="B26" t="s">
        <v>740</v>
      </c>
      <c r="C26" s="1320"/>
      <c r="D26" s="1320">
        <v>500</v>
      </c>
      <c r="E26" s="1320"/>
      <c r="F26" s="1320"/>
      <c r="G26" s="1320"/>
      <c r="H26" s="1320"/>
      <c r="I26" s="1320"/>
    </row>
    <row r="27" spans="2:9">
      <c r="B27" t="s">
        <v>737</v>
      </c>
      <c r="C27" s="1320"/>
      <c r="D27" s="1320"/>
      <c r="E27" s="1320">
        <v>500</v>
      </c>
      <c r="F27" s="1320"/>
      <c r="G27" s="1320"/>
      <c r="H27" s="1320"/>
      <c r="I27" s="1320"/>
    </row>
    <row r="28" spans="2:9">
      <c r="B28" t="s">
        <v>738</v>
      </c>
      <c r="C28" s="1320"/>
      <c r="D28" s="1320"/>
      <c r="E28" s="1320">
        <v>750</v>
      </c>
      <c r="F28" s="1320"/>
      <c r="G28" s="1320"/>
      <c r="H28" s="1320"/>
      <c r="I28" s="1320"/>
    </row>
    <row r="29" spans="2:9">
      <c r="B29" t="s">
        <v>739</v>
      </c>
      <c r="C29" s="1320"/>
      <c r="D29" s="1320"/>
      <c r="E29" s="1320">
        <v>500</v>
      </c>
      <c r="F29" s="1320"/>
      <c r="G29" s="1320"/>
      <c r="H29" s="1320"/>
      <c r="I29" s="1320"/>
    </row>
    <row r="30" spans="2:9">
      <c r="B30" s="1321" t="s">
        <v>587</v>
      </c>
      <c r="C30" s="1322"/>
      <c r="D30" s="1322"/>
      <c r="E30" s="1322">
        <v>750</v>
      </c>
      <c r="F30" s="1322"/>
      <c r="G30" s="1322"/>
      <c r="H30" s="1320"/>
      <c r="I30" s="1323" t="s">
        <v>128</v>
      </c>
    </row>
    <row r="31" spans="2:9">
      <c r="B31" t="s">
        <v>745</v>
      </c>
      <c r="C31" s="1320">
        <f>SUM(C20:C30)</f>
        <v>1108</v>
      </c>
      <c r="D31" s="1320">
        <f>SUM(D20:D30)</f>
        <v>1720</v>
      </c>
      <c r="E31" s="1320">
        <f>SUM(E20:E30)</f>
        <v>2500</v>
      </c>
      <c r="F31" s="1320">
        <f>SUM(F20:F30)</f>
        <v>0</v>
      </c>
      <c r="G31" s="1320">
        <f>SUM(G20:G30)</f>
        <v>0</v>
      </c>
      <c r="H31" s="1320"/>
      <c r="I31" s="1324">
        <f>SUM(C31:G31)</f>
        <v>5328</v>
      </c>
    </row>
    <row r="32" spans="2:9">
      <c r="C32" s="1320"/>
      <c r="D32" s="1320"/>
      <c r="E32" s="1320"/>
      <c r="F32" s="1320"/>
      <c r="G32" s="1320"/>
      <c r="H32" s="1320"/>
      <c r="I32" s="1320"/>
    </row>
    <row r="33" spans="2:9">
      <c r="B33" s="1321" t="s">
        <v>746</v>
      </c>
      <c r="C33" s="1322">
        <v>0</v>
      </c>
      <c r="D33" s="1322">
        <v>0</v>
      </c>
      <c r="E33" s="1322">
        <v>1750</v>
      </c>
      <c r="F33" s="1322">
        <v>3000</v>
      </c>
      <c r="G33" s="1322">
        <v>3000</v>
      </c>
      <c r="H33" s="1320"/>
      <c r="I33" s="1324">
        <f>SUM(C33:G33)</f>
        <v>7750</v>
      </c>
    </row>
    <row r="34" spans="2:9">
      <c r="C34" s="1320">
        <f>SUM(C31:C33)</f>
        <v>1108</v>
      </c>
      <c r="D34" s="1320">
        <f>SUM(D31:D33)</f>
        <v>1720</v>
      </c>
      <c r="E34" s="1320">
        <f>SUM(E31:E33)</f>
        <v>4250</v>
      </c>
      <c r="F34" s="1320">
        <f>SUM(F31:F33)</f>
        <v>3000</v>
      </c>
      <c r="G34" s="1320">
        <f>SUM(G31:G33)</f>
        <v>3000</v>
      </c>
      <c r="H34" s="1320"/>
      <c r="I34" s="1325">
        <f>SUM(C34:G34)</f>
        <v>13078</v>
      </c>
    </row>
    <row r="35" spans="2:9">
      <c r="C35" s="1320"/>
      <c r="D35" s="1320"/>
      <c r="E35" s="1320"/>
      <c r="F35" s="1320"/>
      <c r="G35" s="1320"/>
      <c r="H35" s="1320"/>
      <c r="I35" s="1326"/>
    </row>
    <row r="36" spans="2:9">
      <c r="C36" s="1320"/>
      <c r="D36" s="1320"/>
      <c r="E36" s="1320"/>
      <c r="F36" s="1320"/>
      <c r="G36" s="1320"/>
      <c r="H36" s="1320"/>
      <c r="I36" s="1320"/>
    </row>
    <row r="37" spans="2:9" ht="15.75">
      <c r="B37" s="1357" t="s">
        <v>747</v>
      </c>
      <c r="C37" s="1357"/>
      <c r="D37" s="1320"/>
      <c r="E37" s="1320"/>
      <c r="F37" s="1320"/>
      <c r="G37" s="1320"/>
      <c r="H37" s="1320"/>
      <c r="I37" s="1320"/>
    </row>
    <row r="38" spans="2:9">
      <c r="C38" s="1320"/>
      <c r="D38" s="1320"/>
      <c r="E38" s="1320"/>
      <c r="F38" s="1320"/>
      <c r="G38" s="1320"/>
      <c r="H38" s="1320"/>
      <c r="I38" s="1320"/>
    </row>
    <row r="39" spans="2:9">
      <c r="B39" t="s">
        <v>648</v>
      </c>
      <c r="C39" s="1320">
        <f>I34</f>
        <v>13078</v>
      </c>
      <c r="D39" s="1320"/>
      <c r="E39" s="1320"/>
      <c r="F39" s="1320"/>
      <c r="G39" s="1320"/>
      <c r="H39" s="1320"/>
      <c r="I39" s="1320"/>
    </row>
    <row r="40" spans="2:9">
      <c r="B40" t="s">
        <v>748</v>
      </c>
      <c r="C40" s="1320">
        <v>3094</v>
      </c>
      <c r="D40" s="1320"/>
      <c r="E40" s="1320"/>
      <c r="F40" s="1320"/>
      <c r="G40" s="1320"/>
      <c r="H40" s="1320"/>
      <c r="I40" s="1320"/>
    </row>
    <row r="41" spans="2:9">
      <c r="B41" s="1321" t="s">
        <v>346</v>
      </c>
      <c r="C41" s="1322">
        <f>'[34]FPLE_Valuation Summary'!$F$31-170</f>
        <v>3776.6</v>
      </c>
      <c r="D41" s="1320"/>
      <c r="E41" s="1320"/>
      <c r="F41" s="1320"/>
      <c r="G41" s="1320"/>
      <c r="H41" s="1320"/>
      <c r="I41" s="1320"/>
    </row>
    <row r="42" spans="2:9">
      <c r="B42" s="1327" t="s">
        <v>128</v>
      </c>
      <c r="C42" s="1328">
        <f>SUM(C39:C41)</f>
        <v>19948.599999999999</v>
      </c>
    </row>
  </sheetData>
  <mergeCells count="3">
    <mergeCell ref="B5:C5"/>
    <mergeCell ref="E5:F5"/>
    <mergeCell ref="B37:C37"/>
  </mergeCells>
  <pageMargins left="0.5" right="0.5" top="0.75" bottom="0.5" header="0.25" footer="0.25"/>
  <pageSetup scale="92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BA45"/>
  <sheetViews>
    <sheetView zoomScale="70" zoomScaleNormal="75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2.7109375" style="271" bestFit="1" customWidth="1"/>
    <col min="9" max="9" width="1.7109375" style="271" customWidth="1"/>
    <col min="10" max="10" width="13.140625" style="271" bestFit="1" customWidth="1"/>
    <col min="11" max="11" width="1.7109375" style="271" customWidth="1"/>
    <col min="12" max="12" width="12.85546875" style="271" bestFit="1" customWidth="1"/>
    <col min="13" max="13" width="1.7109375" style="271" customWidth="1"/>
    <col min="14" max="14" width="13.140625" style="271" bestFit="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0.5703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2.85546875" style="271" bestFit="1" customWidth="1"/>
    <col min="25" max="25" width="1.7109375" style="271" customWidth="1"/>
    <col min="26" max="26" width="14.42578125" style="271" bestFit="1" customWidth="1"/>
    <col min="27" max="27" width="1.7109375" style="271" customWidth="1"/>
    <col min="28" max="46" width="9.140625" style="271"/>
    <col min="47" max="47" width="18.5703125" style="271" bestFit="1" customWidth="1"/>
    <col min="48" max="48" width="8.7109375" style="271" bestFit="1" customWidth="1"/>
    <col min="49" max="49" width="10.85546875" style="271" bestFit="1" customWidth="1"/>
    <col min="50" max="50" width="9.140625" style="271"/>
    <col min="51" max="51" width="29" style="271" bestFit="1" customWidth="1"/>
    <col min="52" max="16384" width="9.140625" style="271"/>
  </cols>
  <sheetData>
    <row r="2" spans="2:53" ht="18.75">
      <c r="B2" s="270" t="s">
        <v>187</v>
      </c>
      <c r="C2" s="557"/>
      <c r="D2" s="557"/>
      <c r="E2" s="557"/>
      <c r="F2" s="557"/>
    </row>
    <row r="3" spans="2:53" ht="24" customHeight="1">
      <c r="B3" s="291" t="s">
        <v>5</v>
      </c>
    </row>
    <row r="4" spans="2:53">
      <c r="B4" s="291"/>
    </row>
    <row r="5" spans="2:53" ht="18.75">
      <c r="B5" s="618" t="s">
        <v>285</v>
      </c>
      <c r="C5" s="619"/>
      <c r="D5" s="619"/>
      <c r="E5" s="619"/>
      <c r="F5" s="619"/>
    </row>
    <row r="7" spans="2:53">
      <c r="H7" s="559" t="s">
        <v>139</v>
      </c>
      <c r="J7" s="560"/>
      <c r="K7" s="7"/>
      <c r="L7" s="560"/>
      <c r="M7" s="7"/>
      <c r="N7" s="7"/>
      <c r="O7" s="7"/>
      <c r="P7" s="560"/>
    </row>
    <row r="8" spans="2:53">
      <c r="J8" s="561"/>
      <c r="K8" s="557"/>
      <c r="L8" s="561"/>
      <c r="M8" s="557"/>
      <c r="N8" s="557"/>
      <c r="O8" s="7"/>
      <c r="V8" s="1115" t="s">
        <v>570</v>
      </c>
      <c r="AV8" s="562" t="s">
        <v>129</v>
      </c>
      <c r="AW8" s="562" t="s">
        <v>282</v>
      </c>
      <c r="AY8" s="271" t="s">
        <v>283</v>
      </c>
      <c r="BA8" s="1113">
        <f>SUMPRODUCT(AV9:AV33,AW9:AW33)/SUM(AV9:AV33)</f>
        <v>5.4710192251466797E-2</v>
      </c>
    </row>
    <row r="9" spans="2:53" s="299" customFormat="1">
      <c r="F9" s="562"/>
      <c r="G9" s="562"/>
      <c r="H9" s="562">
        <v>2001</v>
      </c>
      <c r="I9" s="562"/>
      <c r="J9" s="1358" t="s">
        <v>131</v>
      </c>
      <c r="K9" s="1358"/>
      <c r="L9" s="1358"/>
      <c r="M9" s="1358"/>
      <c r="N9" s="1358"/>
      <c r="O9" s="563"/>
      <c r="P9" s="564" t="s">
        <v>288</v>
      </c>
      <c r="Q9" s="562"/>
      <c r="S9" s="562"/>
      <c r="T9" s="562" t="s">
        <v>270</v>
      </c>
      <c r="U9" s="562"/>
      <c r="V9" s="1115" t="s">
        <v>268</v>
      </c>
      <c r="W9" s="562"/>
      <c r="X9" s="562" t="s">
        <v>269</v>
      </c>
      <c r="Z9" s="562" t="s">
        <v>267</v>
      </c>
      <c r="AB9" s="299" t="s">
        <v>279</v>
      </c>
      <c r="AM9" s="562"/>
      <c r="AU9" s="271" t="s">
        <v>114</v>
      </c>
      <c r="AV9" s="295">
        <f>J12</f>
        <v>452550.07051200402</v>
      </c>
      <c r="AW9" s="558">
        <v>8.8999999999999996E-2</v>
      </c>
      <c r="AX9" s="271"/>
      <c r="AY9" s="271"/>
      <c r="AZ9" s="271"/>
      <c r="BA9" s="271"/>
    </row>
    <row r="10" spans="2:53" s="565" customFormat="1">
      <c r="F10" s="566" t="s">
        <v>105</v>
      </c>
      <c r="G10" s="566"/>
      <c r="H10" s="567" t="s">
        <v>30</v>
      </c>
      <c r="I10" s="566"/>
      <c r="J10" s="568" t="s">
        <v>129</v>
      </c>
      <c r="K10" s="568"/>
      <c r="L10" s="568" t="s">
        <v>130</v>
      </c>
      <c r="M10" s="568"/>
      <c r="N10" s="568" t="s">
        <v>128</v>
      </c>
      <c r="O10" s="569"/>
      <c r="P10" s="570" t="s">
        <v>292</v>
      </c>
      <c r="Q10" s="566"/>
      <c r="R10" s="566" t="s">
        <v>228</v>
      </c>
      <c r="S10" s="566"/>
      <c r="T10" s="566" t="s">
        <v>271</v>
      </c>
      <c r="V10" s="1116" t="s">
        <v>266</v>
      </c>
      <c r="X10" s="566" t="s">
        <v>266</v>
      </c>
      <c r="Z10" s="566" t="s">
        <v>569</v>
      </c>
      <c r="AB10" s="566" t="s">
        <v>119</v>
      </c>
      <c r="AM10" s="566"/>
      <c r="AU10" s="271" t="s">
        <v>118</v>
      </c>
      <c r="AV10" s="295">
        <f>J13</f>
        <v>208892.97581728408</v>
      </c>
      <c r="AW10" s="558">
        <v>8.8999999999999996E-2</v>
      </c>
      <c r="AX10" s="271"/>
      <c r="AY10" s="271"/>
      <c r="AZ10" s="271"/>
      <c r="BA10" s="271"/>
    </row>
    <row r="11" spans="2:53">
      <c r="B11" s="571" t="s">
        <v>96</v>
      </c>
      <c r="F11" s="572"/>
      <c r="G11" s="573"/>
      <c r="H11" s="573"/>
      <c r="I11" s="573"/>
      <c r="J11" s="574"/>
      <c r="K11" s="574"/>
      <c r="L11" s="574"/>
      <c r="M11" s="574"/>
      <c r="N11" s="574"/>
      <c r="O11" s="575"/>
      <c r="P11" s="576"/>
      <c r="Q11" s="573"/>
      <c r="R11" s="573"/>
      <c r="S11" s="573"/>
      <c r="T11" s="573"/>
      <c r="U11" s="573"/>
      <c r="V11" s="1117"/>
      <c r="W11" s="573"/>
      <c r="X11" s="573"/>
      <c r="Y11" s="573"/>
      <c r="Z11" s="573"/>
      <c r="AA11" s="573"/>
      <c r="AB11" s="573"/>
      <c r="AU11" s="271" t="s">
        <v>97</v>
      </c>
      <c r="AV11" s="295">
        <f>J14</f>
        <v>576116.23475135805</v>
      </c>
      <c r="AW11" s="558">
        <v>0</v>
      </c>
    </row>
    <row r="12" spans="2:53" s="334" customFormat="1">
      <c r="C12" s="334" t="s">
        <v>114</v>
      </c>
      <c r="F12" s="296">
        <v>373</v>
      </c>
      <c r="G12" s="296"/>
      <c r="H12" s="296">
        <f>+'FPLE_Annual Summary'!E10</f>
        <v>27280.718382307234</v>
      </c>
      <c r="I12" s="296"/>
      <c r="J12" s="554">
        <f>+'Maine Hydro'!D162</f>
        <v>452550.07051200402</v>
      </c>
      <c r="K12" s="554"/>
      <c r="L12" s="554">
        <f>+'Maine Hydro'!D100/1000</f>
        <v>0</v>
      </c>
      <c r="M12" s="554"/>
      <c r="N12" s="554">
        <f>SUM(J12:M12)</f>
        <v>452550.07051200402</v>
      </c>
      <c r="O12" s="577"/>
      <c r="P12" s="581">
        <f>+'Maine Hydro'!C95</f>
        <v>0.1</v>
      </c>
      <c r="Q12" s="573"/>
      <c r="R12" s="620">
        <f>T12/F12</f>
        <v>1393.3641417658055</v>
      </c>
      <c r="S12" s="573"/>
      <c r="T12" s="296">
        <f>N12+V12</f>
        <v>519724.82487864548</v>
      </c>
      <c r="U12" s="573"/>
      <c r="V12" s="1118">
        <f>Z12*FPLE_Debt!$E$34</f>
        <v>67174.754366641442</v>
      </c>
      <c r="W12" s="573"/>
      <c r="X12" s="296">
        <f>Z12*FPLE_Debt!$E$23</f>
        <v>236602.18168413432</v>
      </c>
      <c r="Y12" s="573"/>
      <c r="Z12" s="578">
        <f>J12/$J$16</f>
        <v>0.35906861132744256</v>
      </c>
      <c r="AA12" s="573"/>
      <c r="AB12" s="573">
        <f>+'Maine Hydro'!E94</f>
        <v>1.0583211075175892E-10</v>
      </c>
      <c r="AM12" s="558"/>
      <c r="AU12" s="271" t="s">
        <v>98</v>
      </c>
      <c r="AV12" s="295">
        <f>J15</f>
        <v>22784.999192055537</v>
      </c>
      <c r="AW12" s="558">
        <v>9.9900000000000003E-2</v>
      </c>
      <c r="AX12" s="271"/>
      <c r="AY12" s="271"/>
      <c r="AZ12" s="271"/>
      <c r="BA12" s="271"/>
    </row>
    <row r="13" spans="2:53" s="334" customFormat="1">
      <c r="C13" s="334" t="s">
        <v>118</v>
      </c>
      <c r="F13" s="296">
        <f>755+31</f>
        <v>786</v>
      </c>
      <c r="G13" s="296"/>
      <c r="H13" s="296">
        <f>+'FPLE_Annual Summary'!E11</f>
        <v>13567.149389715061</v>
      </c>
      <c r="I13" s="296"/>
      <c r="J13" s="554">
        <f>+'Maine Thermal'!D162</f>
        <v>208892.97581728408</v>
      </c>
      <c r="K13" s="554"/>
      <c r="L13" s="554">
        <f>+'Maine Thermal'!D100/1000</f>
        <v>0</v>
      </c>
      <c r="M13" s="554"/>
      <c r="N13" s="554">
        <f>SUM(J13:M13)</f>
        <v>208892.97581728408</v>
      </c>
      <c r="O13" s="577"/>
      <c r="P13" s="581">
        <f>+'Maine Thermal'!C95</f>
        <v>0.11</v>
      </c>
      <c r="Q13" s="573"/>
      <c r="R13" s="620">
        <f>T13/F13</f>
        <v>305.21657556338573</v>
      </c>
      <c r="S13" s="573"/>
      <c r="T13" s="296">
        <f>N13+V13</f>
        <v>239900.22839282118</v>
      </c>
      <c r="U13" s="573"/>
      <c r="V13" s="1118">
        <f>Z13*FPLE_Debt!$E$34</f>
        <v>31007.252575537092</v>
      </c>
      <c r="W13" s="573"/>
      <c r="X13" s="296">
        <f>Z13*FPLE_Debt!$E$23</f>
        <v>109213.40430008735</v>
      </c>
      <c r="Y13" s="573"/>
      <c r="Z13" s="578">
        <f>J13/$J$16</f>
        <v>0.1657427887656901</v>
      </c>
      <c r="AA13" s="573"/>
      <c r="AB13" s="573">
        <f>+'Maine Thermal'!E94</f>
        <v>3.9984992294161166E-10</v>
      </c>
      <c r="AM13" s="558"/>
      <c r="AU13" s="271" t="s">
        <v>100</v>
      </c>
      <c r="AV13" s="295">
        <f>J19</f>
        <v>370732.1211792411</v>
      </c>
      <c r="AW13" s="558">
        <v>0.06</v>
      </c>
      <c r="AX13" s="271"/>
      <c r="AY13" s="271"/>
      <c r="AZ13" s="271"/>
      <c r="BA13" s="271"/>
    </row>
    <row r="14" spans="2:53" s="334" customFormat="1">
      <c r="C14" s="334" t="s">
        <v>97</v>
      </c>
      <c r="F14" s="296">
        <v>990</v>
      </c>
      <c r="G14" s="296"/>
      <c r="H14" s="296">
        <f>+'FPLE_Annual Summary'!E12</f>
        <v>41593.616995391283</v>
      </c>
      <c r="I14" s="296"/>
      <c r="J14" s="554">
        <f>(+Lamar!D162)</f>
        <v>576116.23475135805</v>
      </c>
      <c r="K14" s="554"/>
      <c r="L14" s="554">
        <f>+Lamar!D100/1000*Lamar!C60</f>
        <v>0</v>
      </c>
      <c r="M14" s="554"/>
      <c r="N14" s="554">
        <f>SUM(J14:M14)</f>
        <v>576116.23475135805</v>
      </c>
      <c r="O14" s="577"/>
      <c r="P14" s="581">
        <f>+Lamar!C95</f>
        <v>0.1</v>
      </c>
      <c r="Q14" s="573"/>
      <c r="R14" s="620">
        <f>T14/F14</f>
        <v>668.31582327048852</v>
      </c>
      <c r="S14" s="573"/>
      <c r="T14" s="296">
        <f>N14+V14</f>
        <v>661632.66503778368</v>
      </c>
      <c r="U14" s="573"/>
      <c r="V14" s="1118">
        <f>Z14*FPLE_Debt!$E$34</f>
        <v>85516.430286425675</v>
      </c>
      <c r="W14" s="573"/>
      <c r="X14" s="296">
        <f>Z14*FPLE_Debt!$E$23</f>
        <v>301205.03106231324</v>
      </c>
      <c r="Y14" s="573"/>
      <c r="Z14" s="578">
        <f>J14/$J$16</f>
        <v>0.45711020692433613</v>
      </c>
      <c r="AA14" s="573"/>
      <c r="AB14" s="573">
        <f>+Lamar!E94</f>
        <v>1.5874816612763837E-10</v>
      </c>
      <c r="AM14" s="558"/>
      <c r="AU14" s="271" t="s">
        <v>115</v>
      </c>
      <c r="AV14" s="295">
        <f>J20</f>
        <v>79917.395874269496</v>
      </c>
      <c r="AW14" s="558">
        <v>0.06</v>
      </c>
      <c r="AX14" s="271"/>
      <c r="AY14" s="271"/>
      <c r="AZ14" s="271"/>
      <c r="BA14" s="271"/>
    </row>
    <row r="15" spans="2:53" s="334" customFormat="1">
      <c r="C15" s="334" t="s">
        <v>98</v>
      </c>
      <c r="F15" s="297">
        <v>50</v>
      </c>
      <c r="G15" s="297"/>
      <c r="H15" s="297">
        <f>+'FPLE_Annual Summary'!E13</f>
        <v>1724.0519900500001</v>
      </c>
      <c r="I15" s="297"/>
      <c r="J15" s="555">
        <f>+'Marcus Hook 50'!D162</f>
        <v>22784.999192055537</v>
      </c>
      <c r="K15" s="555"/>
      <c r="L15" s="555">
        <f>+'Marcus Hook 50'!D100/1000</f>
        <v>0</v>
      </c>
      <c r="M15" s="555"/>
      <c r="N15" s="555">
        <f>SUM(J15:M15)</f>
        <v>22784.999192055537</v>
      </c>
      <c r="O15" s="577"/>
      <c r="P15" s="1302">
        <f>+'Marcus Hook 50'!C95</f>
        <v>0.11</v>
      </c>
      <c r="Q15" s="573"/>
      <c r="R15" s="621">
        <f>T15/F15</f>
        <v>523.34229896609997</v>
      </c>
      <c r="S15" s="579"/>
      <c r="T15" s="297">
        <f>N15+V15</f>
        <v>26167.114948304999</v>
      </c>
      <c r="U15" s="579"/>
      <c r="V15" s="1119">
        <f>Z15*FPLE_Debt!$E$34</f>
        <v>3382.1157562494632</v>
      </c>
      <c r="W15" s="579"/>
      <c r="X15" s="297">
        <f>Z15*FPLE_Debt!$E$23</f>
        <v>11912.450952471083</v>
      </c>
      <c r="Y15" s="573"/>
      <c r="Z15" s="580">
        <f>J15/$J$16</f>
        <v>1.8078392982531354E-2</v>
      </c>
      <c r="AA15" s="573"/>
      <c r="AB15" s="573">
        <f>+'Marcus Hook 50'!E94</f>
        <v>-3.6871406828632221E-12</v>
      </c>
      <c r="AM15" s="558"/>
      <c r="AU15" s="271" t="s">
        <v>102</v>
      </c>
      <c r="AV15" s="295">
        <f>J22</f>
        <v>158582.42201584505</v>
      </c>
      <c r="AW15" s="558">
        <v>0.05</v>
      </c>
      <c r="AX15" s="271"/>
      <c r="AY15" s="271"/>
      <c r="AZ15" s="271"/>
      <c r="BA15" s="271"/>
    </row>
    <row r="16" spans="2:53" s="334" customFormat="1">
      <c r="F16" s="296">
        <f>SUM(F12:F15)</f>
        <v>2199</v>
      </c>
      <c r="G16" s="296"/>
      <c r="H16" s="296">
        <f>SUM(H12:H15)</f>
        <v>84165.536757463575</v>
      </c>
      <c r="I16" s="296"/>
      <c r="J16" s="554">
        <f>SUM(J12:J15)</f>
        <v>1260344.2802727015</v>
      </c>
      <c r="K16" s="554"/>
      <c r="L16" s="554">
        <f>SUM(L12:L15)</f>
        <v>0</v>
      </c>
      <c r="M16" s="554"/>
      <c r="N16" s="554">
        <f>SUM(N12:N15)</f>
        <v>1260344.2802727015</v>
      </c>
      <c r="O16" s="577"/>
      <c r="P16" s="581">
        <f>SUMPRODUCT(F12:F15,P12:P15)/F16</f>
        <v>0.10380172805820827</v>
      </c>
      <c r="Q16" s="573"/>
      <c r="R16" s="620">
        <f>T16/F16</f>
        <v>658.21956946682826</v>
      </c>
      <c r="S16" s="573"/>
      <c r="T16" s="296">
        <f>SUM(T12:T15)</f>
        <v>1447424.8332575553</v>
      </c>
      <c r="U16" s="573"/>
      <c r="V16" s="1118">
        <f>SUM(V12:V15)</f>
        <v>187080.55298485368</v>
      </c>
      <c r="W16" s="573"/>
      <c r="X16" s="296">
        <f>SUM(X12:X15)</f>
        <v>658933.06799900602</v>
      </c>
      <c r="Y16" s="573"/>
      <c r="Z16" s="578">
        <f>SUM(Z12:Z15)</f>
        <v>1.0000000000000002</v>
      </c>
      <c r="AA16" s="573"/>
      <c r="AB16" s="573"/>
      <c r="AM16" s="558"/>
      <c r="AU16" s="271" t="s">
        <v>103</v>
      </c>
      <c r="AV16" s="295">
        <f>J23</f>
        <v>286950.48633863119</v>
      </c>
      <c r="AW16" s="558">
        <v>0.09</v>
      </c>
      <c r="AX16" s="271"/>
      <c r="AY16" s="271"/>
      <c r="AZ16" s="271"/>
      <c r="BA16" s="271"/>
    </row>
    <row r="17" spans="2:53" s="334" customFormat="1">
      <c r="F17" s="296"/>
      <c r="G17" s="296"/>
      <c r="H17" s="296"/>
      <c r="I17" s="296"/>
      <c r="J17" s="554"/>
      <c r="K17" s="554"/>
      <c r="L17" s="554"/>
      <c r="M17" s="554"/>
      <c r="N17" s="554"/>
      <c r="O17" s="577"/>
      <c r="P17" s="581"/>
      <c r="Q17" s="573"/>
      <c r="R17" s="620"/>
      <c r="S17" s="573"/>
      <c r="T17" s="296"/>
      <c r="U17" s="573"/>
      <c r="V17" s="1118"/>
      <c r="W17" s="573"/>
      <c r="X17" s="296"/>
      <c r="Y17" s="573"/>
      <c r="Z17" s="573"/>
      <c r="AA17" s="573"/>
      <c r="AB17" s="573"/>
      <c r="AM17" s="558"/>
      <c r="AU17" s="271" t="s">
        <v>104</v>
      </c>
      <c r="AV17" s="295">
        <f>J24</f>
        <v>23179.383510154283</v>
      </c>
      <c r="AW17" s="558">
        <v>0.05</v>
      </c>
      <c r="AX17" s="271"/>
      <c r="AY17" s="271"/>
      <c r="AZ17" s="271"/>
      <c r="BA17" s="271"/>
    </row>
    <row r="18" spans="2:53" s="334" customFormat="1">
      <c r="B18" s="582" t="s">
        <v>99</v>
      </c>
      <c r="F18" s="296"/>
      <c r="G18" s="296"/>
      <c r="H18" s="296"/>
      <c r="I18" s="296"/>
      <c r="J18" s="554"/>
      <c r="K18" s="554"/>
      <c r="L18" s="554"/>
      <c r="M18" s="554"/>
      <c r="N18" s="554"/>
      <c r="O18" s="577"/>
      <c r="P18" s="581"/>
      <c r="Q18" s="573"/>
      <c r="R18" s="620"/>
      <c r="S18" s="573"/>
      <c r="T18" s="296"/>
      <c r="U18" s="573"/>
      <c r="V18" s="1118"/>
      <c r="W18" s="573"/>
      <c r="X18" s="296"/>
      <c r="Y18" s="573"/>
      <c r="Z18" s="573"/>
      <c r="AA18" s="573"/>
      <c r="AB18" s="573"/>
      <c r="AM18" s="558"/>
      <c r="AU18" s="334" t="s">
        <v>142</v>
      </c>
      <c r="AV18" s="295">
        <f>'FPLE_Wind Summary'!J10</f>
        <v>50117.426339398015</v>
      </c>
      <c r="AW18" s="558">
        <v>0.12</v>
      </c>
      <c r="AX18" s="271"/>
      <c r="AY18" s="271"/>
      <c r="AZ18" s="271"/>
      <c r="BA18" s="271"/>
    </row>
    <row r="19" spans="2:53" s="334" customFormat="1">
      <c r="C19" s="334" t="s">
        <v>100</v>
      </c>
      <c r="F19" s="296">
        <v>665</v>
      </c>
      <c r="G19" s="296"/>
      <c r="H19" s="296">
        <f>+'FPLE_Annual Summary'!E17</f>
        <v>38508.725130451166</v>
      </c>
      <c r="I19" s="296"/>
      <c r="J19" s="554">
        <f>+Doswell!D162</f>
        <v>370732.1211792411</v>
      </c>
      <c r="K19" s="554"/>
      <c r="L19" s="554">
        <f>+Doswell!D100/1000</f>
        <v>0</v>
      </c>
      <c r="M19" s="554"/>
      <c r="N19" s="554">
        <f t="shared" ref="N19:N24" si="0">SUM(J19:M19)</f>
        <v>370732.1211792411</v>
      </c>
      <c r="O19" s="577"/>
      <c r="P19" s="581">
        <f>+Doswell!C95</f>
        <v>8.5000000000000006E-2</v>
      </c>
      <c r="Q19" s="573"/>
      <c r="R19" s="620">
        <f t="shared" ref="R19:R25" si="1">T19/F19</f>
        <v>641.55116936823424</v>
      </c>
      <c r="S19" s="573"/>
      <c r="T19" s="296">
        <f t="shared" ref="T19:T24" si="2">N19+V19</f>
        <v>426631.52762987575</v>
      </c>
      <c r="U19" s="573"/>
      <c r="V19" s="1118">
        <f>Z19*FPLE_Debt!$E$71</f>
        <v>55899.406450634633</v>
      </c>
      <c r="W19" s="573"/>
      <c r="X19" s="296">
        <f>Z19*FPLE_Debt!$E$60</f>
        <v>229238.82175581835</v>
      </c>
      <c r="Y19" s="573"/>
      <c r="Z19" s="578">
        <f t="shared" ref="Z19:Z24" si="3">J19/$J$25</f>
        <v>0.26208888202251496</v>
      </c>
      <c r="AA19" s="573"/>
      <c r="AB19" s="573">
        <f>+Doswell!E94</f>
        <v>1.3411903436282813E-11</v>
      </c>
      <c r="AM19" s="558"/>
      <c r="AU19" s="334" t="s">
        <v>143</v>
      </c>
      <c r="AV19" s="295">
        <f>'FPLE_Wind Summary'!J11</f>
        <v>100420.18494014685</v>
      </c>
      <c r="AW19" s="558">
        <v>0</v>
      </c>
      <c r="AX19" s="271"/>
      <c r="AY19" s="271"/>
      <c r="AZ19" s="271"/>
      <c r="BA19" s="271"/>
    </row>
    <row r="20" spans="2:53" s="334" customFormat="1">
      <c r="C20" s="334" t="s">
        <v>115</v>
      </c>
      <c r="F20" s="296">
        <v>170</v>
      </c>
      <c r="G20" s="296"/>
      <c r="H20" s="296">
        <f>+'FPLE_Annual Summary'!E18</f>
        <v>932.85230305811388</v>
      </c>
      <c r="I20" s="296"/>
      <c r="J20" s="554">
        <f>+'Doswell CT'!D162</f>
        <v>79917.395874269496</v>
      </c>
      <c r="K20" s="554"/>
      <c r="L20" s="554"/>
      <c r="M20" s="554"/>
      <c r="N20" s="554">
        <f t="shared" si="0"/>
        <v>79917.395874269496</v>
      </c>
      <c r="O20" s="577"/>
      <c r="P20" s="581">
        <f>+'Doswell CT'!C95</f>
        <v>0.1</v>
      </c>
      <c r="Q20" s="573"/>
      <c r="R20" s="620">
        <f t="shared" si="1"/>
        <v>540.98488683910011</v>
      </c>
      <c r="S20" s="573"/>
      <c r="T20" s="296">
        <f t="shared" si="2"/>
        <v>91967.430762647025</v>
      </c>
      <c r="U20" s="573"/>
      <c r="V20" s="1118">
        <f>Z20*FPLE_Debt!$E$71</f>
        <v>12050.034888377531</v>
      </c>
      <c r="W20" s="573"/>
      <c r="X20" s="296">
        <f>Z20*FPLE_Debt!$E$60</f>
        <v>49416.19196560912</v>
      </c>
      <c r="Y20" s="573"/>
      <c r="Z20" s="578">
        <f t="shared" si="3"/>
        <v>5.6497561830396018E-2</v>
      </c>
      <c r="AA20" s="573"/>
      <c r="AB20" s="573">
        <f>+'Doswell CT'!E94</f>
        <v>4.1340668262405825E-12</v>
      </c>
      <c r="AM20" s="558"/>
      <c r="AU20" s="334" t="s">
        <v>144</v>
      </c>
      <c r="AV20" s="295">
        <f>'FPLE_Wind Summary'!J12</f>
        <v>44304.743470888177</v>
      </c>
      <c r="AW20" s="558">
        <v>0.05</v>
      </c>
      <c r="AX20" s="271"/>
      <c r="AY20" s="271"/>
      <c r="AZ20" s="271"/>
      <c r="BA20" s="271"/>
    </row>
    <row r="21" spans="2:53" s="334" customFormat="1">
      <c r="C21" s="334" t="s">
        <v>101</v>
      </c>
      <c r="F21" s="296">
        <v>482.6</v>
      </c>
      <c r="G21" s="296"/>
      <c r="H21" s="296">
        <f>+'FPLE_Annual Summary'!E19</f>
        <v>28738.561357832121</v>
      </c>
      <c r="I21" s="296"/>
      <c r="J21" s="554">
        <f>'FPLE_Wind Summary'!J39</f>
        <v>495166.41646225879</v>
      </c>
      <c r="K21" s="554"/>
      <c r="L21" s="554">
        <f>'FPLE_Wind Summary'!L39</f>
        <v>0</v>
      </c>
      <c r="M21" s="554"/>
      <c r="N21" s="554">
        <f t="shared" si="0"/>
        <v>495166.41646225879</v>
      </c>
      <c r="O21" s="577"/>
      <c r="P21" s="581">
        <v>0.09</v>
      </c>
      <c r="Q21" s="573"/>
      <c r="R21" s="620">
        <f t="shared" si="1"/>
        <v>1180.7463033425536</v>
      </c>
      <c r="S21" s="573"/>
      <c r="T21" s="296">
        <f t="shared" si="2"/>
        <v>569828.16599311633</v>
      </c>
      <c r="U21" s="573"/>
      <c r="V21" s="1118">
        <f>Z21*FPLE_Debt!$E$71</f>
        <v>74661.749530857545</v>
      </c>
      <c r="W21" s="573"/>
      <c r="X21" s="296">
        <f>Z21*FPLE_Debt!$E$60</f>
        <v>306181.63196055713</v>
      </c>
      <c r="Y21" s="573"/>
      <c r="Z21" s="578">
        <f t="shared" si="3"/>
        <v>0.35005764294954023</v>
      </c>
      <c r="AA21" s="573"/>
      <c r="AB21" s="573"/>
      <c r="AM21" s="558"/>
      <c r="AU21" s="334" t="s">
        <v>146</v>
      </c>
      <c r="AV21" s="295">
        <f>'FPLE_Wind Summary'!J17</f>
        <v>81217.279340629015</v>
      </c>
      <c r="AW21" s="558">
        <v>0.05</v>
      </c>
      <c r="AX21" s="271"/>
      <c r="AY21" s="271"/>
      <c r="AZ21" s="271"/>
      <c r="BA21" s="271"/>
    </row>
    <row r="22" spans="2:53" s="334" customFormat="1">
      <c r="C22" s="334" t="s">
        <v>102</v>
      </c>
      <c r="F22" s="296">
        <v>80</v>
      </c>
      <c r="G22" s="296"/>
      <c r="H22" s="296">
        <f>+'FPLE_Annual Summary'!E20</f>
        <v>7571.8204111694358</v>
      </c>
      <c r="I22" s="296"/>
      <c r="J22" s="554">
        <f>+'Segs VIII'!D162+'Segs IX'!D162</f>
        <v>158582.42201584505</v>
      </c>
      <c r="K22" s="554"/>
      <c r="L22" s="554"/>
      <c r="M22" s="554"/>
      <c r="N22" s="554">
        <f t="shared" si="0"/>
        <v>158582.42201584505</v>
      </c>
      <c r="O22" s="577"/>
      <c r="P22" s="581">
        <f>+'Segs VIII'!C95</f>
        <v>0.09</v>
      </c>
      <c r="Q22" s="573"/>
      <c r="R22" s="620">
        <f t="shared" si="1"/>
        <v>2281.1707259362092</v>
      </c>
      <c r="S22" s="573"/>
      <c r="T22" s="296">
        <f t="shared" si="2"/>
        <v>182493.65807489675</v>
      </c>
      <c r="U22" s="573"/>
      <c r="V22" s="1118">
        <f>Z22*FPLE_Debt!$E$71</f>
        <v>23911.236059051695</v>
      </c>
      <c r="W22" s="573"/>
      <c r="X22" s="296">
        <f>Z22*FPLE_Debt!$E$60</f>
        <v>98057.992543139379</v>
      </c>
      <c r="Y22" s="573"/>
      <c r="Z22" s="578">
        <f t="shared" si="3"/>
        <v>0.11210976152363343</v>
      </c>
      <c r="AA22" s="573"/>
      <c r="AB22" s="573">
        <f>+'Segs VIII'!E94+'Segs IX'!E94</f>
        <v>-1.7939574392768768E-10</v>
      </c>
      <c r="AM22" s="558"/>
      <c r="AU22" s="334" t="s">
        <v>147</v>
      </c>
      <c r="AV22" s="295">
        <f>'FPLE_Wind Summary'!J18</f>
        <v>73884.258339400156</v>
      </c>
      <c r="AW22" s="558">
        <v>0.05</v>
      </c>
      <c r="AX22" s="271"/>
      <c r="AY22" s="271"/>
      <c r="AZ22" s="271"/>
      <c r="BA22" s="271"/>
    </row>
    <row r="23" spans="2:53" s="334" customFormat="1">
      <c r="C23" s="334" t="s">
        <v>103</v>
      </c>
      <c r="F23" s="296">
        <v>300</v>
      </c>
      <c r="G23" s="296"/>
      <c r="H23" s="296">
        <f>+'FPLE_Annual Summary'!E21</f>
        <v>14693.907650469486</v>
      </c>
      <c r="I23" s="296"/>
      <c r="J23" s="554">
        <f>+'NELP - Bellingham &amp; Sayreville'!D162</f>
        <v>286950.48633863119</v>
      </c>
      <c r="K23" s="554"/>
      <c r="L23" s="554"/>
      <c r="M23" s="554"/>
      <c r="N23" s="554">
        <f t="shared" si="0"/>
        <v>286950.48633863119</v>
      </c>
      <c r="O23" s="577"/>
      <c r="P23" s="581">
        <f>+'NELP - Bellingham &amp; Sayreville'!C95</f>
        <v>0.09</v>
      </c>
      <c r="Q23" s="573"/>
      <c r="R23" s="620">
        <f t="shared" si="1"/>
        <v>1100.7240120025238</v>
      </c>
      <c r="S23" s="573"/>
      <c r="T23" s="296">
        <f t="shared" si="2"/>
        <v>330217.20360075712</v>
      </c>
      <c r="U23" s="573"/>
      <c r="V23" s="1118">
        <f>Z23*FPLE_Debt!$E$71</f>
        <v>43266.717262125909</v>
      </c>
      <c r="W23" s="573"/>
      <c r="X23" s="296">
        <f>Z23*FPLE_Debt!$E$60</f>
        <v>177433.21291203561</v>
      </c>
      <c r="Y23" s="573"/>
      <c r="Z23" s="578">
        <f t="shared" si="3"/>
        <v>0.20285949844617873</v>
      </c>
      <c r="AA23" s="573"/>
      <c r="AB23" s="573">
        <f>+'NELP - Bellingham &amp; Sayreville'!E94</f>
        <v>-1.6020457132146992E-10</v>
      </c>
      <c r="AM23" s="558"/>
      <c r="AU23" s="334" t="s">
        <v>148</v>
      </c>
      <c r="AV23" s="295">
        <f>'FPLE_Wind Summary'!J19</f>
        <v>48242.767578053536</v>
      </c>
      <c r="AW23" s="558">
        <v>0.05</v>
      </c>
      <c r="AX23" s="271"/>
      <c r="AY23" s="271"/>
      <c r="AZ23" s="271"/>
      <c r="BA23" s="271"/>
    </row>
    <row r="24" spans="2:53" s="334" customFormat="1">
      <c r="C24" s="334" t="s">
        <v>104</v>
      </c>
      <c r="F24" s="297">
        <v>50</v>
      </c>
      <c r="G24" s="297"/>
      <c r="H24" s="297">
        <f>+'FPLE_Annual Summary'!E22</f>
        <v>212.46322499999982</v>
      </c>
      <c r="I24" s="297"/>
      <c r="J24" s="555">
        <f>+Cherokee!D162</f>
        <v>23179.383510154283</v>
      </c>
      <c r="K24" s="555"/>
      <c r="L24" s="555"/>
      <c r="M24" s="555"/>
      <c r="N24" s="555">
        <f t="shared" si="0"/>
        <v>23179.383510154283</v>
      </c>
      <c r="O24" s="577"/>
      <c r="P24" s="1302">
        <f>+Cherokee!C95</f>
        <v>0.09</v>
      </c>
      <c r="Q24" s="573"/>
      <c r="R24" s="621">
        <f t="shared" si="1"/>
        <v>533.48794083449411</v>
      </c>
      <c r="S24" s="579"/>
      <c r="T24" s="297">
        <f t="shared" si="2"/>
        <v>26674.397041724704</v>
      </c>
      <c r="U24" s="579"/>
      <c r="V24" s="1119">
        <f>Z24*FPLE_Debt!$E$71</f>
        <v>3495.0135315704201</v>
      </c>
      <c r="W24" s="579"/>
      <c r="X24" s="297">
        <f>Z24*FPLE_Debt!$E$60</f>
        <v>14332.760128775011</v>
      </c>
      <c r="Y24" s="573"/>
      <c r="Z24" s="580">
        <f t="shared" si="3"/>
        <v>1.6386653227736619E-2</v>
      </c>
      <c r="AA24" s="573"/>
      <c r="AB24" s="573">
        <f>+Cherokee!E94</f>
        <v>4.1719940448299454E-11</v>
      </c>
      <c r="AM24" s="558"/>
      <c r="AU24" s="334" t="s">
        <v>149</v>
      </c>
      <c r="AV24" s="295">
        <f>'FPLE_Wind Summary'!J20</f>
        <v>12354.516341686585</v>
      </c>
      <c r="AW24" s="558">
        <v>0.05</v>
      </c>
      <c r="AX24" s="271"/>
      <c r="AY24" s="271"/>
      <c r="AZ24" s="271"/>
      <c r="BA24" s="271"/>
    </row>
    <row r="25" spans="2:53" s="334" customFormat="1">
      <c r="F25" s="296">
        <f>SUM(F19:F24)</f>
        <v>1747.6</v>
      </c>
      <c r="G25" s="296"/>
      <c r="H25" s="296">
        <f>SUM(H19:H24)</f>
        <v>90658.33007798031</v>
      </c>
      <c r="I25" s="296"/>
      <c r="J25" s="554">
        <f>SUM(J19:J24)</f>
        <v>1414528.2253804</v>
      </c>
      <c r="K25" s="554"/>
      <c r="L25" s="554">
        <f>SUM(L19:L24)</f>
        <v>0</v>
      </c>
      <c r="M25" s="554"/>
      <c r="N25" s="554">
        <f>SUM(N19:N24)</f>
        <v>1414528.2253804</v>
      </c>
      <c r="O25" s="577"/>
      <c r="P25" s="581">
        <f>SUMPRODUCT(F19:F24,P19:P24)/F25</f>
        <v>8.9070153353170062E-2</v>
      </c>
      <c r="Q25" s="573"/>
      <c r="R25" s="620">
        <f t="shared" si="1"/>
        <v>931.45592990559499</v>
      </c>
      <c r="S25" s="573"/>
      <c r="T25" s="296">
        <f>SUM(T19:T24)</f>
        <v>1627812.3831030177</v>
      </c>
      <c r="U25" s="573"/>
      <c r="V25" s="1118">
        <f>SUM(V19:V24)</f>
        <v>213284.15772261776</v>
      </c>
      <c r="W25" s="573"/>
      <c r="X25" s="296">
        <f>SUM(X19:X24)</f>
        <v>874660.61126593465</v>
      </c>
      <c r="Y25" s="573"/>
      <c r="Z25" s="578">
        <f>SUM(Z19:Z24)</f>
        <v>1</v>
      </c>
      <c r="AA25" s="573"/>
      <c r="AB25" s="573"/>
      <c r="AM25" s="558"/>
      <c r="AU25" s="334" t="s">
        <v>150</v>
      </c>
      <c r="AV25" s="295">
        <f>'FPLE_Wind Summary'!J21</f>
        <v>24245.231609924969</v>
      </c>
      <c r="AW25" s="558">
        <v>0.05</v>
      </c>
      <c r="AX25" s="271"/>
      <c r="AY25" s="271"/>
      <c r="AZ25" s="271"/>
      <c r="BA25" s="271"/>
    </row>
    <row r="26" spans="2:53" s="334" customFormat="1">
      <c r="F26" s="296"/>
      <c r="G26" s="296"/>
      <c r="H26" s="296"/>
      <c r="I26" s="296"/>
      <c r="J26" s="554"/>
      <c r="K26" s="554"/>
      <c r="L26" s="554"/>
      <c r="M26" s="554"/>
      <c r="N26" s="554"/>
      <c r="O26" s="577"/>
      <c r="P26" s="558"/>
      <c r="Q26" s="573"/>
      <c r="R26" s="583"/>
      <c r="S26" s="573"/>
      <c r="T26" s="573"/>
      <c r="U26" s="573"/>
      <c r="V26" s="1117"/>
      <c r="W26" s="573"/>
      <c r="X26" s="573"/>
      <c r="Y26" s="573"/>
      <c r="Z26" s="573"/>
      <c r="AA26" s="573"/>
      <c r="AB26" s="573"/>
      <c r="AM26" s="558"/>
      <c r="AU26" s="334" t="s">
        <v>151</v>
      </c>
      <c r="AV26" s="295">
        <f>'FPLE_Wind Summary'!J22</f>
        <v>9202.4254532619434</v>
      </c>
      <c r="AW26" s="558">
        <v>0.05</v>
      </c>
      <c r="AX26" s="271"/>
      <c r="AY26" s="271"/>
      <c r="AZ26" s="271"/>
      <c r="BA26" s="271"/>
    </row>
    <row r="27" spans="2:53" s="584" customFormat="1">
      <c r="B27" s="584" t="s">
        <v>186</v>
      </c>
      <c r="F27" s="296"/>
      <c r="G27" s="296"/>
      <c r="H27" s="296">
        <f>+H16+H25</f>
        <v>174823.86683544389</v>
      </c>
      <c r="I27" s="296"/>
      <c r="J27" s="556">
        <f>+J16+J25</f>
        <v>2674872.5056531015</v>
      </c>
      <c r="K27" s="556"/>
      <c r="L27" s="556">
        <f>+L16+L25</f>
        <v>0</v>
      </c>
      <c r="M27" s="556"/>
      <c r="N27" s="556">
        <f>+N16+N25</f>
        <v>2674872.5056531015</v>
      </c>
      <c r="O27" s="585"/>
      <c r="P27" s="564">
        <f>(SUMPRODUCT(P12:P15,J12:J15)+SUMPRODUCT(P19:P24,J19:J24))/J27</f>
        <v>9.5183699737599811E-2</v>
      </c>
      <c r="Q27" s="586"/>
      <c r="R27" s="587"/>
      <c r="S27" s="586"/>
      <c r="T27" s="586"/>
      <c r="U27" s="586"/>
      <c r="V27" s="1120"/>
      <c r="W27" s="586"/>
      <c r="X27" s="586"/>
      <c r="Y27" s="586"/>
      <c r="Z27" s="586"/>
      <c r="AA27" s="586"/>
      <c r="AB27" s="586"/>
      <c r="AM27" s="602"/>
      <c r="AU27" s="334" t="s">
        <v>152</v>
      </c>
      <c r="AV27" s="295">
        <f>'FPLE_Wind Summary'!J23</f>
        <v>13066.242022202465</v>
      </c>
      <c r="AW27" s="558">
        <v>0.05</v>
      </c>
      <c r="AX27" s="271"/>
      <c r="AY27" s="271"/>
      <c r="AZ27" s="271"/>
      <c r="BA27" s="271"/>
    </row>
    <row r="28" spans="2:53" s="334" customFormat="1">
      <c r="F28" s="296"/>
      <c r="G28" s="296"/>
      <c r="H28" s="296"/>
      <c r="I28" s="296"/>
      <c r="J28" s="554"/>
      <c r="K28" s="554"/>
      <c r="L28" s="554"/>
      <c r="M28" s="554"/>
      <c r="N28" s="554"/>
      <c r="O28" s="577"/>
      <c r="P28" s="576"/>
      <c r="Q28" s="573"/>
      <c r="R28" s="583"/>
      <c r="S28" s="573"/>
      <c r="T28" s="573"/>
      <c r="U28" s="573"/>
      <c r="V28" s="1117"/>
      <c r="W28" s="573"/>
      <c r="X28" s="573"/>
      <c r="Y28" s="573"/>
      <c r="Z28" s="573"/>
      <c r="AA28" s="573"/>
      <c r="AB28" s="573"/>
      <c r="AM28" s="558"/>
      <c r="AU28" s="334" t="s">
        <v>153</v>
      </c>
      <c r="AV28" s="295">
        <f>'FPLE_Wind Summary'!J24</f>
        <v>11763.366557186608</v>
      </c>
      <c r="AW28" s="558">
        <v>0.05</v>
      </c>
      <c r="AX28" s="271"/>
      <c r="AY28" s="271"/>
      <c r="AZ28" s="271"/>
      <c r="BA28" s="271"/>
    </row>
    <row r="29" spans="2:53" s="334" customFormat="1">
      <c r="B29" s="588" t="s">
        <v>201</v>
      </c>
      <c r="F29" s="296"/>
      <c r="G29" s="296"/>
      <c r="H29" s="296">
        <f>-FPLE_Debt!E28-FPLE_Debt!E65</f>
        <v>-85296.880503625754</v>
      </c>
      <c r="I29" s="296"/>
      <c r="J29" s="554">
        <f>-L29+FPLE_Debt!E34+FPLE_Debt!E71</f>
        <v>-1133228.9685574691</v>
      </c>
      <c r="K29" s="554"/>
      <c r="L29" s="554">
        <f>+FPLE_Debt!E23+FPLE_Debt!E60</f>
        <v>1533593.6792649406</v>
      </c>
      <c r="M29" s="554"/>
      <c r="N29" s="554">
        <f>SUM(J29:M29)</f>
        <v>400364.71070747147</v>
      </c>
      <c r="O29" s="577"/>
      <c r="P29" s="576"/>
      <c r="Q29" s="573"/>
      <c r="R29" s="583"/>
      <c r="S29" s="573"/>
      <c r="T29" s="573"/>
      <c r="U29" s="573"/>
      <c r="V29" s="1117"/>
      <c r="W29" s="573"/>
      <c r="X29" s="573"/>
      <c r="Y29" s="573"/>
      <c r="Z29" s="573"/>
      <c r="AA29" s="573"/>
      <c r="AB29" s="573">
        <f>+FPLE_Debt!X25</f>
        <v>3.0559021979570389E-10</v>
      </c>
      <c r="AM29" s="558"/>
      <c r="AU29" s="334" t="s">
        <v>154</v>
      </c>
      <c r="AV29" s="295">
        <f>'FPLE_Wind Summary'!J29</f>
        <v>6188.2038908639715</v>
      </c>
      <c r="AW29" s="558">
        <v>0.05</v>
      </c>
      <c r="AX29" s="271"/>
      <c r="AY29" s="271"/>
      <c r="AZ29" s="271"/>
      <c r="BA29" s="271"/>
    </row>
    <row r="30" spans="2:53" s="334" customFormat="1">
      <c r="F30" s="296"/>
      <c r="G30" s="296"/>
      <c r="H30" s="296"/>
      <c r="I30" s="296"/>
      <c r="J30" s="554"/>
      <c r="K30" s="554"/>
      <c r="L30" s="554"/>
      <c r="M30" s="554"/>
      <c r="N30" s="554"/>
      <c r="O30" s="577"/>
      <c r="P30" s="576"/>
      <c r="Q30" s="573"/>
      <c r="R30" s="583"/>
      <c r="S30" s="573"/>
      <c r="T30" s="573"/>
      <c r="U30" s="573"/>
      <c r="V30" s="1117"/>
      <c r="W30" s="573"/>
      <c r="X30" s="573"/>
      <c r="Y30" s="573"/>
      <c r="Z30" s="573"/>
      <c r="AA30" s="573"/>
      <c r="AB30" s="573"/>
      <c r="AM30" s="558"/>
      <c r="AU30" s="334" t="s">
        <v>155</v>
      </c>
      <c r="AV30" s="295">
        <f>'FPLE_Wind Summary'!J30</f>
        <v>3209.4444927660534</v>
      </c>
      <c r="AW30" s="558">
        <v>0.05</v>
      </c>
      <c r="AX30" s="271"/>
      <c r="AY30" s="271"/>
      <c r="AZ30" s="271"/>
      <c r="BA30" s="271"/>
    </row>
    <row r="31" spans="2:53" s="584" customFormat="1">
      <c r="B31" s="584" t="s">
        <v>185</v>
      </c>
      <c r="F31" s="315">
        <f>+F16+F25</f>
        <v>3946.6</v>
      </c>
      <c r="G31" s="296"/>
      <c r="H31" s="315">
        <f>+H27+H29</f>
        <v>89526.986331818131</v>
      </c>
      <c r="I31" s="296"/>
      <c r="J31" s="556">
        <f>+J27+J29</f>
        <v>1541643.5370956324</v>
      </c>
      <c r="K31" s="556"/>
      <c r="L31" s="556">
        <f>+L27+L29</f>
        <v>1533593.6792649406</v>
      </c>
      <c r="M31" s="556"/>
      <c r="N31" s="556">
        <f>+N27+N29</f>
        <v>3075237.2163605727</v>
      </c>
      <c r="O31" s="585"/>
      <c r="P31" s="589"/>
      <c r="Q31" s="586"/>
      <c r="R31" s="622">
        <f>N31/F31</f>
        <v>779.21178137145205</v>
      </c>
      <c r="S31" s="586"/>
      <c r="T31" s="27">
        <f>T16+T25</f>
        <v>3075237.2163605727</v>
      </c>
      <c r="U31" s="586"/>
      <c r="V31" s="1121">
        <f>V16+V25</f>
        <v>400364.71070747147</v>
      </c>
      <c r="W31" s="586"/>
      <c r="X31" s="27">
        <f>X16+X25</f>
        <v>1533593.6792649408</v>
      </c>
      <c r="Y31" s="586"/>
      <c r="Z31" s="578"/>
      <c r="AA31" s="586"/>
      <c r="AB31" s="586"/>
      <c r="AM31" s="602"/>
      <c r="AU31" s="334" t="s">
        <v>157</v>
      </c>
      <c r="AV31" s="295">
        <f>'FPLE_Wind Summary'!J32</f>
        <v>11223.364239440438</v>
      </c>
      <c r="AW31" s="558">
        <v>0.05</v>
      </c>
      <c r="AX31" s="271"/>
      <c r="AY31" s="271"/>
      <c r="AZ31" s="271"/>
      <c r="BA31" s="271"/>
    </row>
    <row r="32" spans="2:53" s="334" customFormat="1">
      <c r="J32" s="1253">
        <f>J31/N31</f>
        <v>0.50130881900554958</v>
      </c>
      <c r="K32" s="1254"/>
      <c r="L32" s="1254">
        <f>L31/N31</f>
        <v>0.49869118099445053</v>
      </c>
      <c r="M32" s="1255"/>
      <c r="N32" s="1254">
        <f>N31/(J31+L31)</f>
        <v>1</v>
      </c>
      <c r="O32" s="345"/>
      <c r="P32" s="558"/>
      <c r="AM32" s="558"/>
      <c r="AU32" s="334" t="s">
        <v>158</v>
      </c>
      <c r="AV32" s="295">
        <f>'FPLE_Wind Summary'!J33</f>
        <v>3017.2785667747066</v>
      </c>
      <c r="AW32" s="558">
        <v>0.05</v>
      </c>
      <c r="AX32" s="271"/>
      <c r="AY32" s="271"/>
      <c r="AZ32" s="271"/>
      <c r="BA32" s="271"/>
    </row>
    <row r="33" spans="2:53" s="334" customFormat="1">
      <c r="P33" s="558"/>
      <c r="AM33" s="558"/>
      <c r="AU33" s="334" t="s">
        <v>159</v>
      </c>
      <c r="AV33" s="295">
        <f>'FPLE_Wind Summary'!J34</f>
        <v>2709.6832796353892</v>
      </c>
      <c r="AW33" s="558">
        <v>0.05</v>
      </c>
      <c r="AX33" s="271"/>
      <c r="AY33" s="271"/>
      <c r="AZ33" s="271"/>
      <c r="BA33" s="271"/>
    </row>
    <row r="34" spans="2:53" s="334" customFormat="1">
      <c r="P34" s="558"/>
      <c r="AM34" s="558"/>
    </row>
    <row r="35" spans="2:53" s="334" customFormat="1">
      <c r="B35" s="588" t="s">
        <v>200</v>
      </c>
      <c r="P35" s="558"/>
    </row>
    <row r="36" spans="2:53">
      <c r="B36" s="591" t="s">
        <v>203</v>
      </c>
    </row>
    <row r="40" spans="2:53" s="7" customFormat="1">
      <c r="P40" s="757"/>
    </row>
    <row r="41" spans="2:53" s="7" customFormat="1">
      <c r="P41" s="757"/>
    </row>
    <row r="42" spans="2:53" s="7" customFormat="1">
      <c r="P42" s="757"/>
    </row>
    <row r="43" spans="2:53" s="7" customFormat="1">
      <c r="P43" s="757"/>
    </row>
    <row r="44" spans="2:53" s="7" customFormat="1">
      <c r="P44" s="757"/>
    </row>
    <row r="45" spans="2:53" s="7" customFormat="1">
      <c r="P45" s="757"/>
    </row>
  </sheetData>
  <mergeCells count="1">
    <mergeCell ref="J9:N9"/>
  </mergeCells>
  <pageMargins left="0.5" right="0.5" top="0.75" bottom="0.5" header="0.25" footer="0.25"/>
  <pageSetup scale="67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X93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7" style="271" customWidth="1"/>
    <col min="3" max="3" width="18.5703125" style="271" customWidth="1"/>
    <col min="4" max="4" width="15" style="271" bestFit="1" customWidth="1"/>
    <col min="5" max="46" width="10.7109375" style="271" customWidth="1"/>
    <col min="47" max="16384" width="9.42578125" style="271"/>
  </cols>
  <sheetData>
    <row r="2" spans="2:24" ht="18.75">
      <c r="B2" s="270" t="s">
        <v>95</v>
      </c>
      <c r="C2" s="557"/>
      <c r="D2" s="557"/>
      <c r="E2" s="557"/>
      <c r="F2" s="7"/>
      <c r="G2" s="7"/>
    </row>
    <row r="4" spans="2:24">
      <c r="B4" s="291" t="s">
        <v>5</v>
      </c>
    </row>
    <row r="5" spans="2:24" ht="12" customHeight="1">
      <c r="R5" s="1169"/>
    </row>
    <row r="6" spans="2:24" s="299" customFormat="1" ht="15.75">
      <c r="B6" s="737" t="s">
        <v>30</v>
      </c>
      <c r="C6" s="1159"/>
      <c r="F6" s="562"/>
      <c r="G6" s="562"/>
      <c r="H6" s="562"/>
      <c r="I6" s="562"/>
      <c r="J6" s="562"/>
      <c r="K6" s="562"/>
      <c r="L6" s="562"/>
      <c r="M6" s="562"/>
      <c r="N6" s="562"/>
      <c r="O6" s="562"/>
      <c r="P6" s="562"/>
      <c r="R6" s="562"/>
    </row>
    <row r="7" spans="2:24" s="565" customFormat="1" ht="13.5" thickBot="1">
      <c r="E7" s="1158">
        <v>2001</v>
      </c>
      <c r="F7" s="1158">
        <f>+E7+1</f>
        <v>2002</v>
      </c>
      <c r="G7" s="1158">
        <f t="shared" ref="G7:X7" si="0">+F7+1</f>
        <v>2003</v>
      </c>
      <c r="H7" s="1158">
        <f t="shared" si="0"/>
        <v>2004</v>
      </c>
      <c r="I7" s="1158">
        <f t="shared" si="0"/>
        <v>2005</v>
      </c>
      <c r="J7" s="1158">
        <f t="shared" si="0"/>
        <v>2006</v>
      </c>
      <c r="K7" s="1158">
        <f t="shared" si="0"/>
        <v>2007</v>
      </c>
      <c r="L7" s="1158">
        <f t="shared" si="0"/>
        <v>2008</v>
      </c>
      <c r="M7" s="1158">
        <f t="shared" si="0"/>
        <v>2009</v>
      </c>
      <c r="N7" s="1158">
        <f t="shared" si="0"/>
        <v>2010</v>
      </c>
      <c r="O7" s="1158">
        <f t="shared" si="0"/>
        <v>2011</v>
      </c>
      <c r="P7" s="1158">
        <f t="shared" si="0"/>
        <v>2012</v>
      </c>
      <c r="Q7" s="1158">
        <f t="shared" si="0"/>
        <v>2013</v>
      </c>
      <c r="R7" s="1158">
        <f t="shared" si="0"/>
        <v>2014</v>
      </c>
      <c r="S7" s="1158">
        <f t="shared" si="0"/>
        <v>2015</v>
      </c>
      <c r="T7" s="1158">
        <f t="shared" si="0"/>
        <v>2016</v>
      </c>
      <c r="U7" s="1158">
        <f t="shared" si="0"/>
        <v>2017</v>
      </c>
      <c r="V7" s="1158">
        <f t="shared" si="0"/>
        <v>2018</v>
      </c>
      <c r="W7" s="1158">
        <f t="shared" si="0"/>
        <v>2019</v>
      </c>
      <c r="X7" s="1158">
        <f t="shared" si="0"/>
        <v>2020</v>
      </c>
    </row>
    <row r="8" spans="2:24" s="1042" customFormat="1"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</row>
    <row r="9" spans="2:24">
      <c r="B9" s="571" t="s">
        <v>96</v>
      </c>
    </row>
    <row r="10" spans="2:24" s="334" customFormat="1">
      <c r="C10" s="334" t="s">
        <v>114</v>
      </c>
      <c r="E10" s="334">
        <f>+'Maine Hydro'!F144</f>
        <v>27280.718382307234</v>
      </c>
      <c r="F10" s="334">
        <f>+'Maine Hydro'!G144</f>
        <v>23505.249627405341</v>
      </c>
      <c r="G10" s="334">
        <f>+'Maine Hydro'!H144</f>
        <v>22464.401797280741</v>
      </c>
      <c r="H10" s="334">
        <f>+'Maine Hydro'!I144</f>
        <v>23370.460252624995</v>
      </c>
      <c r="I10" s="334">
        <f>+'Maine Hydro'!J144</f>
        <v>24923.596965000183</v>
      </c>
      <c r="J10" s="334">
        <f>+'Maine Hydro'!K144</f>
        <v>26483.098061954239</v>
      </c>
      <c r="K10" s="334">
        <f>+'Maine Hydro'!L144</f>
        <v>28034.126407382086</v>
      </c>
      <c r="L10" s="334">
        <f>+'Maine Hydro'!M144</f>
        <v>29582.037709267417</v>
      </c>
      <c r="M10" s="334">
        <f>+'Maine Hydro'!N144</f>
        <v>31124.137919652574</v>
      </c>
      <c r="N10" s="334">
        <f>+'Maine Hydro'!O144</f>
        <v>32660.406555302401</v>
      </c>
      <c r="O10" s="334">
        <f>+'Maine Hydro'!P144</f>
        <v>34377.304522275874</v>
      </c>
      <c r="P10" s="334">
        <f>+'Maine Hydro'!Q144</f>
        <v>36088.318762799005</v>
      </c>
      <c r="Q10" s="334">
        <f>+'Maine Hydro'!R144</f>
        <v>37793.417603078778</v>
      </c>
      <c r="R10" s="334">
        <f>+'Maine Hydro'!S144</f>
        <v>39492.56562978185</v>
      </c>
      <c r="S10" s="334">
        <f>+'Maine Hydro'!T144</f>
        <v>41176.115999119844</v>
      </c>
      <c r="T10" s="334">
        <f>+'Maine Hydro'!U144</f>
        <v>42614.203476761031</v>
      </c>
      <c r="U10" s="334">
        <f>+'Maine Hydro'!V144</f>
        <v>44045.974488075983</v>
      </c>
      <c r="V10" s="334">
        <f>+'Maine Hydro'!W144</f>
        <v>45471.360173040455</v>
      </c>
      <c r="W10" s="334">
        <f>+'Maine Hydro'!X144</f>
        <v>46890.287612524182</v>
      </c>
      <c r="X10" s="334">
        <f>+'Maine Hydro'!Y144</f>
        <v>48302.679788175366</v>
      </c>
    </row>
    <row r="11" spans="2:24" s="334" customFormat="1">
      <c r="C11" s="334" t="s">
        <v>118</v>
      </c>
      <c r="E11" s="334">
        <f>+'Maine Thermal'!F144</f>
        <v>13567.149389715061</v>
      </c>
      <c r="F11" s="334">
        <f>+'Maine Thermal'!G144</f>
        <v>11011.396235013133</v>
      </c>
      <c r="G11" s="334">
        <f>+'Maine Thermal'!H144</f>
        <v>8230.4406338778026</v>
      </c>
      <c r="H11" s="334">
        <f>+'Maine Thermal'!I144</f>
        <v>8938.8021094518735</v>
      </c>
      <c r="I11" s="334">
        <f>+'Maine Thermal'!J144</f>
        <v>9007.5381047622286</v>
      </c>
      <c r="J11" s="334">
        <f>+'Maine Thermal'!K144</f>
        <v>10993.896605078722</v>
      </c>
      <c r="K11" s="334">
        <f>+'Maine Thermal'!L144</f>
        <v>11449.799138611734</v>
      </c>
      <c r="L11" s="334">
        <f>+'Maine Thermal'!M144</f>
        <v>13943.824171952292</v>
      </c>
      <c r="M11" s="334">
        <f>+'Maine Thermal'!N144</f>
        <v>14992.772627757793</v>
      </c>
      <c r="N11" s="334">
        <f>+'Maine Thermal'!O144</f>
        <v>16050.626018372515</v>
      </c>
      <c r="O11" s="334">
        <f>+'Maine Thermal'!P144</f>
        <v>20984.597166119951</v>
      </c>
      <c r="P11" s="334">
        <f>+'Maine Thermal'!Q144</f>
        <v>23805.16423513621</v>
      </c>
      <c r="Q11" s="334">
        <f>+'Maine Thermal'!R144</f>
        <v>26447.852396699323</v>
      </c>
      <c r="R11" s="334">
        <f>+'Maine Thermal'!S144</f>
        <v>30473.643823190443</v>
      </c>
      <c r="S11" s="334">
        <f>+'Maine Thermal'!T144</f>
        <v>34974.965409711833</v>
      </c>
      <c r="T11" s="334">
        <f>+'Maine Thermal'!U144</f>
        <v>35002.568633307106</v>
      </c>
      <c r="U11" s="334">
        <f>+'Maine Thermal'!V144</f>
        <v>33428.608465775578</v>
      </c>
      <c r="V11" s="334">
        <f>+'Maine Thermal'!W144</f>
        <v>34572.783079808447</v>
      </c>
      <c r="W11" s="334">
        <f>+'Maine Thermal'!X144</f>
        <v>34239.291678990601</v>
      </c>
      <c r="X11" s="334">
        <f>+'Maine Thermal'!Y144</f>
        <v>33128.632335843373</v>
      </c>
    </row>
    <row r="12" spans="2:24" s="334" customFormat="1">
      <c r="C12" s="334" t="s">
        <v>97</v>
      </c>
      <c r="E12" s="334">
        <f>+Lamar!F144</f>
        <v>41593.616995391283</v>
      </c>
      <c r="F12" s="334">
        <f>+Lamar!G144</f>
        <v>29374.8249974725</v>
      </c>
      <c r="G12" s="334">
        <f>+Lamar!H144</f>
        <v>31200.996021197385</v>
      </c>
      <c r="H12" s="334">
        <f>+Lamar!I144</f>
        <v>40097.433814950855</v>
      </c>
      <c r="I12" s="334">
        <f>+Lamar!J144</f>
        <v>42365.787240588994</v>
      </c>
      <c r="J12" s="334">
        <f>+Lamar!K144</f>
        <v>44504.325189650146</v>
      </c>
      <c r="K12" s="334">
        <f>+Lamar!L144</f>
        <v>52861.487781707692</v>
      </c>
      <c r="L12" s="334">
        <f>+Lamar!M144</f>
        <v>42208.360674847769</v>
      </c>
      <c r="M12" s="334">
        <f>+Lamar!N144</f>
        <v>35141.708713031876</v>
      </c>
      <c r="N12" s="334">
        <f>+Lamar!O144</f>
        <v>51376.932735931943</v>
      </c>
      <c r="O12" s="334">
        <f>+Lamar!P144</f>
        <v>43408.728745927008</v>
      </c>
      <c r="P12" s="334">
        <f>+Lamar!Q144</f>
        <v>40777.418173166661</v>
      </c>
      <c r="Q12" s="334">
        <f>+Lamar!R144</f>
        <v>55923.863384544711</v>
      </c>
      <c r="R12" s="334">
        <f>+Lamar!S144</f>
        <v>65617.906089224853</v>
      </c>
      <c r="S12" s="334">
        <f>+Lamar!T144</f>
        <v>48521.46469004664</v>
      </c>
      <c r="T12" s="334">
        <f>+Lamar!U144</f>
        <v>59269.293806253045</v>
      </c>
      <c r="U12" s="334">
        <f>+Lamar!V144</f>
        <v>49652.382321163022</v>
      </c>
      <c r="V12" s="334">
        <f>+Lamar!W144</f>
        <v>36826.314308756337</v>
      </c>
      <c r="W12" s="334">
        <f>+Lamar!X144</f>
        <v>63115.781684987887</v>
      </c>
      <c r="X12" s="334">
        <f>+Lamar!Y144</f>
        <v>59646.234760520827</v>
      </c>
    </row>
    <row r="13" spans="2:24" s="334" customFormat="1">
      <c r="C13" s="334" t="s">
        <v>98</v>
      </c>
      <c r="E13" s="334">
        <f>+'Marcus Hook 50'!F144</f>
        <v>1724.0519900500001</v>
      </c>
      <c r="F13" s="334">
        <f>+'Marcus Hook 50'!G144</f>
        <v>1099.0464162014998</v>
      </c>
      <c r="G13" s="334">
        <f>+'Marcus Hook 50'!H144</f>
        <v>1040.9465907875451</v>
      </c>
      <c r="H13" s="334">
        <f>+'Marcus Hook 50'!I144</f>
        <v>1448.5356017111717</v>
      </c>
      <c r="I13" s="334">
        <f>+'Marcus Hook 50'!J144</f>
        <v>2121.1354668625067</v>
      </c>
      <c r="J13" s="334">
        <f>+'Marcus Hook 50'!K144</f>
        <v>2126.7369335183816</v>
      </c>
      <c r="K13" s="334">
        <f>+'Marcus Hook 50'!L144</f>
        <v>2186.7244177239331</v>
      </c>
      <c r="L13" s="334">
        <f>+'Marcus Hook 50'!M144</f>
        <v>2609.426423655651</v>
      </c>
      <c r="M13" s="334">
        <f>+'Marcus Hook 50'!N144</f>
        <v>2669.3615779653214</v>
      </c>
      <c r="N13" s="334">
        <f>+'Marcus Hook 50'!O144</f>
        <v>2764.3732841042806</v>
      </c>
      <c r="O13" s="334">
        <f>+'Marcus Hook 50'!P144</f>
        <v>2688.5178416274089</v>
      </c>
      <c r="P13" s="334">
        <f>+'Marcus Hook 50'!Q144</f>
        <v>2807.4600304762316</v>
      </c>
      <c r="Q13" s="334">
        <f>+'Marcus Hook 50'!R144</f>
        <v>2853.8242752405176</v>
      </c>
      <c r="R13" s="334">
        <f>+'Marcus Hook 50'!S144</f>
        <v>891.04452939773341</v>
      </c>
      <c r="S13" s="334">
        <f>+'Marcus Hook 50'!T144</f>
        <v>933.25083452966533</v>
      </c>
      <c r="T13" s="334">
        <f>+'Marcus Hook 50'!U144</f>
        <v>976.00954951555548</v>
      </c>
      <c r="U13" s="334">
        <f>+'Marcus Hook 50'!V144</f>
        <v>1018.734629701022</v>
      </c>
      <c r="V13" s="334">
        <f>+'Marcus Hook 50'!W144</f>
        <v>1064.3503910420529</v>
      </c>
      <c r="W13" s="334">
        <f>+'Marcus Hook 50'!X144</f>
        <v>0</v>
      </c>
      <c r="X13" s="334">
        <f>+'Marcus Hook 50'!Y144</f>
        <v>0</v>
      </c>
    </row>
    <row r="14" spans="2:24" s="334" customFormat="1">
      <c r="E14" s="1148">
        <f>SUM(E10:E13)</f>
        <v>84165.536757463575</v>
      </c>
      <c r="F14" s="1148">
        <f>SUM(F10:F13)</f>
        <v>64990.517276092476</v>
      </c>
      <c r="G14" s="1148">
        <f>SUM(G10:G13)</f>
        <v>62936.785043143471</v>
      </c>
      <c r="H14" s="1148">
        <f>SUM(H10:H13)</f>
        <v>73855.231778738904</v>
      </c>
      <c r="I14" s="1148">
        <f t="shared" ref="I14:X14" si="1">SUM(I10:I13)</f>
        <v>78418.057777213922</v>
      </c>
      <c r="J14" s="1148">
        <f t="shared" si="1"/>
        <v>84108.056790201488</v>
      </c>
      <c r="K14" s="1148">
        <f t="shared" si="1"/>
        <v>94532.13774542544</v>
      </c>
      <c r="L14" s="1148">
        <f t="shared" si="1"/>
        <v>88343.648979723133</v>
      </c>
      <c r="M14" s="1148">
        <f t="shared" si="1"/>
        <v>83927.980838407559</v>
      </c>
      <c r="N14" s="1148">
        <f t="shared" si="1"/>
        <v>102852.33859371115</v>
      </c>
      <c r="O14" s="1148">
        <f t="shared" si="1"/>
        <v>101459.14827595025</v>
      </c>
      <c r="P14" s="1148">
        <f t="shared" si="1"/>
        <v>103478.3612015781</v>
      </c>
      <c r="Q14" s="1148">
        <f t="shared" si="1"/>
        <v>123018.95765956333</v>
      </c>
      <c r="R14" s="1148">
        <f t="shared" si="1"/>
        <v>136475.16007159487</v>
      </c>
      <c r="S14" s="1148">
        <f t="shared" si="1"/>
        <v>125605.79693340798</v>
      </c>
      <c r="T14" s="1148">
        <f t="shared" si="1"/>
        <v>137862.07546583674</v>
      </c>
      <c r="U14" s="1148">
        <f t="shared" si="1"/>
        <v>128145.6999047156</v>
      </c>
      <c r="V14" s="1148">
        <f t="shared" si="1"/>
        <v>117934.8079526473</v>
      </c>
      <c r="W14" s="1148">
        <f t="shared" si="1"/>
        <v>144245.36097650268</v>
      </c>
      <c r="X14" s="1148">
        <f t="shared" si="1"/>
        <v>141077.54688453957</v>
      </c>
    </row>
    <row r="15" spans="2:24" s="334" customFormat="1"/>
    <row r="16" spans="2:24" s="334" customFormat="1">
      <c r="B16" s="582" t="s">
        <v>99</v>
      </c>
    </row>
    <row r="17" spans="2:24" s="334" customFormat="1">
      <c r="C17" s="334" t="s">
        <v>100</v>
      </c>
      <c r="E17" s="334">
        <f>+Doswell!F144</f>
        <v>38508.725130451166</v>
      </c>
      <c r="F17" s="334">
        <f>+Doswell!G144</f>
        <v>39647.588540719589</v>
      </c>
      <c r="G17" s="334">
        <f>+Doswell!H144</f>
        <v>41029.869252640412</v>
      </c>
      <c r="H17" s="334">
        <f>+Doswell!I144</f>
        <v>43213.794342965142</v>
      </c>
      <c r="I17" s="334">
        <f>+Doswell!J144</f>
        <v>39052.119336385207</v>
      </c>
      <c r="J17" s="334">
        <f>+Doswell!K144</f>
        <v>39030.67036153307</v>
      </c>
      <c r="K17" s="334">
        <f>+Doswell!L144</f>
        <v>17476.879250197388</v>
      </c>
      <c r="L17" s="334">
        <f>+Doswell!M144</f>
        <v>17210.895744412686</v>
      </c>
      <c r="M17" s="334">
        <f>+Doswell!N144</f>
        <v>16941.574577682673</v>
      </c>
      <c r="N17" s="334">
        <f>+Doswell!O144</f>
        <v>16665.627446672723</v>
      </c>
      <c r="O17" s="334">
        <f>+Doswell!P144</f>
        <v>16380.305567560292</v>
      </c>
      <c r="P17" s="334">
        <f>+Doswell!Q144</f>
        <v>16088.228573098699</v>
      </c>
      <c r="Q17" s="334">
        <f>+Doswell!R144</f>
        <v>15789.840146604674</v>
      </c>
      <c r="R17" s="334">
        <f>+Doswell!S144</f>
        <v>15484.415250712178</v>
      </c>
      <c r="S17" s="334">
        <f>+Doswell!T144</f>
        <v>15171.109198168917</v>
      </c>
      <c r="T17" s="334">
        <f>+Doswell!U144</f>
        <v>14849.654834170324</v>
      </c>
      <c r="U17" s="334">
        <f>+Doswell!V144</f>
        <v>-4628.3092648651182</v>
      </c>
      <c r="V17" s="334">
        <f>+Doswell!W144</f>
        <v>0</v>
      </c>
      <c r="W17" s="334">
        <f>+Doswell!X144</f>
        <v>0</v>
      </c>
      <c r="X17" s="334">
        <f>+Doswell!Y144</f>
        <v>0</v>
      </c>
    </row>
    <row r="18" spans="2:24" s="334" customFormat="1">
      <c r="C18" s="334" t="s">
        <v>115</v>
      </c>
      <c r="E18" s="334">
        <f>+'Doswell CT'!F144</f>
        <v>932.85230305811388</v>
      </c>
      <c r="F18" s="334">
        <f>+'Doswell CT'!G144</f>
        <v>3090.7725687776351</v>
      </c>
      <c r="G18" s="334">
        <f>+'Doswell CT'!H144</f>
        <v>3069.5354596977327</v>
      </c>
      <c r="H18" s="334">
        <f>+'Doswell CT'!I144</f>
        <v>2984.3360472509698</v>
      </c>
      <c r="I18" s="334">
        <f>+'Doswell CT'!J144</f>
        <v>2873.5084317809155</v>
      </c>
      <c r="J18" s="334">
        <f>+'Doswell CT'!K144</f>
        <v>5560.3044357365161</v>
      </c>
      <c r="K18" s="334">
        <f>+'Doswell CT'!L144</f>
        <v>5974.3094253148602</v>
      </c>
      <c r="L18" s="334">
        <f>+'Doswell CT'!M144</f>
        <v>5873.2000222536099</v>
      </c>
      <c r="M18" s="334">
        <f>+'Doswell CT'!N144</f>
        <v>4624.0895468748367</v>
      </c>
      <c r="N18" s="334">
        <f>+'Doswell CT'!O144</f>
        <v>6818.8282574919513</v>
      </c>
      <c r="O18" s="334">
        <f>+'Doswell CT'!P144</f>
        <v>7021.5441893366178</v>
      </c>
      <c r="P18" s="334">
        <f>+'Doswell CT'!Q144</f>
        <v>7269.8160764643981</v>
      </c>
      <c r="Q18" s="334">
        <f>+'Doswell CT'!R144</f>
        <v>7395.1542299528355</v>
      </c>
      <c r="R18" s="334">
        <f>+'Doswell CT'!S144</f>
        <v>7773.8245346976164</v>
      </c>
      <c r="S18" s="334">
        <f>+'Doswell CT'!T144</f>
        <v>8252.7577464006645</v>
      </c>
      <c r="T18" s="334">
        <f>+'Doswell CT'!U144</f>
        <v>7750.3013593339656</v>
      </c>
      <c r="U18" s="334">
        <f>+'Doswell CT'!V144</f>
        <v>5877.5466999661257</v>
      </c>
      <c r="V18" s="334">
        <f>+'Doswell CT'!W144</f>
        <v>8253.9303411781075</v>
      </c>
      <c r="W18" s="334">
        <f>+'Doswell CT'!X144</f>
        <v>8276.3717166719707</v>
      </c>
      <c r="X18" s="334">
        <f>+'Doswell CT'!Y144</f>
        <v>8360.9833718705886</v>
      </c>
    </row>
    <row r="19" spans="2:24" s="334" customFormat="1">
      <c r="C19" s="334" t="s">
        <v>101</v>
      </c>
      <c r="E19" s="334">
        <f>'FPLE_Wind Annual Summary'!F76</f>
        <v>28738.561357832121</v>
      </c>
      <c r="F19" s="334">
        <f>'FPLE_Wind Annual Summary'!G76</f>
        <v>24897.281953534126</v>
      </c>
      <c r="G19" s="334">
        <f>'FPLE_Wind Annual Summary'!H76</f>
        <v>25888.823412724567</v>
      </c>
      <c r="H19" s="334">
        <f>'FPLE_Wind Annual Summary'!I76</f>
        <v>25589.653916129311</v>
      </c>
      <c r="I19" s="334">
        <f>'FPLE_Wind Annual Summary'!J76</f>
        <v>26980.06147153967</v>
      </c>
      <c r="J19" s="334">
        <f>'FPLE_Wind Annual Summary'!K76</f>
        <v>27683.390872303353</v>
      </c>
      <c r="K19" s="334">
        <f>'FPLE_Wind Annual Summary'!L76</f>
        <v>28060.656918565597</v>
      </c>
      <c r="L19" s="334">
        <f>'FPLE_Wind Annual Summary'!M76</f>
        <v>28440.198663683135</v>
      </c>
      <c r="M19" s="334">
        <f>'FPLE_Wind Annual Summary'!N76</f>
        <v>17798.527258506227</v>
      </c>
      <c r="N19" s="334">
        <f>'FPLE_Wind Annual Summary'!O76</f>
        <v>14346.632846714649</v>
      </c>
      <c r="O19" s="334">
        <f>'FPLE_Wind Annual Summary'!P76</f>
        <v>14202.480449420938</v>
      </c>
      <c r="P19" s="334">
        <f>'FPLE_Wind Annual Summary'!Q76</f>
        <v>14374.570369258698</v>
      </c>
      <c r="Q19" s="334">
        <f>'FPLE_Wind Annual Summary'!R76</f>
        <v>14185.015617925766</v>
      </c>
      <c r="R19" s="334">
        <f>'FPLE_Wind Annual Summary'!S76</f>
        <v>12994.91273189901</v>
      </c>
      <c r="S19" s="334">
        <f>'FPLE_Wind Annual Summary'!T76</f>
        <v>11242.553317735654</v>
      </c>
      <c r="T19" s="334">
        <f>'FPLE_Wind Annual Summary'!U76</f>
        <v>10258.780846685151</v>
      </c>
      <c r="U19" s="334">
        <f>'FPLE_Wind Annual Summary'!V76</f>
        <v>10008.645519031179</v>
      </c>
      <c r="V19" s="334">
        <f>'FPLE_Wind Annual Summary'!W76</f>
        <v>9495.8115814733555</v>
      </c>
      <c r="W19" s="334">
        <f>'FPLE_Wind Annual Summary'!X76</f>
        <v>4972.3225112703476</v>
      </c>
      <c r="X19" s="334">
        <f>'FPLE_Wind Annual Summary'!Y76</f>
        <v>4592.7402906887019</v>
      </c>
    </row>
    <row r="20" spans="2:24" s="334" customFormat="1">
      <c r="C20" s="334" t="s">
        <v>102</v>
      </c>
      <c r="E20" s="334">
        <f>+'Segs VIII'!F144+'Segs IX'!F144</f>
        <v>7571.8204111694358</v>
      </c>
      <c r="F20" s="334">
        <f>+'Segs VIII'!G144+'Segs IX'!G144</f>
        <v>7032.7618445099197</v>
      </c>
      <c r="G20" s="334">
        <f>+'Segs VIII'!H144+'Segs IX'!H144</f>
        <v>6871.584296184451</v>
      </c>
      <c r="H20" s="334">
        <f>+'Segs VIII'!I144+'Segs IX'!I144</f>
        <v>6782.4062430264366</v>
      </c>
      <c r="I20" s="334">
        <f>+'Segs VIII'!J144+'Segs IX'!J144</f>
        <v>6895.4336345526208</v>
      </c>
      <c r="J20" s="334">
        <f>+'Segs VIII'!K144+'Segs IX'!K144</f>
        <v>6816.7297652314228</v>
      </c>
      <c r="K20" s="334">
        <f>+'Segs VIII'!L144+'Segs IX'!L144</f>
        <v>6830.7771339781048</v>
      </c>
      <c r="L20" s="334">
        <f>+'Segs VIII'!M144+'Segs IX'!M144</f>
        <v>6524.0486145994564</v>
      </c>
      <c r="M20" s="334">
        <f>+'Segs VIII'!N144+'Segs IX'!N144</f>
        <v>6314.5314932829424</v>
      </c>
      <c r="N20" s="334">
        <f>+'Segs VIII'!O144+'Segs IX'!O144</f>
        <v>6105.8604098347769</v>
      </c>
      <c r="O20" s="334">
        <f>+'Segs VIII'!P144+'Segs IX'!P144</f>
        <v>5846.4352180417945</v>
      </c>
      <c r="P20" s="334">
        <f>+'Segs VIII'!Q144+'Segs IX'!Q144</f>
        <v>5519.8185070695145</v>
      </c>
      <c r="Q20" s="334">
        <f>+'Segs VIII'!R144+'Segs IX'!R144</f>
        <v>5271.90625</v>
      </c>
      <c r="R20" s="334">
        <f>+'Segs VIII'!S144+'Segs IX'!S144</f>
        <v>5488.6487500000003</v>
      </c>
      <c r="S20" s="334">
        <f>+'Segs VIII'!T144+'Segs IX'!T144</f>
        <v>5718.3587499999994</v>
      </c>
      <c r="T20" s="334">
        <f>+'Segs VIII'!U144+'Segs IX'!U144</f>
        <v>5997.16</v>
      </c>
      <c r="U20" s="334">
        <f>+'Segs VIII'!V144+'Segs IX'!V144</f>
        <v>6301.2787500000004</v>
      </c>
      <c r="V20" s="334">
        <f>+'Segs VIII'!W144+'Segs IX'!W144</f>
        <v>6618.3649999999998</v>
      </c>
      <c r="W20" s="334">
        <f>+'Segs VIII'!X144+'Segs IX'!X144</f>
        <v>6889.4475000000002</v>
      </c>
      <c r="X20" s="334">
        <f>+'Segs VIII'!Y144+'Segs IX'!Y144</f>
        <v>7074.6975000000002</v>
      </c>
    </row>
    <row r="21" spans="2:24" s="334" customFormat="1">
      <c r="C21" s="334" t="s">
        <v>103</v>
      </c>
      <c r="E21" s="334">
        <f>+'NELP - Bellingham &amp; Sayreville'!F144</f>
        <v>14693.907650469486</v>
      </c>
      <c r="F21" s="334">
        <f>+'NELP - Bellingham &amp; Sayreville'!G144</f>
        <v>12965.25561023642</v>
      </c>
      <c r="G21" s="334">
        <f>+'NELP - Bellingham &amp; Sayreville'!H144</f>
        <v>19275.404694303044</v>
      </c>
      <c r="H21" s="334">
        <f>+'NELP - Bellingham &amp; Sayreville'!I144</f>
        <v>22221.27729192108</v>
      </c>
      <c r="I21" s="334">
        <f>+'NELP - Bellingham &amp; Sayreville'!J144</f>
        <v>22577.67932511252</v>
      </c>
      <c r="J21" s="334">
        <f>+'NELP - Bellingham &amp; Sayreville'!K144</f>
        <v>26524.333883080348</v>
      </c>
      <c r="K21" s="334">
        <f>+'NELP - Bellingham &amp; Sayreville'!L144</f>
        <v>31023.0858161869</v>
      </c>
      <c r="L21" s="334">
        <f>+'NELP - Bellingham &amp; Sayreville'!M144</f>
        <v>28785.866139004313</v>
      </c>
      <c r="M21" s="334">
        <f>+'NELP - Bellingham &amp; Sayreville'!N144</f>
        <v>37080.460989632884</v>
      </c>
      <c r="N21" s="334">
        <f>+'NELP - Bellingham &amp; Sayreville'!O144</f>
        <v>43303.870077380743</v>
      </c>
      <c r="O21" s="334">
        <f>+'NELP - Bellingham &amp; Sayreville'!P144</f>
        <v>36467.343899513551</v>
      </c>
      <c r="P21" s="334">
        <f>+'NELP - Bellingham &amp; Sayreville'!Q144</f>
        <v>13648.20290961458</v>
      </c>
      <c r="Q21" s="334">
        <f>+'NELP - Bellingham &amp; Sayreville'!R144</f>
        <v>14806.866964482269</v>
      </c>
      <c r="R21" s="334">
        <f>+'NELP - Bellingham &amp; Sayreville'!S144</f>
        <v>24927.673550258107</v>
      </c>
      <c r="S21" s="334">
        <f>+'NELP - Bellingham &amp; Sayreville'!T144</f>
        <v>30293.298183355379</v>
      </c>
      <c r="T21" s="334">
        <f>+'NELP - Bellingham &amp; Sayreville'!U144</f>
        <v>32283.7216250087</v>
      </c>
      <c r="U21" s="334">
        <f>+'NELP - Bellingham &amp; Sayreville'!V144</f>
        <v>29000.614825119868</v>
      </c>
      <c r="V21" s="334">
        <f>+'NELP - Bellingham &amp; Sayreville'!W144</f>
        <v>31815.133200667704</v>
      </c>
      <c r="W21" s="334">
        <f>+'NELP - Bellingham &amp; Sayreville'!X144</f>
        <v>33878.740828865572</v>
      </c>
      <c r="X21" s="334">
        <f>+'NELP - Bellingham &amp; Sayreville'!Y144</f>
        <v>28894.670333315022</v>
      </c>
    </row>
    <row r="22" spans="2:24" s="334" customFormat="1">
      <c r="C22" s="334" t="s">
        <v>104</v>
      </c>
      <c r="E22" s="334">
        <f>+Cherokee!F144</f>
        <v>212.46322499999982</v>
      </c>
      <c r="F22" s="334">
        <f>+Cherokee!G144</f>
        <v>873.55958950000013</v>
      </c>
      <c r="G22" s="334">
        <f>+Cherokee!H144</f>
        <v>827.28656504000151</v>
      </c>
      <c r="H22" s="334">
        <f>+Cherokee!I144</f>
        <v>979.21658710329962</v>
      </c>
      <c r="I22" s="334">
        <f>+Cherokee!J144</f>
        <v>1617.7311040807413</v>
      </c>
      <c r="J22" s="334">
        <f>+Cherokee!K144</f>
        <v>2373.2655852047924</v>
      </c>
      <c r="K22" s="334">
        <f>+Cherokee!L144</f>
        <v>2997.2857787225985</v>
      </c>
      <c r="L22" s="334">
        <f>+Cherokee!M144</f>
        <v>4274.9527203151702</v>
      </c>
      <c r="M22" s="334">
        <f>+Cherokee!N144</f>
        <v>5340.5414917701382</v>
      </c>
      <c r="N22" s="334">
        <f>+Cherokee!O144</f>
        <v>4410.4137299156637</v>
      </c>
      <c r="O22" s="334">
        <f>+Cherokee!P144</f>
        <v>5092.6326358234064</v>
      </c>
      <c r="P22" s="334">
        <f>+Cherokee!Q144</f>
        <v>5125.9242342885836</v>
      </c>
      <c r="Q22" s="334">
        <f>+Cherokee!R144</f>
        <v>2285.1386335955285</v>
      </c>
      <c r="R22" s="334">
        <f>+Cherokee!S144</f>
        <v>2679.2150355772455</v>
      </c>
      <c r="S22" s="334">
        <f>+Cherokee!T144</f>
        <v>2007.8954959778932</v>
      </c>
      <c r="T22" s="334">
        <f>+Cherokee!U144</f>
        <v>2245.9574351272267</v>
      </c>
      <c r="U22" s="334">
        <f>+Cherokee!V144</f>
        <v>2054.0561489364368</v>
      </c>
      <c r="V22" s="334">
        <f>+Cherokee!W144</f>
        <v>1692.7898202250337</v>
      </c>
      <c r="W22" s="334">
        <f>+Cherokee!X144</f>
        <v>0</v>
      </c>
      <c r="X22" s="334">
        <f>+Cherokee!Y144</f>
        <v>0</v>
      </c>
    </row>
    <row r="23" spans="2:24" s="334" customFormat="1">
      <c r="E23" s="1148">
        <f>SUM(E17:E22)</f>
        <v>90658.33007798031</v>
      </c>
      <c r="F23" s="1148">
        <f>SUM(F17:F22)</f>
        <v>88507.220107277681</v>
      </c>
      <c r="G23" s="1148">
        <f>SUM(G17:G22)</f>
        <v>96962.503680590205</v>
      </c>
      <c r="H23" s="1148">
        <f>SUM(H17:H22)</f>
        <v>101770.68442839624</v>
      </c>
      <c r="I23" s="1148">
        <f t="shared" ref="I23:X23" si="2">SUM(I17:I22)</f>
        <v>99996.533303451681</v>
      </c>
      <c r="J23" s="1148">
        <f t="shared" si="2"/>
        <v>107988.69490308949</v>
      </c>
      <c r="K23" s="1148">
        <f t="shared" si="2"/>
        <v>92362.994322965445</v>
      </c>
      <c r="L23" s="1148">
        <f t="shared" si="2"/>
        <v>91109.161904268374</v>
      </c>
      <c r="M23" s="1148">
        <f t="shared" si="2"/>
        <v>88099.725357749703</v>
      </c>
      <c r="N23" s="1148">
        <f t="shared" si="2"/>
        <v>91651.232768010494</v>
      </c>
      <c r="O23" s="1148">
        <f t="shared" si="2"/>
        <v>85010.741959696592</v>
      </c>
      <c r="P23" s="1148">
        <f t="shared" si="2"/>
        <v>62026.560669794468</v>
      </c>
      <c r="Q23" s="1148">
        <f t="shared" si="2"/>
        <v>59733.921842561074</v>
      </c>
      <c r="R23" s="1148">
        <f t="shared" si="2"/>
        <v>69348.689853144155</v>
      </c>
      <c r="S23" s="1148">
        <f t="shared" si="2"/>
        <v>72685.972691638512</v>
      </c>
      <c r="T23" s="1148">
        <f t="shared" si="2"/>
        <v>73385.576100325357</v>
      </c>
      <c r="U23" s="1148">
        <f t="shared" si="2"/>
        <v>48613.83267818849</v>
      </c>
      <c r="V23" s="1148">
        <f t="shared" si="2"/>
        <v>57876.029943544199</v>
      </c>
      <c r="W23" s="1148">
        <f t="shared" si="2"/>
        <v>54016.88255680789</v>
      </c>
      <c r="X23" s="1148">
        <f t="shared" si="2"/>
        <v>48923.091495874309</v>
      </c>
    </row>
    <row r="24" spans="2:24" s="334" customFormat="1"/>
    <row r="25" spans="2:24" s="334" customFormat="1">
      <c r="B25" s="584" t="s">
        <v>117</v>
      </c>
      <c r="E25" s="334">
        <f>+E14+E23</f>
        <v>174823.86683544389</v>
      </c>
      <c r="F25" s="334">
        <f t="shared" ref="F25:X25" si="3">+F14+F23</f>
        <v>153497.73738337017</v>
      </c>
      <c r="G25" s="334">
        <f t="shared" si="3"/>
        <v>159899.28872373368</v>
      </c>
      <c r="H25" s="334">
        <f t="shared" si="3"/>
        <v>175625.91620713513</v>
      </c>
      <c r="I25" s="334">
        <f t="shared" si="3"/>
        <v>178414.59108066559</v>
      </c>
      <c r="J25" s="334">
        <f t="shared" si="3"/>
        <v>192096.75169329098</v>
      </c>
      <c r="K25" s="334">
        <f t="shared" si="3"/>
        <v>186895.1320683909</v>
      </c>
      <c r="L25" s="334">
        <f t="shared" si="3"/>
        <v>179452.81088399151</v>
      </c>
      <c r="M25" s="334">
        <f t="shared" si="3"/>
        <v>172027.70619615726</v>
      </c>
      <c r="N25" s="334">
        <f t="shared" si="3"/>
        <v>194503.57136172164</v>
      </c>
      <c r="O25" s="334">
        <f t="shared" si="3"/>
        <v>186469.89023564686</v>
      </c>
      <c r="P25" s="334">
        <f t="shared" si="3"/>
        <v>165504.92187137256</v>
      </c>
      <c r="Q25" s="334">
        <f t="shared" si="3"/>
        <v>182752.87950212439</v>
      </c>
      <c r="R25" s="334">
        <f t="shared" si="3"/>
        <v>205823.84992473904</v>
      </c>
      <c r="S25" s="334">
        <f t="shared" si="3"/>
        <v>198291.76962504649</v>
      </c>
      <c r="T25" s="334">
        <f t="shared" si="3"/>
        <v>211247.65156616209</v>
      </c>
      <c r="U25" s="334">
        <f t="shared" si="3"/>
        <v>176759.5325829041</v>
      </c>
      <c r="V25" s="334">
        <f t="shared" si="3"/>
        <v>175810.83789619152</v>
      </c>
      <c r="W25" s="334">
        <f t="shared" si="3"/>
        <v>198262.24353331057</v>
      </c>
      <c r="X25" s="334">
        <f t="shared" si="3"/>
        <v>190000.63838041387</v>
      </c>
    </row>
    <row r="26" spans="2:24" s="334" customFormat="1">
      <c r="B26" s="334" t="s">
        <v>358</v>
      </c>
      <c r="E26" s="334">
        <f>-FPLE_Debt!E28-FPLE_Debt!E65</f>
        <v>-85296.880503625754</v>
      </c>
      <c r="F26" s="334">
        <f>-FPLE_Debt!F28-FPLE_Debt!F65</f>
        <v>-83858.726415374404</v>
      </c>
      <c r="G26" s="334">
        <f>-FPLE_Debt!G28-FPLE_Debt!G65</f>
        <v>-82801.694243836973</v>
      </c>
      <c r="H26" s="334">
        <f>-FPLE_Debt!H28-FPLE_Debt!H65</f>
        <v>-81359.577871198999</v>
      </c>
      <c r="I26" s="334">
        <f>-FPLE_Debt!I28-FPLE_Debt!I65</f>
        <v>-79621.928877992206</v>
      </c>
      <c r="J26" s="334">
        <f>-FPLE_Debt!J28-FPLE_Debt!J65</f>
        <v>-77938.444189511647</v>
      </c>
      <c r="K26" s="334">
        <f>-FPLE_Debt!K28-FPLE_Debt!K65</f>
        <v>-75707.748769275117</v>
      </c>
      <c r="L26" s="334">
        <f>-FPLE_Debt!L28-FPLE_Debt!L65</f>
        <v>-73835.114922951077</v>
      </c>
      <c r="M26" s="334">
        <f>-FPLE_Debt!M28-FPLE_Debt!M65</f>
        <v>-72045.420677606351</v>
      </c>
      <c r="N26" s="334">
        <f>-FPLE_Debt!N28-FPLE_Debt!N65</f>
        <v>-69960.827494384837</v>
      </c>
      <c r="O26" s="334">
        <f>-FPLE_Debt!O28-FPLE_Debt!O65</f>
        <v>-66891.936580087757</v>
      </c>
      <c r="P26" s="334">
        <f>-FPLE_Debt!P28-FPLE_Debt!P65</f>
        <v>-63908.574112946808</v>
      </c>
      <c r="Q26" s="334">
        <f>-FPLE_Debt!Q28-FPLE_Debt!Q65</f>
        <v>-60679.612727113832</v>
      </c>
      <c r="R26" s="334">
        <f>-FPLE_Debt!R28-FPLE_Debt!R65</f>
        <v>-56162.797655476214</v>
      </c>
      <c r="S26" s="334">
        <f>-FPLE_Debt!S28-FPLE_Debt!S65</f>
        <v>-50313.125010825883</v>
      </c>
      <c r="T26" s="334">
        <f>-FPLE_Debt!T28-FPLE_Debt!T65</f>
        <v>-44168.314497006519</v>
      </c>
      <c r="U26" s="334">
        <f>-FPLE_Debt!U28-FPLE_Debt!U65</f>
        <v>-37073.885032719743</v>
      </c>
      <c r="V26" s="334">
        <f>-FPLE_Debt!V28-FPLE_Debt!V65</f>
        <v>-30958.207325252442</v>
      </c>
      <c r="W26" s="334">
        <f>-FPLE_Debt!W28-FPLE_Debt!W65</f>
        <v>-24440.403970441093</v>
      </c>
      <c r="X26" s="334">
        <f>-FPLE_Debt!X28-FPLE_Debt!X65</f>
        <v>-16437.342664244024</v>
      </c>
    </row>
    <row r="27" spans="2:24" s="334" customFormat="1">
      <c r="B27" s="584" t="s">
        <v>197</v>
      </c>
      <c r="C27" s="584"/>
      <c r="D27" s="584"/>
      <c r="E27" s="1182">
        <f>SUM(E25:E26)</f>
        <v>89526.986331818131</v>
      </c>
      <c r="F27" s="1182">
        <f t="shared" ref="F27:X27" si="4">SUM(F25:F26)</f>
        <v>69639.010967995768</v>
      </c>
      <c r="G27" s="1182">
        <f t="shared" si="4"/>
        <v>77097.59447989671</v>
      </c>
      <c r="H27" s="1182">
        <f t="shared" si="4"/>
        <v>94266.338335936132</v>
      </c>
      <c r="I27" s="1182">
        <f t="shared" si="4"/>
        <v>98792.662202673382</v>
      </c>
      <c r="J27" s="1182">
        <f t="shared" si="4"/>
        <v>114158.30750377933</v>
      </c>
      <c r="K27" s="1182">
        <f t="shared" si="4"/>
        <v>111187.38329911578</v>
      </c>
      <c r="L27" s="1182">
        <f t="shared" si="4"/>
        <v>105617.69596104043</v>
      </c>
      <c r="M27" s="1182">
        <f t="shared" si="4"/>
        <v>99982.285518550911</v>
      </c>
      <c r="N27" s="1182">
        <f t="shared" si="4"/>
        <v>124542.7438673368</v>
      </c>
      <c r="O27" s="1182">
        <f t="shared" si="4"/>
        <v>119577.9536555591</v>
      </c>
      <c r="P27" s="1182">
        <f t="shared" si="4"/>
        <v>101596.34775842575</v>
      </c>
      <c r="Q27" s="1182">
        <f t="shared" si="4"/>
        <v>122073.26677501056</v>
      </c>
      <c r="R27" s="1182">
        <f t="shared" si="4"/>
        <v>149661.05226926284</v>
      </c>
      <c r="S27" s="1182">
        <f t="shared" si="4"/>
        <v>147978.6446142206</v>
      </c>
      <c r="T27" s="1182">
        <f t="shared" si="4"/>
        <v>167079.33706915559</v>
      </c>
      <c r="U27" s="1182">
        <f t="shared" si="4"/>
        <v>139685.64755018434</v>
      </c>
      <c r="V27" s="1182">
        <f t="shared" si="4"/>
        <v>144852.63057093907</v>
      </c>
      <c r="W27" s="1182">
        <f t="shared" si="4"/>
        <v>173821.83956286949</v>
      </c>
      <c r="X27" s="1182">
        <f t="shared" si="4"/>
        <v>173563.29571616984</v>
      </c>
    </row>
    <row r="28" spans="2:24" s="334" customFormat="1"/>
    <row r="29" spans="2:24" ht="12" customHeight="1">
      <c r="R29" s="1169"/>
    </row>
    <row r="30" spans="2:24" s="299" customFormat="1" ht="15.75">
      <c r="B30" s="737" t="s">
        <v>116</v>
      </c>
      <c r="C30" s="1159"/>
      <c r="F30" s="562"/>
      <c r="G30" s="562"/>
      <c r="H30" s="562"/>
      <c r="I30" s="562"/>
      <c r="J30" s="562"/>
      <c r="K30" s="562"/>
      <c r="L30" s="562"/>
      <c r="M30" s="562"/>
      <c r="N30" s="562"/>
      <c r="O30" s="562"/>
      <c r="P30" s="562"/>
      <c r="R30" s="562"/>
    </row>
    <row r="31" spans="2:24" s="565" customFormat="1" ht="13.5" thickBot="1">
      <c r="E31" s="1158">
        <v>2001</v>
      </c>
      <c r="F31" s="1158">
        <f>+E31+1</f>
        <v>2002</v>
      </c>
      <c r="G31" s="1158">
        <f t="shared" ref="G31:X31" si="5">+F31+1</f>
        <v>2003</v>
      </c>
      <c r="H31" s="1158">
        <f t="shared" si="5"/>
        <v>2004</v>
      </c>
      <c r="I31" s="1158">
        <f t="shared" si="5"/>
        <v>2005</v>
      </c>
      <c r="J31" s="1158">
        <f t="shared" si="5"/>
        <v>2006</v>
      </c>
      <c r="K31" s="1158">
        <f t="shared" si="5"/>
        <v>2007</v>
      </c>
      <c r="L31" s="1158">
        <f t="shared" si="5"/>
        <v>2008</v>
      </c>
      <c r="M31" s="1158">
        <f t="shared" si="5"/>
        <v>2009</v>
      </c>
      <c r="N31" s="1158">
        <f t="shared" si="5"/>
        <v>2010</v>
      </c>
      <c r="O31" s="1158">
        <f t="shared" si="5"/>
        <v>2011</v>
      </c>
      <c r="P31" s="1158">
        <f t="shared" si="5"/>
        <v>2012</v>
      </c>
      <c r="Q31" s="1158">
        <f t="shared" si="5"/>
        <v>2013</v>
      </c>
      <c r="R31" s="1158">
        <f t="shared" si="5"/>
        <v>2014</v>
      </c>
      <c r="S31" s="1158">
        <f t="shared" si="5"/>
        <v>2015</v>
      </c>
      <c r="T31" s="1158">
        <f t="shared" si="5"/>
        <v>2016</v>
      </c>
      <c r="U31" s="1158">
        <f t="shared" si="5"/>
        <v>2017</v>
      </c>
      <c r="V31" s="1158">
        <f t="shared" si="5"/>
        <v>2018</v>
      </c>
      <c r="W31" s="1158">
        <f t="shared" si="5"/>
        <v>2019</v>
      </c>
      <c r="X31" s="1158">
        <f t="shared" si="5"/>
        <v>2020</v>
      </c>
    </row>
    <row r="32" spans="2:24" s="1042" customFormat="1">
      <c r="F32" s="1142"/>
      <c r="G32" s="1142"/>
      <c r="H32" s="1142"/>
      <c r="I32" s="1142"/>
      <c r="J32" s="1142"/>
      <c r="K32" s="1142"/>
      <c r="L32" s="1142"/>
      <c r="M32" s="1142"/>
      <c r="N32" s="1142"/>
      <c r="O32" s="1142"/>
      <c r="P32" s="1142"/>
    </row>
    <row r="33" spans="2:24">
      <c r="B33" s="571" t="s">
        <v>96</v>
      </c>
    </row>
    <row r="34" spans="2:24" s="334" customFormat="1">
      <c r="C34" s="334" t="s">
        <v>114</v>
      </c>
      <c r="E34" s="334">
        <f>+'Maine Hydro'!F77</f>
        <v>39963.960970056862</v>
      </c>
      <c r="F34" s="334">
        <f>+'Maine Hydro'!G77</f>
        <v>41310.749518915887</v>
      </c>
      <c r="G34" s="334">
        <f>+'Maine Hydro'!H77</f>
        <v>39469.595128215202</v>
      </c>
      <c r="H34" s="334">
        <f>+'Maine Hydro'!I77</f>
        <v>39637.363398526184</v>
      </c>
      <c r="I34" s="334">
        <f>+'Maine Hydro'!J77</f>
        <v>40505.36681919048</v>
      </c>
      <c r="J34" s="345">
        <f>+'Maine Hydro'!K77</f>
        <v>41432.891517756048</v>
      </c>
      <c r="K34" s="334">
        <f>+'Maine Hydro'!L77</f>
        <v>42397.717456267463</v>
      </c>
      <c r="L34" s="334">
        <f>+'Maine Hydro'!M77</f>
        <v>43405.200342708427</v>
      </c>
      <c r="M34" s="334">
        <f>+'Maine Hydro'!N77</f>
        <v>44858.705730889596</v>
      </c>
      <c r="N34" s="334">
        <f>+'Maine Hydro'!O77</f>
        <v>46393.497786169355</v>
      </c>
      <c r="O34" s="334">
        <f>+'Maine Hydro'!P77</f>
        <v>48111.872333512896</v>
      </c>
      <c r="P34" s="334">
        <f>+'Maine Hydro'!Q77</f>
        <v>49821.409993665962</v>
      </c>
      <c r="Q34" s="334">
        <f>+'Maine Hydro'!R77</f>
        <v>51527.985414315801</v>
      </c>
      <c r="R34" s="334">
        <f>+'Maine Hydro'!S77</f>
        <v>53225.656860648807</v>
      </c>
      <c r="S34" s="334">
        <f>+'Maine Hydro'!T77</f>
        <v>54910.683810356866</v>
      </c>
      <c r="T34" s="334">
        <f>+'Maine Hydro'!U77</f>
        <v>56347.294707627982</v>
      </c>
      <c r="U34" s="334">
        <f>+'Maine Hydro'!V77</f>
        <v>57780.542299312991</v>
      </c>
      <c r="V34" s="334">
        <f>+'Maine Hydro'!W77</f>
        <v>59204.451403907413</v>
      </c>
      <c r="W34" s="334">
        <f>+'Maine Hydro'!X77</f>
        <v>60624.855423761204</v>
      </c>
      <c r="X34" s="334">
        <f>+'Maine Hydro'!Y77</f>
        <v>62035.771019042317</v>
      </c>
    </row>
    <row r="35" spans="2:24" s="334" customFormat="1">
      <c r="C35" s="334" t="s">
        <v>118</v>
      </c>
      <c r="E35" s="334">
        <f>+'Maine Thermal'!F77</f>
        <v>20153.552196028988</v>
      </c>
      <c r="F35" s="334">
        <f>+'Maine Thermal'!G77</f>
        <v>20257.734584167862</v>
      </c>
      <c r="G35" s="334">
        <f>+'Maine Thermal'!H77</f>
        <v>17061.188016119959</v>
      </c>
      <c r="H35" s="334">
        <f>+'Maine Thermal'!I77</f>
        <v>17386.162990852175</v>
      </c>
      <c r="I35" s="334">
        <f>+'Maine Thermal'!J77</f>
        <v>17099.116313381288</v>
      </c>
      <c r="J35" s="334">
        <f>+'Maine Thermal'!K77</f>
        <v>18757.295968977149</v>
      </c>
      <c r="K35" s="334">
        <f>+'Maine Thermal'!L77</f>
        <v>18908.78962084173</v>
      </c>
      <c r="L35" s="334">
        <f>+'Maine Thermal'!M77</f>
        <v>21122.175735566045</v>
      </c>
      <c r="M35" s="334">
        <f>+'Maine Thermal'!N77</f>
        <v>22125.117811270524</v>
      </c>
      <c r="N35" s="334">
        <f>+'Maine Thermal'!O77</f>
        <v>23182.20442888356</v>
      </c>
      <c r="O35" s="334">
        <f>+'Maine Thermal'!P77</f>
        <v>28116.942349632682</v>
      </c>
      <c r="P35" s="334">
        <f>+'Maine Thermal'!Q77</f>
        <v>30936.742645647253</v>
      </c>
      <c r="Q35" s="334">
        <f>+'Maine Thermal'!R77</f>
        <v>33580.197580212058</v>
      </c>
      <c r="R35" s="334">
        <f>+'Maine Thermal'!S77</f>
        <v>37605.22223370149</v>
      </c>
      <c r="S35" s="334">
        <f>+'Maine Thermal'!T77</f>
        <v>42107.31059322456</v>
      </c>
      <c r="T35" s="334">
        <f>+'Maine Thermal'!U77</f>
        <v>42134.147043818157</v>
      </c>
      <c r="U35" s="334">
        <f>+'Maine Thermal'!V77</f>
        <v>40560.953649288305</v>
      </c>
      <c r="V35" s="334">
        <f>+'Maine Thermal'!W77</f>
        <v>41704.36149031949</v>
      </c>
      <c r="W35" s="334">
        <f>+'Maine Thermal'!X77</f>
        <v>41371.636862503321</v>
      </c>
      <c r="X35" s="334">
        <f>+'Maine Thermal'!Y77</f>
        <v>40260.210746354423</v>
      </c>
    </row>
    <row r="36" spans="2:24" s="334" customFormat="1">
      <c r="C36" s="334" t="s">
        <v>97</v>
      </c>
      <c r="E36" s="334">
        <f>+Lamar!F77+Lamar!F151</f>
        <v>59055.455510593121</v>
      </c>
      <c r="F36" s="334">
        <f>+Lamar!G77+Lamar!G151</f>
        <v>52930.384782203713</v>
      </c>
      <c r="G36" s="334">
        <f>+Lamar!H77+Lamar!H151</f>
        <v>53804.466751998079</v>
      </c>
      <c r="H36" s="334">
        <f>+Lamar!I77+Lamar!I151</f>
        <v>61822.593610391312</v>
      </c>
      <c r="I36" s="334">
        <f>+Lamar!J77+Lamar!J151</f>
        <v>63275.87448801515</v>
      </c>
      <c r="J36" s="334">
        <f>+Lamar!K77+Lamar!K151</f>
        <v>64662.578276407927</v>
      </c>
      <c r="K36" s="334">
        <f>+Lamar!L77+Lamar!L151</f>
        <v>72322.361985789437</v>
      </c>
      <c r="L36" s="334">
        <f>+Lamar!M77+Lamar!M151</f>
        <v>61026.311274245825</v>
      </c>
      <c r="M36" s="334">
        <f>+Lamar!N77+Lamar!N151</f>
        <v>53854.262000186689</v>
      </c>
      <c r="N36" s="334">
        <f>+Lamar!O77+Lamar!O151</f>
        <v>70087.729401216042</v>
      </c>
      <c r="O36" s="334">
        <f>+Lamar!P77+Lamar!P151</f>
        <v>62121.282033081821</v>
      </c>
      <c r="P36" s="334">
        <f>+Lamar!Q77+Lamar!Q151</f>
        <v>59488.214838450767</v>
      </c>
      <c r="Q36" s="334">
        <f>+Lamar!R77+Lamar!R151</f>
        <v>74636.416671699524</v>
      </c>
      <c r="R36" s="334">
        <f>+Lamar!S77+Lamar!S151</f>
        <v>84328.702754508951</v>
      </c>
      <c r="S36" s="334">
        <f>+Lamar!T77+Lamar!T151</f>
        <v>67234.017977201453</v>
      </c>
      <c r="T36" s="334">
        <f>+Lamar!U77+Lamar!U151</f>
        <v>77980.090471537143</v>
      </c>
      <c r="U36" s="334">
        <f>+Lamar!V77+Lamar!V151</f>
        <v>68364.935608317843</v>
      </c>
      <c r="V36" s="334">
        <f>+Lamar!W77+Lamar!W151</f>
        <v>55537.110974040435</v>
      </c>
      <c r="W36" s="334">
        <f>+Lamar!X77+Lamar!X151</f>
        <v>81828.334972142722</v>
      </c>
      <c r="X36" s="334">
        <f>+Lamar!Y77+Lamar!Y151</f>
        <v>78357.031425804933</v>
      </c>
    </row>
    <row r="37" spans="2:24" s="334" customFormat="1">
      <c r="C37" s="334" t="s">
        <v>98</v>
      </c>
      <c r="E37" s="334">
        <f>+'Marcus Hook 50'!F77+'Marcus Hook 50'!F151</f>
        <v>2631.9576374704388</v>
      </c>
      <c r="F37" s="334">
        <f>+'Marcus Hook 50'!G77+'Marcus Hook 50'!G151</f>
        <v>2298.5652715143387</v>
      </c>
      <c r="G37" s="334">
        <f>+'Marcus Hook 50'!H77+'Marcus Hook 50'!H151</f>
        <v>2194.9035093238831</v>
      </c>
      <c r="H37" s="334">
        <f>+'Marcus Hook 50'!I77+'Marcus Hook 50'!I151</f>
        <v>2560.4612132581178</v>
      </c>
      <c r="I37" s="334">
        <f>+'Marcus Hook 50'!J77+'Marcus Hook 50'!J151</f>
        <v>3194.0560255232972</v>
      </c>
      <c r="J37" s="334">
        <f>+'Marcus Hook 50'!K77+'Marcus Hook 50'!K151</f>
        <v>3163.6786933962526</v>
      </c>
      <c r="K37" s="334">
        <f>+'Marcus Hook 50'!L77+'Marcus Hook 50'!L151</f>
        <v>3190.2933198522273</v>
      </c>
      <c r="L37" s="334">
        <f>+'Marcus Hook 50'!M77+'Marcus Hook 50'!M151</f>
        <v>3582.2284090677103</v>
      </c>
      <c r="M37" s="334">
        <f>+'Marcus Hook 50'!N77+'Marcus Hook 50'!N151</f>
        <v>3637.1198065386534</v>
      </c>
      <c r="N37" s="334">
        <f>+'Marcus Hook 50'!O77+'Marcus Hook 50'!O151</f>
        <v>3732.0474500636337</v>
      </c>
      <c r="O37" s="334">
        <f>+'Marcus Hook 50'!P77+'Marcus Hook 50'!P151</f>
        <v>3656.2760702007413</v>
      </c>
      <c r="P37" s="334">
        <f>+'Marcus Hook 50'!Q77+'Marcus Hook 50'!Q151</f>
        <v>3775.1341964355847</v>
      </c>
      <c r="Q37" s="334">
        <f>+'Marcus Hook 50'!R77+'Marcus Hook 50'!R151</f>
        <v>3821.5825038138501</v>
      </c>
      <c r="R37" s="334">
        <f>+'Marcus Hook 50'!S77+'Marcus Hook 50'!S151</f>
        <v>1858.718695357087</v>
      </c>
      <c r="S37" s="334">
        <f>+'Marcus Hook 50'!T77+'Marcus Hook 50'!T151</f>
        <v>1901.0090631029977</v>
      </c>
      <c r="T37" s="334">
        <f>+'Marcus Hook 50'!U77+'Marcus Hook 50'!U151</f>
        <v>1943.6837154749089</v>
      </c>
      <c r="U37" s="334">
        <f>+'Marcus Hook 50'!V77+'Marcus Hook 50'!V151</f>
        <v>1986.4928582743544</v>
      </c>
      <c r="V37" s="334">
        <f>+'Marcus Hook 50'!W77+'Marcus Hook 50'!W151</f>
        <v>2032.0245570014065</v>
      </c>
      <c r="W37" s="334">
        <f>+'Marcus Hook 50'!X77+'Marcus Hook 50'!X151</f>
        <v>0</v>
      </c>
      <c r="X37" s="334">
        <f>+'Marcus Hook 50'!Y77+'Marcus Hook 50'!Y151</f>
        <v>0</v>
      </c>
    </row>
    <row r="38" spans="2:24" s="334" customFormat="1">
      <c r="E38" s="1148">
        <f t="shared" ref="E38:X38" si="6">SUM(E34:E37)</f>
        <v>121804.9263141494</v>
      </c>
      <c r="F38" s="1148">
        <f t="shared" si="6"/>
        <v>116797.4341568018</v>
      </c>
      <c r="G38" s="1148">
        <f t="shared" si="6"/>
        <v>112530.15340565711</v>
      </c>
      <c r="H38" s="1148">
        <f t="shared" si="6"/>
        <v>121406.58121302779</v>
      </c>
      <c r="I38" s="1148">
        <f t="shared" si="6"/>
        <v>124074.41364611022</v>
      </c>
      <c r="J38" s="1148">
        <f t="shared" si="6"/>
        <v>128016.44445653739</v>
      </c>
      <c r="K38" s="1148">
        <f t="shared" si="6"/>
        <v>136819.16238275086</v>
      </c>
      <c r="L38" s="1148">
        <f t="shared" si="6"/>
        <v>129135.91576158801</v>
      </c>
      <c r="M38" s="1148">
        <f t="shared" si="6"/>
        <v>124475.20534888547</v>
      </c>
      <c r="N38" s="1148">
        <f t="shared" si="6"/>
        <v>143395.47906633257</v>
      </c>
      <c r="O38" s="1148">
        <f t="shared" si="6"/>
        <v>142006.37278642817</v>
      </c>
      <c r="P38" s="1148">
        <f t="shared" si="6"/>
        <v>144021.50167419959</v>
      </c>
      <c r="Q38" s="1148">
        <f t="shared" si="6"/>
        <v>163566.18217004123</v>
      </c>
      <c r="R38" s="1148">
        <f t="shared" si="6"/>
        <v>177018.30054421636</v>
      </c>
      <c r="S38" s="1148">
        <f t="shared" si="6"/>
        <v>166153.02144388587</v>
      </c>
      <c r="T38" s="1148">
        <f t="shared" si="6"/>
        <v>178405.21593845819</v>
      </c>
      <c r="U38" s="1148">
        <f t="shared" si="6"/>
        <v>168692.92441519347</v>
      </c>
      <c r="V38" s="1148">
        <f t="shared" si="6"/>
        <v>158477.94842526873</v>
      </c>
      <c r="W38" s="1148">
        <f t="shared" si="6"/>
        <v>183824.82725840725</v>
      </c>
      <c r="X38" s="1148">
        <f t="shared" si="6"/>
        <v>180653.01319120167</v>
      </c>
    </row>
    <row r="39" spans="2:24" s="334" customFormat="1"/>
    <row r="40" spans="2:24" s="334" customFormat="1">
      <c r="B40" s="582" t="s">
        <v>99</v>
      </c>
    </row>
    <row r="41" spans="2:24" s="334" customFormat="1">
      <c r="C41" s="334" t="s">
        <v>100</v>
      </c>
      <c r="E41" s="334">
        <f>+Doswell!F77+Doswell!F151</f>
        <v>48404.084291075633</v>
      </c>
      <c r="F41" s="334">
        <f>+Doswell!G77+Doswell!G151</f>
        <v>54014.567480599064</v>
      </c>
      <c r="G41" s="334">
        <f>+Doswell!H77+Doswell!H151</f>
        <v>54698.19788397097</v>
      </c>
      <c r="H41" s="334">
        <f>+Doswell!I77+Doswell!I151</f>
        <v>56237.611619545773</v>
      </c>
      <c r="I41" s="334">
        <f>+Doswell!J77+Doswell!J151</f>
        <v>51477.830075757898</v>
      </c>
      <c r="J41" s="334">
        <f>+Doswell!K77+Doswell!K151</f>
        <v>50904.679381239825</v>
      </c>
      <c r="K41" s="334">
        <f>+Doswell!L77+Doswell!L151</f>
        <v>28839.146254232695</v>
      </c>
      <c r="L41" s="334">
        <f>+Doswell!M77+Doswell!M151</f>
        <v>28101.380436771047</v>
      </c>
      <c r="M41" s="334">
        <f>+Doswell!N77+Doswell!N151</f>
        <v>27754.717907471044</v>
      </c>
      <c r="N41" s="334">
        <f>+Doswell!O77+Doswell!O151</f>
        <v>27477.481753751588</v>
      </c>
      <c r="O41" s="334">
        <f>+Doswell!P77+Doswell!P151</f>
        <v>27193.448897348659</v>
      </c>
      <c r="P41" s="334">
        <f>+Doswell!Q77+Doswell!Q151</f>
        <v>26900.082880177564</v>
      </c>
      <c r="Q41" s="334">
        <f>+Doswell!R77+Doswell!R151</f>
        <v>26602.983476393041</v>
      </c>
      <c r="R41" s="334">
        <f>+Doswell!S77+Doswell!S151</f>
        <v>26296.269557791045</v>
      </c>
      <c r="S41" s="334">
        <f>+Doswell!T77+Doswell!T151</f>
        <v>25984.252527957284</v>
      </c>
      <c r="T41" s="334">
        <f>+Doswell!U77+Doswell!U151</f>
        <v>25661.509141249189</v>
      </c>
      <c r="U41" s="334">
        <f>+Doswell!V77+Doswell!V151</f>
        <v>6184.8340649232487</v>
      </c>
      <c r="V41" s="334">
        <f>+Doswell!W77+Doswell!W151</f>
        <v>0</v>
      </c>
      <c r="W41" s="334">
        <f>+Doswell!X77+Doswell!X151</f>
        <v>0</v>
      </c>
      <c r="X41" s="334">
        <f>+Doswell!Y77+Doswell!Y151</f>
        <v>0</v>
      </c>
    </row>
    <row r="42" spans="2:24" s="334" customFormat="1">
      <c r="C42" s="334" t="s">
        <v>115</v>
      </c>
      <c r="E42" s="334">
        <f>+'Doswell CT'!F77+'Doswell CT'!F151</f>
        <v>4477.9687326949834</v>
      </c>
      <c r="F42" s="334">
        <f>+'Doswell CT'!G77+'Doswell CT'!G151</f>
        <v>7877.0982850876871</v>
      </c>
      <c r="G42" s="334">
        <f>+'Doswell CT'!H77+'Doswell CT'!H151</f>
        <v>7593.8281043767802</v>
      </c>
      <c r="H42" s="334">
        <f>+'Doswell CT'!I77+'Doswell CT'!I151</f>
        <v>7272.7989274621123</v>
      </c>
      <c r="I42" s="334">
        <f>+'Doswell CT'!J77+'Doswell CT'!J151</f>
        <v>6949.7245239709446</v>
      </c>
      <c r="J42" s="334">
        <f>+'Doswell CT'!K77+'Doswell CT'!K151</f>
        <v>9445.4984187075406</v>
      </c>
      <c r="K42" s="334">
        <f>+'Doswell CT'!L77+'Doswell CT'!L151</f>
        <v>9769.019251287411</v>
      </c>
      <c r="L42" s="334">
        <f>+'Doswell CT'!M77+'Doswell CT'!M151</f>
        <v>9667.9098482261616</v>
      </c>
      <c r="M42" s="334">
        <f>+'Doswell CT'!N77+'Doswell CT'!N151</f>
        <v>8418.7993728473848</v>
      </c>
      <c r="N42" s="334">
        <f>+'Doswell CT'!O77+'Doswell CT'!O151</f>
        <v>10613.538083464502</v>
      </c>
      <c r="O42" s="334">
        <f>+'Doswell CT'!P77+'Doswell CT'!P151</f>
        <v>10816.254015309169</v>
      </c>
      <c r="P42" s="334">
        <f>+'Doswell CT'!Q77+'Doswell CT'!Q151</f>
        <v>11064.52590243695</v>
      </c>
      <c r="Q42" s="334">
        <f>+'Doswell CT'!R77+'Doswell CT'!R151</f>
        <v>11189.864055925385</v>
      </c>
      <c r="R42" s="334">
        <f>+'Doswell CT'!S77+'Doswell CT'!S151</f>
        <v>11568.534360670168</v>
      </c>
      <c r="S42" s="334">
        <f>+'Doswell CT'!T77+'Doswell CT'!T151</f>
        <v>12047.467572373214</v>
      </c>
      <c r="T42" s="334">
        <f>+'Doswell CT'!U77+'Doswell CT'!U151</f>
        <v>10730.653772320242</v>
      </c>
      <c r="U42" s="334">
        <f>+'Doswell CT'!V77+'Doswell CT'!V151</f>
        <v>8043.5416999661256</v>
      </c>
      <c r="V42" s="334">
        <f>+'Doswell CT'!W77+'Doswell CT'!W151</f>
        <v>10419.925341178106</v>
      </c>
      <c r="W42" s="334">
        <f>+'Doswell CT'!X77+'Doswell CT'!X151</f>
        <v>10442.366716671972</v>
      </c>
      <c r="X42" s="334">
        <f>+'Doswell CT'!Y77+'Doswell CT'!Y151</f>
        <v>10526.978371870589</v>
      </c>
    </row>
    <row r="43" spans="2:24" s="334" customFormat="1">
      <c r="C43" s="334" t="s">
        <v>101</v>
      </c>
      <c r="E43" s="334">
        <f>'FPLE_Wind Annual Summary'!F114</f>
        <v>56964.013567886592</v>
      </c>
      <c r="F43" s="334">
        <f>'FPLE_Wind Annual Summary'!G114</f>
        <v>73938.624412812656</v>
      </c>
      <c r="G43" s="334">
        <f>'FPLE_Wind Annual Summary'!H114</f>
        <v>54463.701875044455</v>
      </c>
      <c r="H43" s="334">
        <f>'FPLE_Wind Annual Summary'!I114</f>
        <v>42053.218039459112</v>
      </c>
      <c r="I43" s="334">
        <f>'FPLE_Wind Annual Summary'!J114</f>
        <v>42865.144328935494</v>
      </c>
      <c r="J43" s="334">
        <f>'FPLE_Wind Annual Summary'!K114</f>
        <v>34208.276616626637</v>
      </c>
      <c r="K43" s="334">
        <f>'FPLE_Wind Annual Summary'!L114</f>
        <v>25290.626706271592</v>
      </c>
      <c r="L43" s="334">
        <f>'FPLE_Wind Annual Summary'!M114</f>
        <v>25465.0124592149</v>
      </c>
      <c r="M43" s="334">
        <f>'FPLE_Wind Annual Summary'!N114</f>
        <v>15692.484993344016</v>
      </c>
      <c r="N43" s="334">
        <f>'FPLE_Wind Annual Summary'!O114</f>
        <v>12666.884113133348</v>
      </c>
      <c r="O43" s="334">
        <f>'FPLE_Wind Annual Summary'!P114</f>
        <v>12421.344596241019</v>
      </c>
      <c r="P43" s="334">
        <f>'FPLE_Wind Annual Summary'!Q114</f>
        <v>12460.364911220749</v>
      </c>
      <c r="Q43" s="334">
        <f>'FPLE_Wind Annual Summary'!R114</f>
        <v>12196.175602799256</v>
      </c>
      <c r="R43" s="334">
        <f>'FPLE_Wind Annual Summary'!S114</f>
        <v>12021.973372846856</v>
      </c>
      <c r="S43" s="334">
        <f>'FPLE_Wind Annual Summary'!T114</f>
        <v>11419.598833023269</v>
      </c>
      <c r="T43" s="334">
        <f>'FPLE_Wind Annual Summary'!U114</f>
        <v>15472.32999695324</v>
      </c>
      <c r="U43" s="334">
        <f>'FPLE_Wind Annual Summary'!V114</f>
        <v>16105.733614293957</v>
      </c>
      <c r="V43" s="334">
        <f>'FPLE_Wind Annual Summary'!W114</f>
        <v>15568.834108065676</v>
      </c>
      <c r="W43" s="334">
        <f>'FPLE_Wind Annual Summary'!X114</f>
        <v>10914.395633269436</v>
      </c>
      <c r="X43" s="334">
        <f>'FPLE_Wind Annual Summary'!Y114</f>
        <v>7057.5725547659495</v>
      </c>
    </row>
    <row r="44" spans="2:24" s="334" customFormat="1">
      <c r="C44" s="334" t="s">
        <v>102</v>
      </c>
      <c r="E44" s="334">
        <f>+'Segs VIII'!F77+'Segs IX'!F77+'Segs VIII'!F151+'Segs IX'!F151</f>
        <v>16281.159191773013</v>
      </c>
      <c r="F44" s="334">
        <f>+'Segs VIII'!G77+'Segs IX'!G77+'Segs VIII'!G151+'Segs IX'!G151</f>
        <v>22074.349956836817</v>
      </c>
      <c r="G44" s="334">
        <f>+'Segs VIII'!H77+'Segs IX'!H77+'Segs VIII'!H151+'Segs IX'!H151</f>
        <v>15253.473974102093</v>
      </c>
      <c r="H44" s="334">
        <f>+'Segs VIII'!I77+'Segs IX'!I77+'Segs VIII'!I151+'Segs IX'!I151</f>
        <v>11182.029384461253</v>
      </c>
      <c r="I44" s="334">
        <f>+'Segs VIII'!J77+'Segs IX'!J77+'Segs VIII'!J151+'Segs IX'!J151</f>
        <v>11822.681884461255</v>
      </c>
      <c r="J44" s="334">
        <f>+'Segs VIII'!K77+'Segs IX'!K77+'Segs VIII'!K151+'Segs IX'!K151</f>
        <v>8420.0190672306289</v>
      </c>
      <c r="K44" s="334">
        <f>+'Segs VIII'!L77+'Segs IX'!L77+'Segs VIII'!L151+'Segs IX'!L151</f>
        <v>5409.4162500000002</v>
      </c>
      <c r="L44" s="334">
        <f>+'Segs VIII'!M77+'Segs IX'!M77+'Segs VIII'!M151+'Segs IX'!M151</f>
        <v>5299.9737500000001</v>
      </c>
      <c r="M44" s="334">
        <f>+'Segs VIII'!N77+'Segs IX'!N77+'Segs VIII'!N151+'Segs IX'!N151</f>
        <v>5208.4712500000005</v>
      </c>
      <c r="N44" s="334">
        <f>+'Segs VIII'!O77+'Segs IX'!O77+'Segs VIII'!O151+'Segs IX'!O151</f>
        <v>5104.1662500000011</v>
      </c>
      <c r="O44" s="334">
        <f>+'Segs VIII'!P77+'Segs IX'!P77+'Segs VIII'!P151+'Segs IX'!P151</f>
        <v>4988.8937500000002</v>
      </c>
      <c r="P44" s="334">
        <f>+'Segs VIII'!Q77+'Segs IX'!Q77+'Segs VIII'!Q151+'Segs IX'!Q151</f>
        <v>5261.9950000000008</v>
      </c>
      <c r="Q44" s="334">
        <f>+'Segs VIII'!R77+'Segs IX'!R77+'Segs VIII'!R151+'Segs IX'!R151</f>
        <v>4765.0225</v>
      </c>
      <c r="R44" s="334">
        <f>+'Segs VIII'!S77+'Segs IX'!S77+'Segs VIII'!S151+'Segs IX'!S151</f>
        <v>4656.2650000000003</v>
      </c>
      <c r="S44" s="334">
        <f>+'Segs VIII'!T77+'Segs IX'!T77+'Segs VIII'!T151+'Segs IX'!T151</f>
        <v>4506.9750000000004</v>
      </c>
      <c r="T44" s="334">
        <f>+'Segs VIII'!U77+'Segs IX'!U77+'Segs VIII'!U151+'Segs IX'!U151</f>
        <v>4350.7762500000008</v>
      </c>
      <c r="U44" s="334">
        <f>+'Segs VIII'!V77+'Segs IX'!V77+'Segs VIII'!V151+'Segs IX'!V151</f>
        <v>4181.8950000000004</v>
      </c>
      <c r="V44" s="334">
        <f>+'Segs VIII'!W77+'Segs IX'!W77+'Segs VIII'!W151+'Segs IX'!W151</f>
        <v>3991.4812500000007</v>
      </c>
      <c r="W44" s="334">
        <f>+'Segs VIII'!X77+'Segs IX'!X77+'Segs VIII'!X151+'Segs IX'!X151</f>
        <v>11032.563750000001</v>
      </c>
      <c r="X44" s="334">
        <f>+'Segs VIII'!Y77+'Segs IX'!Y77+'Segs VIII'!Y151+'Segs IX'!Y151</f>
        <v>11217.813749999999</v>
      </c>
    </row>
    <row r="45" spans="2:24" s="334" customFormat="1">
      <c r="C45" s="334" t="s">
        <v>103</v>
      </c>
      <c r="E45" s="334">
        <f>+'NELP - Bellingham &amp; Sayreville'!F77+'NELP - Bellingham &amp; Sayreville'!F151</f>
        <v>25707.143083477455</v>
      </c>
      <c r="F45" s="334">
        <f>+'NELP - Bellingham &amp; Sayreville'!G77+'NELP - Bellingham &amp; Sayreville'!G151</f>
        <v>27998.358361522973</v>
      </c>
      <c r="G45" s="334">
        <f>+'NELP - Bellingham &amp; Sayreville'!H77+'NELP - Bellingham &amp; Sayreville'!H151</f>
        <v>31699.135456175183</v>
      </c>
      <c r="H45" s="334">
        <f>+'NELP - Bellingham &amp; Sayreville'!I77+'NELP - Bellingham &amp; Sayreville'!I151</f>
        <v>30432.073263320348</v>
      </c>
      <c r="I45" s="334">
        <f>+'NELP - Bellingham &amp; Sayreville'!J77+'NELP - Bellingham &amp; Sayreville'!J151</f>
        <v>20743.813746990912</v>
      </c>
      <c r="J45" s="334">
        <f>+'NELP - Bellingham &amp; Sayreville'!K77+'NELP - Bellingham &amp; Sayreville'!K151</f>
        <v>17354.198505628014</v>
      </c>
      <c r="K45" s="334">
        <f>+'NELP - Bellingham &amp; Sayreville'!L77+'NELP - Bellingham &amp; Sayreville'!L151</f>
        <v>16055.996511232059</v>
      </c>
      <c r="L45" s="334">
        <f>+'NELP - Bellingham &amp; Sayreville'!M77+'NELP - Bellingham &amp; Sayreville'!M151</f>
        <v>14929.776834049488</v>
      </c>
      <c r="M45" s="334">
        <f>+'NELP - Bellingham &amp; Sayreville'!N77+'NELP - Bellingham &amp; Sayreville'!N151</f>
        <v>19616.371684678088</v>
      </c>
      <c r="N45" s="334">
        <f>+'NELP - Bellingham &amp; Sayreville'!O77+'NELP - Bellingham &amp; Sayreville'!O151</f>
        <v>16135.780772425915</v>
      </c>
      <c r="O45" s="334">
        <f>+'NELP - Bellingham &amp; Sayreville'!P77+'NELP - Bellingham &amp; Sayreville'!P151</f>
        <v>26511.254594558719</v>
      </c>
      <c r="P45" s="334">
        <f>+'NELP - Bellingham &amp; Sayreville'!Q77+'NELP - Bellingham &amp; Sayreville'!Q151</f>
        <v>36692.113604659746</v>
      </c>
      <c r="Q45" s="334">
        <f>+'NELP - Bellingham &amp; Sayreville'!R77+'NELP - Bellingham &amp; Sayreville'!R151</f>
        <v>37850.777659527441</v>
      </c>
      <c r="R45" s="334">
        <f>+'NELP - Bellingham &amp; Sayreville'!S77+'NELP - Bellingham &amp; Sayreville'!S151</f>
        <v>47971.584245303275</v>
      </c>
      <c r="S45" s="334">
        <f>+'NELP - Bellingham &amp; Sayreville'!T77+'NELP - Bellingham &amp; Sayreville'!T151</f>
        <v>53337.208878400546</v>
      </c>
      <c r="T45" s="334">
        <f>+'NELP - Bellingham &amp; Sayreville'!U77+'NELP - Bellingham &amp; Sayreville'!U151</f>
        <v>48974.046972531287</v>
      </c>
      <c r="U45" s="334">
        <f>+'NELP - Bellingham &amp; Sayreville'!V77+'NELP - Bellingham &amp; Sayreville'!V151</f>
        <v>39337.354825119866</v>
      </c>
      <c r="V45" s="334">
        <f>+'NELP - Bellingham &amp; Sayreville'!W77+'NELP - Bellingham &amp; Sayreville'!W151</f>
        <v>42151.873200667702</v>
      </c>
      <c r="W45" s="334">
        <f>+'NELP - Bellingham &amp; Sayreville'!X77+'NELP - Bellingham &amp; Sayreville'!X151</f>
        <v>44215.480828865577</v>
      </c>
      <c r="X45" s="334">
        <f>+'NELP - Bellingham &amp; Sayreville'!Y77+'NELP - Bellingham &amp; Sayreville'!Y151</f>
        <v>39231.41033331502</v>
      </c>
    </row>
    <row r="46" spans="2:24" s="334" customFormat="1">
      <c r="C46" s="334" t="s">
        <v>104</v>
      </c>
      <c r="E46" s="334">
        <f>+Cherokee!F77+Cherokee!F151</f>
        <v>2273.5024999999996</v>
      </c>
      <c r="F46" s="334">
        <f>+Cherokee!G77+Cherokee!G151</f>
        <v>3392.5161750000002</v>
      </c>
      <c r="G46" s="334">
        <f>+Cherokee!H77+Cherokee!H151</f>
        <v>3219.7892322500047</v>
      </c>
      <c r="H46" s="334">
        <f>+Cherokee!I77+Cherokee!I151</f>
        <v>4188.3298326574986</v>
      </c>
      <c r="I46" s="334">
        <f>+Cherokee!J77+Cherokee!J151</f>
        <v>3732.1463895460251</v>
      </c>
      <c r="J46" s="334">
        <f>+Cherokee!K77+Cherokee!K151</f>
        <v>4154.2475763793818</v>
      </c>
      <c r="K46" s="334">
        <f>+Cherokee!L77+Cherokee!L151</f>
        <v>5149.642334720681</v>
      </c>
      <c r="L46" s="334">
        <f>+Cherokee!M77+Cherokee!M151</f>
        <v>7761.3398824332135</v>
      </c>
      <c r="M46" s="334">
        <f>+Cherokee!N77+Cherokee!N151</f>
        <v>9685.3497221305424</v>
      </c>
      <c r="N46" s="334">
        <f>+Cherokee!O77+Cherokee!O151</f>
        <v>7644.6816498832741</v>
      </c>
      <c r="O46" s="334">
        <f>+Cherokee!P77+Cherokee!P151</f>
        <v>7325.3457641903715</v>
      </c>
      <c r="P46" s="334">
        <f>+Cherokee!Q77+Cherokee!Q151</f>
        <v>9903.3524752228877</v>
      </c>
      <c r="Q46" s="334">
        <f>+Cherokee!R77+Cherokee!R151</f>
        <v>9671.7125143485173</v>
      </c>
      <c r="R46" s="334">
        <f>+Cherokee!S77+Cherokee!S151</f>
        <v>10916.436943945295</v>
      </c>
      <c r="S46" s="334">
        <f>+Cherokee!T77+Cherokee!T151</f>
        <v>8709.5371675133047</v>
      </c>
      <c r="T46" s="334">
        <f>+Cherokee!U77+Cherokee!U151</f>
        <v>9447.0249400933481</v>
      </c>
      <c r="U46" s="334">
        <f>+Cherokee!V77+Cherokee!V151</f>
        <v>8790.9123790018766</v>
      </c>
      <c r="V46" s="334">
        <f>+Cherokee!W77+Cherokee!W151</f>
        <v>7585.2119748917839</v>
      </c>
      <c r="W46" s="334">
        <f>+Cherokee!X77+Cherokee!X151</f>
        <v>0</v>
      </c>
      <c r="X46" s="334">
        <f>+Cherokee!Y77+Cherokee!Y151</f>
        <v>0</v>
      </c>
    </row>
    <row r="47" spans="2:24" s="334" customFormat="1">
      <c r="E47" s="1148">
        <f t="shared" ref="E47:X47" si="7">SUM(E41:E46)</f>
        <v>154107.87136690767</v>
      </c>
      <c r="F47" s="1148">
        <f t="shared" si="7"/>
        <v>189295.51467185922</v>
      </c>
      <c r="G47" s="1148">
        <f t="shared" si="7"/>
        <v>166928.12652591951</v>
      </c>
      <c r="H47" s="1148">
        <f t="shared" si="7"/>
        <v>151366.06106690611</v>
      </c>
      <c r="I47" s="1148">
        <f t="shared" si="7"/>
        <v>137591.34094966252</v>
      </c>
      <c r="J47" s="1148">
        <f t="shared" si="7"/>
        <v>124486.91956581203</v>
      </c>
      <c r="K47" s="1148">
        <f t="shared" si="7"/>
        <v>90513.847307744451</v>
      </c>
      <c r="L47" s="1148">
        <f t="shared" si="7"/>
        <v>91225.393210694805</v>
      </c>
      <c r="M47" s="1148">
        <f t="shared" si="7"/>
        <v>86376.194930471072</v>
      </c>
      <c r="N47" s="1148">
        <f t="shared" si="7"/>
        <v>79642.532622658633</v>
      </c>
      <c r="O47" s="1148">
        <f t="shared" si="7"/>
        <v>89256.541617647934</v>
      </c>
      <c r="P47" s="1148">
        <f t="shared" si="7"/>
        <v>102282.43477371791</v>
      </c>
      <c r="Q47" s="1148">
        <f t="shared" si="7"/>
        <v>102276.53580899363</v>
      </c>
      <c r="R47" s="1148">
        <f t="shared" si="7"/>
        <v>113431.06348055665</v>
      </c>
      <c r="S47" s="1148">
        <f t="shared" si="7"/>
        <v>116005.0399792676</v>
      </c>
      <c r="T47" s="1148">
        <f t="shared" si="7"/>
        <v>114636.34107314731</v>
      </c>
      <c r="U47" s="1148">
        <f t="shared" si="7"/>
        <v>82644.271583305075</v>
      </c>
      <c r="V47" s="1148">
        <f t="shared" si="7"/>
        <v>79717.325874803282</v>
      </c>
      <c r="W47" s="1148">
        <f t="shared" si="7"/>
        <v>76604.806928806982</v>
      </c>
      <c r="X47" s="1148">
        <f t="shared" si="7"/>
        <v>68033.775009951554</v>
      </c>
    </row>
    <row r="48" spans="2:24" s="334" customFormat="1"/>
    <row r="49" spans="2:24" s="334" customFormat="1">
      <c r="B49" s="584" t="s">
        <v>127</v>
      </c>
      <c r="E49" s="334">
        <f>+E38+E47</f>
        <v>275912.79768105707</v>
      </c>
      <c r="F49" s="334">
        <f t="shared" ref="F49:X49" si="8">+F38+F47</f>
        <v>306092.948828661</v>
      </c>
      <c r="G49" s="334">
        <f t="shared" si="8"/>
        <v>279458.27993157663</v>
      </c>
      <c r="H49" s="334">
        <f t="shared" si="8"/>
        <v>272772.64227993391</v>
      </c>
      <c r="I49" s="334">
        <f t="shared" si="8"/>
        <v>261665.75459577274</v>
      </c>
      <c r="J49" s="334">
        <f t="shared" si="8"/>
        <v>252503.36402234941</v>
      </c>
      <c r="K49" s="334">
        <f t="shared" si="8"/>
        <v>227333.00969049532</v>
      </c>
      <c r="L49" s="334">
        <f t="shared" si="8"/>
        <v>220361.3089722828</v>
      </c>
      <c r="M49" s="334">
        <f t="shared" si="8"/>
        <v>210851.40027935655</v>
      </c>
      <c r="N49" s="334">
        <f t="shared" si="8"/>
        <v>223038.01168899122</v>
      </c>
      <c r="O49" s="334">
        <f t="shared" si="8"/>
        <v>231262.91440407612</v>
      </c>
      <c r="P49" s="334">
        <f t="shared" si="8"/>
        <v>246303.93644791748</v>
      </c>
      <c r="Q49" s="334">
        <f t="shared" si="8"/>
        <v>265842.71797903487</v>
      </c>
      <c r="R49" s="334">
        <f t="shared" si="8"/>
        <v>290449.36402477301</v>
      </c>
      <c r="S49" s="334">
        <f t="shared" si="8"/>
        <v>282158.0614231535</v>
      </c>
      <c r="T49" s="334">
        <f t="shared" si="8"/>
        <v>293041.55701160547</v>
      </c>
      <c r="U49" s="334">
        <f t="shared" si="8"/>
        <v>251337.19599849853</v>
      </c>
      <c r="V49" s="334">
        <f t="shared" si="8"/>
        <v>238195.27430007199</v>
      </c>
      <c r="W49" s="334">
        <f t="shared" si="8"/>
        <v>260429.63418721425</v>
      </c>
      <c r="X49" s="334">
        <f t="shared" si="8"/>
        <v>248686.78820115322</v>
      </c>
    </row>
    <row r="50" spans="2:24" s="334" customFormat="1">
      <c r="B50" s="334" t="s">
        <v>358</v>
      </c>
      <c r="E50" s="334">
        <f>+E26</f>
        <v>-85296.880503625754</v>
      </c>
      <c r="F50" s="334">
        <f t="shared" ref="F50:X50" si="9">+F26</f>
        <v>-83858.726415374404</v>
      </c>
      <c r="G50" s="334">
        <f t="shared" si="9"/>
        <v>-82801.694243836973</v>
      </c>
      <c r="H50" s="334">
        <f t="shared" si="9"/>
        <v>-81359.577871198999</v>
      </c>
      <c r="I50" s="334">
        <f t="shared" si="9"/>
        <v>-79621.928877992206</v>
      </c>
      <c r="J50" s="334">
        <f t="shared" si="9"/>
        <v>-77938.444189511647</v>
      </c>
      <c r="K50" s="334">
        <f t="shared" si="9"/>
        <v>-75707.748769275117</v>
      </c>
      <c r="L50" s="334">
        <f t="shared" si="9"/>
        <v>-73835.114922951077</v>
      </c>
      <c r="M50" s="334">
        <f t="shared" si="9"/>
        <v>-72045.420677606351</v>
      </c>
      <c r="N50" s="334">
        <f t="shared" si="9"/>
        <v>-69960.827494384837</v>
      </c>
      <c r="O50" s="334">
        <f t="shared" si="9"/>
        <v>-66891.936580087757</v>
      </c>
      <c r="P50" s="334">
        <f t="shared" si="9"/>
        <v>-63908.574112946808</v>
      </c>
      <c r="Q50" s="334">
        <f t="shared" si="9"/>
        <v>-60679.612727113832</v>
      </c>
      <c r="R50" s="334">
        <f t="shared" si="9"/>
        <v>-56162.797655476214</v>
      </c>
      <c r="S50" s="334">
        <f t="shared" si="9"/>
        <v>-50313.125010825883</v>
      </c>
      <c r="T50" s="334">
        <f t="shared" si="9"/>
        <v>-44168.314497006519</v>
      </c>
      <c r="U50" s="334">
        <f t="shared" si="9"/>
        <v>-37073.885032719743</v>
      </c>
      <c r="V50" s="334">
        <f t="shared" si="9"/>
        <v>-30958.207325252442</v>
      </c>
      <c r="W50" s="334">
        <f t="shared" si="9"/>
        <v>-24440.403970441093</v>
      </c>
      <c r="X50" s="334">
        <f t="shared" si="9"/>
        <v>-16437.342664244024</v>
      </c>
    </row>
    <row r="51" spans="2:24" s="334" customFormat="1">
      <c r="B51" s="334" t="s">
        <v>198</v>
      </c>
      <c r="E51" s="345">
        <f>-FPLE_Debt!E24-FPLE_Debt!E61</f>
        <v>-26308.733771916821</v>
      </c>
      <c r="F51" s="334">
        <f>-FPLE_Debt!F24-FPLE_Debt!F61</f>
        <v>-19546.035172496886</v>
      </c>
      <c r="G51" s="334">
        <f>-FPLE_Debt!G24-FPLE_Debt!G61</f>
        <v>-26879.759685357487</v>
      </c>
      <c r="H51" s="334">
        <f>-FPLE_Debt!H24-FPLE_Debt!H61</f>
        <v>-32457.57207807443</v>
      </c>
      <c r="I51" s="334">
        <f>-FPLE_Debt!I24-FPLE_Debt!I61</f>
        <v>-31172.075086576304</v>
      </c>
      <c r="J51" s="334">
        <f>-FPLE_Debt!J24-FPLE_Debt!J61</f>
        <v>-41030.000264671158</v>
      </c>
      <c r="K51" s="334">
        <f>-FPLE_Debt!K24-FPLE_Debt!K61</f>
        <v>-33673.718218738832</v>
      </c>
      <c r="L51" s="334">
        <f>-FPLE_Debt!L24-FPLE_Debt!L61</f>
        <v>-32322.855383323193</v>
      </c>
      <c r="M51" s="334">
        <f>-FPLE_Debt!M24-FPLE_Debt!M61</f>
        <v>-37962.645840348101</v>
      </c>
      <c r="N51" s="334">
        <f>-FPLE_Debt!N24-FPLE_Debt!N61</f>
        <v>-55178.386116255111</v>
      </c>
      <c r="O51" s="334">
        <f>-FPLE_Debt!O24-FPLE_Debt!O61</f>
        <v>-54207.358678886405</v>
      </c>
      <c r="P51" s="334">
        <f>-FPLE_Debt!P24-FPLE_Debt!P61</f>
        <v>-58525.144547780408</v>
      </c>
      <c r="Q51" s="334">
        <f>-FPLE_Debt!Q24-FPLE_Debt!Q61</f>
        <v>-80484.685402953008</v>
      </c>
      <c r="R51" s="334">
        <f>-FPLE_Debt!R24-FPLE_Debt!R61</f>
        <v>-104241.0956588329</v>
      </c>
      <c r="S51" s="334">
        <f>-FPLE_Debt!S24-FPLE_Debt!S61</f>
        <v>-109854.39035405809</v>
      </c>
      <c r="T51" s="334">
        <f>-FPLE_Debt!T24-FPLE_Debt!T61</f>
        <v>-126426.54111023343</v>
      </c>
      <c r="U51" s="334">
        <f>-FPLE_Debt!U24-FPLE_Debt!U61</f>
        <v>-108098.27811332114</v>
      </c>
      <c r="V51" s="334">
        <f>-FPLE_Debt!V24-FPLE_Debt!V61</f>
        <v>-115587.99254662835</v>
      </c>
      <c r="W51" s="334">
        <f>-FPLE_Debt!W24-FPLE_Debt!W61</f>
        <v>-141304.60657605389</v>
      </c>
      <c r="X51" s="334">
        <f>-FPLE_Debt!X24-FPLE_Debt!X61</f>
        <v>-144338.45053764374</v>
      </c>
    </row>
    <row r="52" spans="2:24" s="334" customFormat="1">
      <c r="B52" s="584" t="s">
        <v>199</v>
      </c>
      <c r="C52" s="584"/>
      <c r="D52" s="584"/>
      <c r="E52" s="1183">
        <f t="shared" ref="E52:X52" si="10">SUM(E49:E51)</f>
        <v>164307.18340551449</v>
      </c>
      <c r="F52" s="1182">
        <f t="shared" si="10"/>
        <v>202688.1872407897</v>
      </c>
      <c r="G52" s="1182">
        <f t="shared" si="10"/>
        <v>169776.82600238218</v>
      </c>
      <c r="H52" s="1182">
        <f t="shared" si="10"/>
        <v>158955.49233066046</v>
      </c>
      <c r="I52" s="1182">
        <f t="shared" si="10"/>
        <v>150871.75063120422</v>
      </c>
      <c r="J52" s="1182">
        <f t="shared" si="10"/>
        <v>133534.9195681666</v>
      </c>
      <c r="K52" s="1182">
        <f t="shared" si="10"/>
        <v>117951.54270248138</v>
      </c>
      <c r="L52" s="1182">
        <f t="shared" si="10"/>
        <v>114203.33866600852</v>
      </c>
      <c r="M52" s="1182">
        <f t="shared" si="10"/>
        <v>100843.33376140211</v>
      </c>
      <c r="N52" s="1182">
        <f t="shared" si="10"/>
        <v>97898.798078351276</v>
      </c>
      <c r="O52" s="1182">
        <f t="shared" si="10"/>
        <v>110163.61914510195</v>
      </c>
      <c r="P52" s="1182">
        <f t="shared" si="10"/>
        <v>123870.21778719027</v>
      </c>
      <c r="Q52" s="1182">
        <f t="shared" si="10"/>
        <v>124678.41984896804</v>
      </c>
      <c r="R52" s="1182">
        <f t="shared" si="10"/>
        <v>130045.47071046391</v>
      </c>
      <c r="S52" s="1182">
        <f t="shared" si="10"/>
        <v>121990.54605826954</v>
      </c>
      <c r="T52" s="1182">
        <f t="shared" si="10"/>
        <v>122446.70140436551</v>
      </c>
      <c r="U52" s="1182">
        <f t="shared" si="10"/>
        <v>106165.03285245763</v>
      </c>
      <c r="V52" s="1182">
        <f t="shared" si="10"/>
        <v>91649.074428191205</v>
      </c>
      <c r="W52" s="1182">
        <f t="shared" si="10"/>
        <v>94684.623640719277</v>
      </c>
      <c r="X52" s="1182">
        <f t="shared" si="10"/>
        <v>87910.994999265444</v>
      </c>
    </row>
    <row r="53" spans="2:24">
      <c r="E53" s="334"/>
    </row>
    <row r="55" spans="2:24" s="299" customFormat="1" ht="15.75">
      <c r="B55" s="737" t="s">
        <v>23</v>
      </c>
      <c r="C55" s="1159"/>
      <c r="F55" s="562"/>
      <c r="G55" s="562"/>
      <c r="H55" s="562"/>
      <c r="I55" s="562"/>
      <c r="J55" s="562"/>
      <c r="K55" s="562"/>
      <c r="L55" s="562"/>
      <c r="M55" s="562"/>
      <c r="N55" s="562"/>
      <c r="O55" s="562"/>
      <c r="P55" s="562"/>
      <c r="R55" s="562"/>
    </row>
    <row r="56" spans="2:24" s="565" customFormat="1" ht="13.5" thickBot="1">
      <c r="E56" s="1158">
        <v>2001</v>
      </c>
      <c r="F56" s="1158">
        <f>+E56+1</f>
        <v>2002</v>
      </c>
      <c r="G56" s="1158">
        <f t="shared" ref="G56:X56" si="11">+F56+1</f>
        <v>2003</v>
      </c>
      <c r="H56" s="1158">
        <f t="shared" si="11"/>
        <v>2004</v>
      </c>
      <c r="I56" s="1158">
        <f t="shared" si="11"/>
        <v>2005</v>
      </c>
      <c r="J56" s="1158">
        <f t="shared" si="11"/>
        <v>2006</v>
      </c>
      <c r="K56" s="1158">
        <f t="shared" si="11"/>
        <v>2007</v>
      </c>
      <c r="L56" s="1158">
        <f t="shared" si="11"/>
        <v>2008</v>
      </c>
      <c r="M56" s="1158">
        <f t="shared" si="11"/>
        <v>2009</v>
      </c>
      <c r="N56" s="1158">
        <f t="shared" si="11"/>
        <v>2010</v>
      </c>
      <c r="O56" s="1158">
        <f t="shared" si="11"/>
        <v>2011</v>
      </c>
      <c r="P56" s="1158">
        <f t="shared" si="11"/>
        <v>2012</v>
      </c>
      <c r="Q56" s="1158">
        <f t="shared" si="11"/>
        <v>2013</v>
      </c>
      <c r="R56" s="1158">
        <f t="shared" si="11"/>
        <v>2014</v>
      </c>
      <c r="S56" s="1158">
        <f t="shared" si="11"/>
        <v>2015</v>
      </c>
      <c r="T56" s="1158">
        <f t="shared" si="11"/>
        <v>2016</v>
      </c>
      <c r="U56" s="1158">
        <f t="shared" si="11"/>
        <v>2017</v>
      </c>
      <c r="V56" s="1158">
        <f t="shared" si="11"/>
        <v>2018</v>
      </c>
      <c r="W56" s="1158">
        <f t="shared" si="11"/>
        <v>2019</v>
      </c>
      <c r="X56" s="1158">
        <f t="shared" si="11"/>
        <v>2020</v>
      </c>
    </row>
    <row r="57" spans="2:24" s="1042" customFormat="1">
      <c r="F57" s="1142"/>
      <c r="G57" s="1142"/>
      <c r="H57" s="1142"/>
      <c r="I57" s="1142"/>
      <c r="J57" s="1142"/>
      <c r="K57" s="1142"/>
      <c r="L57" s="1142"/>
      <c r="M57" s="1142"/>
      <c r="N57" s="1142"/>
      <c r="O57" s="1142"/>
      <c r="P57" s="1142"/>
    </row>
    <row r="58" spans="2:24">
      <c r="B58" s="571" t="s">
        <v>96</v>
      </c>
    </row>
    <row r="59" spans="2:24" s="334" customFormat="1">
      <c r="C59" s="334" t="s">
        <v>114</v>
      </c>
      <c r="E59" s="334">
        <f>+'Maine Hydro'!F39</f>
        <v>58138.62126540106</v>
      </c>
      <c r="F59" s="334">
        <f>+'Maine Hydro'!G39</f>
        <v>51762.755766959963</v>
      </c>
      <c r="G59" s="334">
        <f>+'Maine Hydro'!H39</f>
        <v>50005.012238927193</v>
      </c>
      <c r="H59" s="334">
        <f>+'Maine Hydro'!I39</f>
        <v>51535.128688043565</v>
      </c>
      <c r="I59" s="334">
        <f>+'Maine Hydro'!J39</f>
        <v>54158.005851558191</v>
      </c>
      <c r="J59" s="334">
        <f>+'Maine Hydro'!K39</f>
        <v>56791.630941407144</v>
      </c>
      <c r="K59" s="334">
        <f>+'Maine Hydro'!L39</f>
        <v>59410.947576428414</v>
      </c>
      <c r="L59" s="334">
        <f>+'Maine Hydro'!M39</f>
        <v>62025.000268964643</v>
      </c>
      <c r="M59" s="334">
        <f>+'Maine Hydro'!N39</f>
        <v>64629.239415101867</v>
      </c>
      <c r="N59" s="334">
        <f>+'Maine Hydro'!O39</f>
        <v>67223.630423545386</v>
      </c>
      <c r="O59" s="334">
        <f>+'Maine Hydro'!P39</f>
        <v>70123.061255215522</v>
      </c>
      <c r="P59" s="334">
        <f>+'Maine Hydro'!Q39</f>
        <v>73012.555877394247</v>
      </c>
      <c r="Q59" s="334">
        <f>+'Maine Hydro'!R39</f>
        <v>75892.06080060589</v>
      </c>
      <c r="R59" s="334">
        <f>+'Maine Hydro'!S39</f>
        <v>78761.516220183825</v>
      </c>
      <c r="S59" s="334">
        <f>+'Maine Hydro'!T39</f>
        <v>81604.63091973291</v>
      </c>
      <c r="T59" s="334">
        <f>+'Maine Hydro'!U39</f>
        <v>84033.217388771474</v>
      </c>
      <c r="U59" s="334">
        <f>+'Maine Hydro'!V39</f>
        <v>86451.136853966018</v>
      </c>
      <c r="V59" s="334">
        <f>+'Maine Hydro'!W39</f>
        <v>88858.273027172938</v>
      </c>
      <c r="W59" s="334">
        <f>+'Maine Hydro'!X39</f>
        <v>91254.502765387457</v>
      </c>
      <c r="X59" s="334">
        <f>+'Maine Hydro'!Y39</f>
        <v>93639.696002998156</v>
      </c>
    </row>
    <row r="60" spans="2:24" s="334" customFormat="1">
      <c r="C60" s="334" t="s">
        <v>118</v>
      </c>
      <c r="E60" s="334">
        <f>+'Maine Thermal'!F39</f>
        <v>29178.676753719599</v>
      </c>
      <c r="F60" s="334">
        <f>+'Maine Thermal'!G39</f>
        <v>24862.619750085505</v>
      </c>
      <c r="G60" s="334">
        <f>+'Maine Thermal'!H39</f>
        <v>20166.24957169265</v>
      </c>
      <c r="H60" s="334">
        <f>+'Maine Thermal'!I39</f>
        <v>21362.503013513255</v>
      </c>
      <c r="I60" s="334">
        <f>+'Maine Thermal'!J39</f>
        <v>21478.581701869844</v>
      </c>
      <c r="J60" s="334">
        <f>+'Maine Thermal'!K39</f>
        <v>24833.067052400103</v>
      </c>
      <c r="K60" s="334">
        <f>+'Maine Thermal'!L39</f>
        <v>25602.977604680797</v>
      </c>
      <c r="L60" s="334">
        <f>+'Maine Thermal'!M39</f>
        <v>29814.790546233708</v>
      </c>
      <c r="M60" s="334">
        <f>+'Maine Thermal'!N39</f>
        <v>31586.214097370248</v>
      </c>
      <c r="N60" s="334">
        <f>+'Maine Thermal'!O39</f>
        <v>33372.675957734551</v>
      </c>
      <c r="O60" s="334">
        <f>+'Maine Thermal'!P39</f>
        <v>41704.975455745924</v>
      </c>
      <c r="P60" s="334">
        <f>+'Maine Thermal'!Q39</f>
        <v>46468.239947878421</v>
      </c>
      <c r="Q60" s="334">
        <f>+'Maine Thermal'!R39</f>
        <v>50931.109426157767</v>
      </c>
      <c r="R60" s="334">
        <f>+'Maine Thermal'!S39</f>
        <v>57729.710163287076</v>
      </c>
      <c r="S60" s="334">
        <f>+'Maine Thermal'!T39</f>
        <v>65331.367828610702</v>
      </c>
      <c r="T60" s="334">
        <f>+'Maine Thermal'!U39</f>
        <v>65377.983084196749</v>
      </c>
      <c r="U60" s="334">
        <f>+'Maine Thermal'!V39</f>
        <v>62719.940075615261</v>
      </c>
      <c r="V60" s="334">
        <f>+'Maine Thermal'!W39</f>
        <v>64652.177876903559</v>
      </c>
      <c r="W60" s="334">
        <f>+'Maine Thermal'!X39</f>
        <v>64088.990507456881</v>
      </c>
      <c r="X60" s="334">
        <f>+'Maine Thermal'!Y39</f>
        <v>62213.351998384489</v>
      </c>
    </row>
    <row r="61" spans="2:24" s="334" customFormat="1">
      <c r="C61" s="334" t="s">
        <v>97</v>
      </c>
      <c r="E61" s="334">
        <f>+Lamar!F39*Lamar!$C$60</f>
        <v>79219.635717516474</v>
      </c>
      <c r="F61" s="334">
        <f>+Lamar!G39*Lamar!$C$60</f>
        <v>59545.786600007101</v>
      </c>
      <c r="G61" s="334">
        <f>+Lamar!H39*Lamar!$C$60</f>
        <v>62301.634127382022</v>
      </c>
      <c r="H61" s="334">
        <f>+Lamar!I39*Lamar!$C$60</f>
        <v>75835.424273666038</v>
      </c>
      <c r="I61" s="334">
        <f>+Lamar!J39*Lamar!$C$60</f>
        <v>78780.499738258499</v>
      </c>
      <c r="J61" s="334">
        <f>+Lamar!K39*Lamar!$C$60</f>
        <v>81319.079291731847</v>
      </c>
      <c r="K61" s="334">
        <f>+Lamar!L39*Lamar!$C$60</f>
        <v>94121.88788379317</v>
      </c>
      <c r="L61" s="334">
        <f>+Lamar!M39*Lamar!$C$60</f>
        <v>77586.408800231162</v>
      </c>
      <c r="M61" s="334">
        <f>+Lamar!N39*Lamar!$C$60</f>
        <v>66955.844173681267</v>
      </c>
      <c r="N61" s="334">
        <f>+Lamar!O39*Lamar!$C$60</f>
        <v>91753.141331162085</v>
      </c>
      <c r="O61" s="334">
        <f>+Lamar!P39*Lamar!$C$60</f>
        <v>79537.236945056706</v>
      </c>
      <c r="P61" s="334">
        <f>+Lamar!Q39*Lamar!$C$60</f>
        <v>75496.875389930312</v>
      </c>
      <c r="Q61" s="334">
        <f>+Lamar!R39*Lamar!$C$60</f>
        <v>98648.39716684322</v>
      </c>
      <c r="R61" s="334">
        <f>+Lamar!S39*Lamar!$C$60</f>
        <v>112761.6518088857</v>
      </c>
      <c r="S61" s="334">
        <f>+Lamar!T39*Lamar!$C$60</f>
        <v>87113.34669225516</v>
      </c>
      <c r="T61" s="334">
        <f>+Lamar!U39*Lamar!$C$60</f>
        <v>103546.37629536253</v>
      </c>
      <c r="U61" s="334">
        <f>+Lamar!V39*Lamar!$C$60</f>
        <v>88499.63967902174</v>
      </c>
      <c r="V61" s="334">
        <f>+Lamar!W39*Lamar!$C$60</f>
        <v>69087.218685676533</v>
      </c>
      <c r="W61" s="334">
        <f>+Lamar!X39*Lamar!$C$60</f>
        <v>109091.39342804738</v>
      </c>
      <c r="X61" s="334">
        <f>+Lamar!Y39*Lamar!$C$60</f>
        <v>103983.96519271479</v>
      </c>
    </row>
    <row r="62" spans="2:24" s="334" customFormat="1">
      <c r="C62" s="334" t="s">
        <v>98</v>
      </c>
      <c r="E62" s="334">
        <f>+'Marcus Hook 50'!F39</f>
        <v>3912.3900000000003</v>
      </c>
      <c r="F62" s="334">
        <f>+'Marcus Hook 50'!G39</f>
        <v>2842.7016999999996</v>
      </c>
      <c r="G62" s="334">
        <f>+'Marcus Hook 50'!H39</f>
        <v>2741.9327510000003</v>
      </c>
      <c r="H62" s="334">
        <f>+'Marcus Hook 50'!I39</f>
        <v>3437.0807335300005</v>
      </c>
      <c r="I62" s="334">
        <f>+'Marcus Hook 50'!J39</f>
        <v>4585.1431555359004</v>
      </c>
      <c r="J62" s="334">
        <f>+'Marcus Hook 50'!K39</f>
        <v>4593.1174502019767</v>
      </c>
      <c r="K62" s="334">
        <f>+'Marcus Hook 50'!L39</f>
        <v>4694.0009737080363</v>
      </c>
      <c r="L62" s="334">
        <f>+'Marcus Hook 50'!M39</f>
        <v>5414.7910029192772</v>
      </c>
      <c r="M62" s="334">
        <f>+'Marcus Hook 50'!N39</f>
        <v>5515.484733006856</v>
      </c>
      <c r="N62" s="334">
        <f>+'Marcus Hook 50'!O39</f>
        <v>5676.0792749970615</v>
      </c>
      <c r="O62" s="334">
        <f>+'Marcus Hook 50'!P39</f>
        <v>5544.5716532469733</v>
      </c>
      <c r="P62" s="334">
        <f>+'Marcus Hook 50'!Q39</f>
        <v>5745.9588028443832</v>
      </c>
      <c r="Q62" s="334">
        <f>+'Marcus Hook 50'!R39</f>
        <v>5823.2375669297135</v>
      </c>
      <c r="R62" s="334">
        <f>+'Marcus Hook 50'!S39</f>
        <v>2466.4046939376053</v>
      </c>
      <c r="S62" s="334">
        <f>+'Marcus Hook 50'!T39</f>
        <v>2536.4568347557333</v>
      </c>
      <c r="T62" s="334">
        <f>+'Marcus Hook 50'!U39</f>
        <v>2607.3905397984054</v>
      </c>
      <c r="U62" s="334">
        <f>+'Marcus Hook 50'!V39</f>
        <v>2678.2022559923575</v>
      </c>
      <c r="V62" s="334">
        <f>+'Marcus Hook 50'!W39</f>
        <v>2753.8883236721285</v>
      </c>
      <c r="W62" s="334">
        <f>+'Marcus Hook 50'!X39</f>
        <v>0</v>
      </c>
      <c r="X62" s="334">
        <f>+'Marcus Hook 50'!Y39</f>
        <v>0</v>
      </c>
    </row>
    <row r="63" spans="2:24" s="334" customFormat="1">
      <c r="E63" s="1148">
        <f>SUM(E59:E62)</f>
        <v>170449.32373663713</v>
      </c>
      <c r="F63" s="1148">
        <f t="shared" ref="F63:X63" si="12">SUM(F59:F62)</f>
        <v>139013.86381705257</v>
      </c>
      <c r="G63" s="1148">
        <f t="shared" si="12"/>
        <v>135214.82868900185</v>
      </c>
      <c r="H63" s="1148">
        <f t="shared" si="12"/>
        <v>152170.13670875283</v>
      </c>
      <c r="I63" s="1148">
        <f t="shared" si="12"/>
        <v>159002.23044722242</v>
      </c>
      <c r="J63" s="1148">
        <f t="shared" si="12"/>
        <v>167536.89473574105</v>
      </c>
      <c r="K63" s="1148">
        <f t="shared" si="12"/>
        <v>183829.81403861041</v>
      </c>
      <c r="L63" s="1148">
        <f t="shared" si="12"/>
        <v>174840.99061834879</v>
      </c>
      <c r="M63" s="1148">
        <f t="shared" si="12"/>
        <v>168686.78241916024</v>
      </c>
      <c r="N63" s="1148">
        <f t="shared" si="12"/>
        <v>198025.52698743908</v>
      </c>
      <c r="O63" s="1148">
        <f t="shared" si="12"/>
        <v>196909.8453092651</v>
      </c>
      <c r="P63" s="1148">
        <f t="shared" si="12"/>
        <v>200723.63001804735</v>
      </c>
      <c r="Q63" s="1148">
        <f t="shared" si="12"/>
        <v>231294.8049605366</v>
      </c>
      <c r="R63" s="1148">
        <f t="shared" si="12"/>
        <v>251719.28288629421</v>
      </c>
      <c r="S63" s="1148">
        <f t="shared" si="12"/>
        <v>236585.80227535451</v>
      </c>
      <c r="T63" s="1148">
        <f t="shared" si="12"/>
        <v>255564.96730812918</v>
      </c>
      <c r="U63" s="1148">
        <f t="shared" si="12"/>
        <v>240348.91886459538</v>
      </c>
      <c r="V63" s="1148">
        <f t="shared" si="12"/>
        <v>225351.55791342515</v>
      </c>
      <c r="W63" s="1148">
        <f t="shared" si="12"/>
        <v>264434.88670089172</v>
      </c>
      <c r="X63" s="1148">
        <f t="shared" si="12"/>
        <v>259837.01319409744</v>
      </c>
    </row>
    <row r="64" spans="2:24" s="334" customFormat="1"/>
    <row r="65" spans="2:24" s="334" customFormat="1">
      <c r="B65" s="582" t="s">
        <v>99</v>
      </c>
    </row>
    <row r="66" spans="2:24" s="334" customFormat="1">
      <c r="C66" s="334" t="s">
        <v>100</v>
      </c>
      <c r="E66" s="334">
        <f>+Doswell!F39</f>
        <v>70837.736711049365</v>
      </c>
      <c r="F66" s="334">
        <f>+Doswell!G39</f>
        <v>72701.670279410129</v>
      </c>
      <c r="G66" s="334">
        <f>+Doswell!H39</f>
        <v>74963.995503503131</v>
      </c>
      <c r="H66" s="334">
        <f>+Doswell!I39</f>
        <v>78538.340986849667</v>
      </c>
      <c r="I66" s="334">
        <f>+Doswell!J39</f>
        <v>71727.088930254016</v>
      </c>
      <c r="J66" s="334">
        <f>+Doswell!K39</f>
        <v>71691.984225095046</v>
      </c>
      <c r="K66" s="334">
        <f>+Doswell!L39</f>
        <v>36415.730360388523</v>
      </c>
      <c r="L66" s="334">
        <f>+Doswell!M39</f>
        <v>35980.405473670515</v>
      </c>
      <c r="M66" s="334">
        <f>+Doswell!N39</f>
        <v>35539.617966747421</v>
      </c>
      <c r="N66" s="334">
        <f>+Doswell!O39</f>
        <v>35087.986001101017</v>
      </c>
      <c r="O66" s="334">
        <f>+Doswell!P39</f>
        <v>34621.01074887118</v>
      </c>
      <c r="P66" s="334">
        <f>+Doswell!Q39</f>
        <v>34142.979661372665</v>
      </c>
      <c r="Q66" s="334">
        <f>+Doswell!R39</f>
        <v>33654.618897879991</v>
      </c>
      <c r="R66" s="334">
        <f>+Doswell!S39</f>
        <v>33154.74181785954</v>
      </c>
      <c r="S66" s="334">
        <f>+Doswell!T39</f>
        <v>32641.965954449945</v>
      </c>
      <c r="T66" s="334">
        <f>+Doswell!U39</f>
        <v>32115.85406574521</v>
      </c>
      <c r="U66" s="334">
        <f>+Doswell!V39</f>
        <v>237.02575308491214</v>
      </c>
      <c r="V66" s="334">
        <f>+Doswell!W39</f>
        <v>0</v>
      </c>
      <c r="W66" s="334">
        <f>+Doswell!X39</f>
        <v>0</v>
      </c>
      <c r="X66" s="334">
        <f>+Doswell!Y39</f>
        <v>0</v>
      </c>
    </row>
    <row r="67" spans="2:24" s="334" customFormat="1">
      <c r="C67" s="334" t="s">
        <v>115</v>
      </c>
      <c r="E67" s="334">
        <f>+'Doswell CT'!F39</f>
        <v>4992.9697720642707</v>
      </c>
      <c r="F67" s="334">
        <f>+'Doswell CT'!G39</f>
        <v>8466.43786136581</v>
      </c>
      <c r="G67" s="334">
        <f>+'Doswell CT'!H39</f>
        <v>8433.7712302919626</v>
      </c>
      <c r="H67" s="334">
        <f>+'Doswell CT'!I39</f>
        <v>8296.6102379742606</v>
      </c>
      <c r="I67" s="334">
        <f>+'Doswell CT'!J39</f>
        <v>8117.7030254151268</v>
      </c>
      <c r="J67" s="334">
        <f>+'Doswell CT'!K39</f>
        <v>12369.179117747926</v>
      </c>
      <c r="K67" s="334">
        <f>+'Doswell CT'!L39</f>
        <v>13045.953153035034</v>
      </c>
      <c r="L67" s="334">
        <f>+'Doswell CT'!M39</f>
        <v>12879.791446147439</v>
      </c>
      <c r="M67" s="334">
        <f>+'Doswell CT'!N39</f>
        <v>10834.880025013736</v>
      </c>
      <c r="N67" s="334">
        <f>+'Doswell CT'!O39</f>
        <v>14426.529475205081</v>
      </c>
      <c r="O67" s="334">
        <f>+'Doswell CT'!P39</f>
        <v>14751.342221753566</v>
      </c>
      <c r="P67" s="334">
        <f>+'Doswell CT'!Q39</f>
        <v>15150.540519350376</v>
      </c>
      <c r="Q67" s="334">
        <f>+'Doswell CT'!R39</f>
        <v>15348.359476813395</v>
      </c>
      <c r="R67" s="334">
        <f>+'Doswell CT'!S39</f>
        <v>15960.614411353959</v>
      </c>
      <c r="S67" s="334">
        <f>+'Doswell CT'!T39</f>
        <v>16736.77825500214</v>
      </c>
      <c r="T67" s="334">
        <f>+'Doswell CT'!U39</f>
        <v>15906.547620171441</v>
      </c>
      <c r="U67" s="334">
        <f>+'Doswell CT'!V39</f>
        <v>12833.405961492113</v>
      </c>
      <c r="V67" s="334">
        <f>+'Doswell CT'!W39</f>
        <v>16714.462221352376</v>
      </c>
      <c r="W67" s="334">
        <f>+'Doswell CT'!X39</f>
        <v>16742.705514962145</v>
      </c>
      <c r="X67" s="334">
        <f>+'Doswell CT'!Y39</f>
        <v>16872.488352970107</v>
      </c>
    </row>
    <row r="68" spans="2:24" s="334" customFormat="1">
      <c r="C68" s="334" t="s">
        <v>101</v>
      </c>
      <c r="E68" s="334">
        <f>'FPLE_Wind Annual Summary'!F13+'FPLE_Wind Annual Summary'!F25*0.5+'FPLE_Wind Annual Summary'!F36*0.5</f>
        <v>37015.06802303595</v>
      </c>
      <c r="F68" s="334">
        <f>'FPLE_Wind Annual Summary'!G13+'FPLE_Wind Annual Summary'!G25*0.5+'FPLE_Wind Annual Summary'!G36*0.5</f>
        <v>29147.719794493998</v>
      </c>
      <c r="G68" s="334">
        <f>'FPLE_Wind Annual Summary'!H13+'FPLE_Wind Annual Summary'!H25*0.5+'FPLE_Wind Annual Summary'!H36*0.5</f>
        <v>29933.870663444806</v>
      </c>
      <c r="H68" s="334">
        <f>'FPLE_Wind Annual Summary'!I13+'FPLE_Wind Annual Summary'!I25*0.5+'FPLE_Wind Annual Summary'!I36*0.5</f>
        <v>30268.932857572589</v>
      </c>
      <c r="I68" s="334">
        <f>'FPLE_Wind Annual Summary'!J13+'FPLE_Wind Annual Summary'!J25*0.5+'FPLE_Wind Annual Summary'!J36*0.5</f>
        <v>32344.259936734888</v>
      </c>
      <c r="J68" s="334">
        <f>'FPLE_Wind Annual Summary'!K13+'FPLE_Wind Annual Summary'!K25*0.5+'FPLE_Wind Annual Summary'!K36*0.5</f>
        <v>33243.204342567464</v>
      </c>
      <c r="K68" s="334">
        <f>'FPLE_Wind Annual Summary'!L13+'FPLE_Wind Annual Summary'!L25*0.5+'FPLE_Wind Annual Summary'!L36*0.5</f>
        <v>34002.187388455328</v>
      </c>
      <c r="L68" s="334">
        <f>'FPLE_Wind Annual Summary'!M13+'FPLE_Wind Annual Summary'!M25*0.5+'FPLE_Wind Annual Summary'!M36*0.5</f>
        <v>34526.232958958222</v>
      </c>
      <c r="M68" s="334">
        <f>'FPLE_Wind Annual Summary'!N13+'FPLE_Wind Annual Summary'!N25*0.5+'FPLE_Wind Annual Summary'!N36*0.5</f>
        <v>34823.03175595653</v>
      </c>
      <c r="N68" s="334">
        <f>'FPLE_Wind Annual Summary'!O13+'FPLE_Wind Annual Summary'!O25*0.5+'FPLE_Wind Annual Summary'!O36*0.5</f>
        <v>35348.185699289636</v>
      </c>
      <c r="O68" s="334">
        <f>'FPLE_Wind Annual Summary'!P13+'FPLE_Wind Annual Summary'!P25*0.5+'FPLE_Wind Annual Summary'!P36*0.5</f>
        <v>35387.433080478331</v>
      </c>
      <c r="P68" s="334">
        <f>'FPLE_Wind Annual Summary'!Q13+'FPLE_Wind Annual Summary'!Q25*0.5+'FPLE_Wind Annual Summary'!Q36*0.5</f>
        <v>35968.846377643393</v>
      </c>
      <c r="Q68" s="334">
        <f>'FPLE_Wind Annual Summary'!R13+'FPLE_Wind Annual Summary'!R25*0.5+'FPLE_Wind Annual Summary'!R36*0.5</f>
        <v>35997.914744326081</v>
      </c>
      <c r="R68" s="334">
        <f>'FPLE_Wind Annual Summary'!S13+'FPLE_Wind Annual Summary'!S25*0.5+'FPLE_Wind Annual Summary'!S36*0.5</f>
        <v>33941.918707817124</v>
      </c>
      <c r="S68" s="334">
        <f>'FPLE_Wind Annual Summary'!T13+'FPLE_Wind Annual Summary'!T25*0.5+'FPLE_Wind Annual Summary'!T36*0.5</f>
        <v>31372.816888851903</v>
      </c>
      <c r="T68" s="334">
        <f>'FPLE_Wind Annual Summary'!U13+'FPLE_Wind Annual Summary'!U25*0.5+'FPLE_Wind Annual Summary'!U36*0.5</f>
        <v>29822.945075878157</v>
      </c>
      <c r="U68" s="334">
        <f>'FPLE_Wind Annual Summary'!V13+'FPLE_Wind Annual Summary'!V25*0.5+'FPLE_Wind Annual Summary'!V36*0.5</f>
        <v>28838.923599415204</v>
      </c>
      <c r="V68" s="334">
        <f>'FPLE_Wind Annual Summary'!W13+'FPLE_Wind Annual Summary'!W25*0.5+'FPLE_Wind Annual Summary'!W36*0.5</f>
        <v>27946.120894638825</v>
      </c>
      <c r="W68" s="334">
        <f>'FPLE_Wind Annual Summary'!X13+'FPLE_Wind Annual Summary'!X25*0.5+'FPLE_Wind Annual Summary'!X36*0.5</f>
        <v>20644.944425831716</v>
      </c>
      <c r="X68" s="334">
        <f>'FPLE_Wind Annual Summary'!Y13+'FPLE_Wind Annual Summary'!Y25*0.5+'FPLE_Wind Annual Summary'!Y36*0.5</f>
        <v>14685.366648632273</v>
      </c>
    </row>
    <row r="69" spans="2:24" s="334" customFormat="1">
      <c r="C69" s="334" t="s">
        <v>102</v>
      </c>
      <c r="E69" s="334">
        <f>+'Segs VIII'!F39*'Segs VIII'!$C$60+'Segs IX'!F39*'Segs IX'!$C$60</f>
        <v>15341</v>
      </c>
      <c r="F69" s="334">
        <f>+'Segs VIII'!G39*'Segs VIII'!$C$60+'Segs IX'!G39*'Segs IX'!$C$60</f>
        <v>14586.5</v>
      </c>
      <c r="G69" s="334">
        <f>+'Segs VIII'!H39*'Segs VIII'!$C$60+'Segs IX'!H39*'Segs IX'!$C$60</f>
        <v>14472</v>
      </c>
      <c r="H69" s="334">
        <f>+'Segs VIII'!I39*'Segs VIII'!$C$60+'Segs IX'!I39*'Segs IX'!$C$60</f>
        <v>14482.5</v>
      </c>
      <c r="I69" s="334">
        <f>+'Segs VIII'!J39*'Segs VIII'!$C$60+'Segs IX'!J39*'Segs IX'!$C$60</f>
        <v>14806.5</v>
      </c>
      <c r="J69" s="334">
        <f>+'Segs VIII'!K39*'Segs VIII'!$C$60+'Segs IX'!K39*'Segs IX'!$C$60</f>
        <v>14880</v>
      </c>
      <c r="K69" s="334">
        <f>+'Segs VIII'!L39*'Segs VIII'!$C$60+'Segs IX'!L39*'Segs IX'!$C$60</f>
        <v>15096.5</v>
      </c>
      <c r="L69" s="334">
        <f>+'Segs VIII'!M39*'Segs VIII'!$C$60+'Segs IX'!M39*'Segs IX'!$C$60</f>
        <v>14809.5</v>
      </c>
      <c r="M69" s="334">
        <f>+'Segs VIII'!N39*'Segs VIII'!$C$60+'Segs IX'!N39*'Segs IX'!$C$60</f>
        <v>14723</v>
      </c>
      <c r="N69" s="334">
        <f>+'Segs VIII'!O39*'Segs VIII'!$C$60+'Segs IX'!O39*'Segs IX'!$C$60</f>
        <v>14672.5</v>
      </c>
      <c r="O69" s="334">
        <f>+'Segs VIII'!P39*'Segs VIII'!$C$60+'Segs IX'!P39*'Segs IX'!$C$60</f>
        <v>14580.5</v>
      </c>
      <c r="P69" s="334">
        <f>+'Segs VIII'!Q39*'Segs VIII'!$C$60+'Segs IX'!Q39*'Segs IX'!$C$60</f>
        <v>14423.5</v>
      </c>
      <c r="Q69" s="334">
        <f>+'Segs VIII'!R39*'Segs VIII'!$C$60+'Segs IX'!R39*'Segs IX'!$C$60</f>
        <v>14479.5</v>
      </c>
      <c r="R69" s="334">
        <f>+'Segs VIII'!S39*'Segs VIII'!$C$60+'Segs IX'!S39*'Segs IX'!$C$60</f>
        <v>14412.5</v>
      </c>
      <c r="S69" s="334">
        <f>+'Segs VIII'!T39*'Segs VIII'!$C$60+'Segs IX'!T39*'Segs IX'!$C$60</f>
        <v>14339</v>
      </c>
      <c r="T69" s="334">
        <f>+'Segs VIII'!U39*'Segs VIII'!$C$60+'Segs IX'!U39*'Segs IX'!$C$60</f>
        <v>14313.5</v>
      </c>
      <c r="U69" s="334">
        <f>+'Segs VIII'!V39*'Segs VIII'!$C$60+'Segs IX'!V39*'Segs IX'!$C$60</f>
        <v>14295</v>
      </c>
      <c r="V69" s="334">
        <f>+'Segs VIII'!W39*'Segs VIII'!$C$60+'Segs IX'!W39*'Segs IX'!$C$60</f>
        <v>14258.5</v>
      </c>
      <c r="W69" s="334">
        <f>+'Segs VIII'!X39*'Segs VIII'!$C$60+'Segs IX'!X39*'Segs IX'!$C$60</f>
        <v>14106.5</v>
      </c>
      <c r="X69" s="334">
        <f>+'Segs VIII'!Y39*'Segs VIII'!$C$60+'Segs IX'!Y39*'Segs IX'!$C$60</f>
        <v>14342.5</v>
      </c>
    </row>
    <row r="70" spans="2:24" s="334" customFormat="1">
      <c r="C70" s="334" t="s">
        <v>103</v>
      </c>
      <c r="E70" s="334">
        <f>'NELP - Bellingham &amp; Sayreville'!F39*'NELP - Bellingham &amp; Sayreville'!$C$60</f>
        <v>67713.462975772592</v>
      </c>
      <c r="F70" s="334">
        <f>'NELP - Bellingham &amp; Sayreville'!G39*'NELP - Bellingham &amp; Sayreville'!$C$60</f>
        <v>63675.823739419138</v>
      </c>
      <c r="G70" s="334">
        <f>'NELP - Bellingham &amp; Sayreville'!H39*'NELP - Bellingham &amp; Sayreville'!$C$60</f>
        <v>72849.447111884641</v>
      </c>
      <c r="H70" s="334">
        <f>'NELP - Bellingham &amp; Sayreville'!I39*'NELP - Bellingham &amp; Sayreville'!$C$60</f>
        <v>76292.888474861727</v>
      </c>
      <c r="I70" s="334">
        <f>'NELP - Bellingham &amp; Sayreville'!J39*'NELP - Bellingham &amp; Sayreville'!$C$60</f>
        <v>74723.689626423889</v>
      </c>
      <c r="J70" s="334">
        <f>'NELP - Bellingham &amp; Sayreville'!K39*'NELP - Bellingham &amp; Sayreville'!$C$60</f>
        <v>78704.310533892989</v>
      </c>
      <c r="K70" s="334">
        <f>'NELP - Bellingham &amp; Sayreville'!L39*'NELP - Bellingham &amp; Sayreville'!$C$60</f>
        <v>83124.990339849202</v>
      </c>
      <c r="L70" s="334">
        <f>'NELP - Bellingham &amp; Sayreville'!M39*'NELP - Bellingham &amp; Sayreville'!$C$60</f>
        <v>75839.78233947602</v>
      </c>
      <c r="M70" s="334">
        <f>'NELP - Bellingham &amp; Sayreville'!N39*'NELP - Bellingham &amp; Sayreville'!$C$60</f>
        <v>86268.960368048458</v>
      </c>
      <c r="N70" s="334">
        <f>'NELP - Bellingham &amp; Sayreville'!O39*'NELP - Bellingham &amp; Sayreville'!$C$60</f>
        <v>92741.244192949409</v>
      </c>
      <c r="O70" s="334">
        <f>'NELP - Bellingham &amp; Sayreville'!P39*'NELP - Bellingham &amp; Sayreville'!$C$60</f>
        <v>76927.476838684903</v>
      </c>
      <c r="P70" s="334">
        <f>'NELP - Bellingham &amp; Sayreville'!Q39*'NELP - Bellingham &amp; Sayreville'!$C$60</f>
        <v>36252.176290530973</v>
      </c>
      <c r="Q70" s="334">
        <f>'NELP - Bellingham &amp; Sayreville'!R39*'NELP - Bellingham &amp; Sayreville'!$C$60</f>
        <v>38088.345685496752</v>
      </c>
      <c r="R70" s="334">
        <f>'NELP - Bellingham &amp; Sayreville'!S39*'NELP - Bellingham &amp; Sayreville'!$C$60</f>
        <v>55072.631014344646</v>
      </c>
      <c r="S70" s="334">
        <f>'NELP - Bellingham &amp; Sayreville'!T39*'NELP - Bellingham &amp; Sayreville'!$C$60</f>
        <v>64014.193091351612</v>
      </c>
      <c r="T70" s="334">
        <f>'NELP - Bellingham &amp; Sayreville'!U39*'NELP - Bellingham &amp; Sayreville'!$C$60</f>
        <v>67245.952074442626</v>
      </c>
      <c r="U70" s="334">
        <f>'NELP - Bellingham &amp; Sayreville'!V39*'NELP - Bellingham &amp; Sayreville'!$C$60</f>
        <v>61558.458807947012</v>
      </c>
      <c r="V70" s="334">
        <f>'NELP - Bellingham &amp; Sayreville'!W39*'NELP - Bellingham &amp; Sayreville'!$C$60</f>
        <v>66175.878309589782</v>
      </c>
      <c r="W70" s="334">
        <f>'NELP - Bellingham &amp; Sayreville'!X39*'NELP - Bellingham &amp; Sayreville'!$C$60</f>
        <v>69519.851386753944</v>
      </c>
      <c r="X70" s="334">
        <f>'NELP - Bellingham &amp; Sayreville'!Y39*'NELP - Bellingham &amp; Sayreville'!$C$60</f>
        <v>60944.84516512863</v>
      </c>
    </row>
    <row r="71" spans="2:24" s="334" customFormat="1">
      <c r="C71" s="334" t="s">
        <v>104</v>
      </c>
      <c r="E71" s="334">
        <f>+Cherokee!F39*Cherokee!$C$60</f>
        <v>4523.57</v>
      </c>
      <c r="F71" s="334">
        <f>+Cherokee!G39*Cherokee!$C$60</f>
        <v>5524.6214</v>
      </c>
      <c r="G71" s="334">
        <f>+Cherokee!H39*Cherokee!$C$60</f>
        <v>5347.6538280000022</v>
      </c>
      <c r="H71" s="334">
        <f>+Cherokee!I39*Cherokee!$C$60</f>
        <v>5504.1669045599992</v>
      </c>
      <c r="I71" s="334">
        <f>+Cherokee!J39*Cherokee!$C$60</f>
        <v>6421.6602426512</v>
      </c>
      <c r="J71" s="334">
        <f>+Cherokee!K39*Cherokee!$C$60</f>
        <v>7434.133447504224</v>
      </c>
      <c r="K71" s="334">
        <f>+Cherokee!L39*Cherokee!$C$60</f>
        <v>8158.5861164543094</v>
      </c>
      <c r="L71" s="334">
        <f>+Cherokee!M39*Cherokee!$C$60</f>
        <v>9898.0178387833948</v>
      </c>
      <c r="M71" s="334">
        <f>+Cherokee!N39*Cherokee!$C$60</f>
        <v>11217.928195559063</v>
      </c>
      <c r="N71" s="334">
        <f>+Cherokee!O39*Cherokee!$C$60</f>
        <v>9273.8167594702427</v>
      </c>
      <c r="O71" s="334">
        <f>+Cherokee!P39*Cherokee!$C$60</f>
        <v>9945.1830946596492</v>
      </c>
      <c r="P71" s="334">
        <f>+Cherokee!Q39*Cherokee!$C$60</f>
        <v>9513.0267565528411</v>
      </c>
      <c r="Q71" s="334">
        <f>+Cherokee!R39*Cherokee!$C$60</f>
        <v>4600.3472916838982</v>
      </c>
      <c r="R71" s="334">
        <f>+Cherokee!S39*Cherokee!$C$60</f>
        <v>5215.6442375175757</v>
      </c>
      <c r="S71" s="334">
        <f>+Cherokee!T39*Cherokee!$C$60</f>
        <v>4104.9171222679288</v>
      </c>
      <c r="T71" s="334">
        <f>+Cherokee!U39*Cherokee!$C$60</f>
        <v>4466.1654647132891</v>
      </c>
      <c r="U71" s="334">
        <f>+Cherokee!V39*Cherokee!$C$60</f>
        <v>4130.3887740075515</v>
      </c>
      <c r="V71" s="334">
        <f>+Cherokee!W39*Cherokee!$C$60</f>
        <v>3519.5865494877035</v>
      </c>
      <c r="W71" s="334">
        <f>+Cherokee!X39*Cherokee!$C$60</f>
        <v>0</v>
      </c>
      <c r="X71" s="334">
        <f>+Cherokee!Y39*Cherokee!$C$60</f>
        <v>0</v>
      </c>
    </row>
    <row r="72" spans="2:24" s="334" customFormat="1">
      <c r="E72" s="1148">
        <f>SUM(E66:E71)</f>
        <v>200423.80748192218</v>
      </c>
      <c r="F72" s="1148">
        <f t="shared" ref="F72:X72" si="13">SUM(F66:F71)</f>
        <v>194102.77307468909</v>
      </c>
      <c r="G72" s="1148">
        <f t="shared" si="13"/>
        <v>206000.73833712455</v>
      </c>
      <c r="H72" s="1148">
        <f t="shared" si="13"/>
        <v>213383.43946181826</v>
      </c>
      <c r="I72" s="1148">
        <f t="shared" si="13"/>
        <v>208140.90176147912</v>
      </c>
      <c r="J72" s="1148">
        <f t="shared" si="13"/>
        <v>218322.81166680765</v>
      </c>
      <c r="K72" s="1148">
        <f t="shared" si="13"/>
        <v>189843.9473581824</v>
      </c>
      <c r="L72" s="1148">
        <f t="shared" si="13"/>
        <v>183933.73005703557</v>
      </c>
      <c r="M72" s="1148">
        <f t="shared" si="13"/>
        <v>193407.41831132522</v>
      </c>
      <c r="N72" s="1148">
        <f t="shared" si="13"/>
        <v>201550.26212801537</v>
      </c>
      <c r="O72" s="1148">
        <f t="shared" si="13"/>
        <v>186212.94598444764</v>
      </c>
      <c r="P72" s="1148">
        <f t="shared" si="13"/>
        <v>145451.06960545023</v>
      </c>
      <c r="Q72" s="1148">
        <f t="shared" si="13"/>
        <v>142169.0860962001</v>
      </c>
      <c r="R72" s="1148">
        <f t="shared" si="13"/>
        <v>157758.05018889284</v>
      </c>
      <c r="S72" s="1148">
        <f t="shared" si="13"/>
        <v>163209.67131192354</v>
      </c>
      <c r="T72" s="1148">
        <f t="shared" si="13"/>
        <v>163870.96430095073</v>
      </c>
      <c r="U72" s="1148">
        <f t="shared" si="13"/>
        <v>121893.2028959468</v>
      </c>
      <c r="V72" s="1148">
        <f t="shared" si="13"/>
        <v>128614.54797506869</v>
      </c>
      <c r="W72" s="1148">
        <f t="shared" si="13"/>
        <v>121014.0013275478</v>
      </c>
      <c r="X72" s="1148">
        <f t="shared" si="13"/>
        <v>106845.20016673101</v>
      </c>
    </row>
    <row r="73" spans="2:24" s="334" customFormat="1"/>
    <row r="74" spans="2:24" s="334" customFormat="1">
      <c r="B74" s="584" t="s">
        <v>204</v>
      </c>
      <c r="C74" s="584"/>
      <c r="D74" s="584"/>
      <c r="E74" s="584">
        <f>+E63+E72</f>
        <v>370873.13121855934</v>
      </c>
      <c r="F74" s="584">
        <f t="shared" ref="F74:X74" si="14">+F63+F72</f>
        <v>333116.63689174165</v>
      </c>
      <c r="G74" s="584">
        <f t="shared" si="14"/>
        <v>341215.56702612643</v>
      </c>
      <c r="H74" s="584">
        <f t="shared" si="14"/>
        <v>365553.57617057109</v>
      </c>
      <c r="I74" s="584">
        <f t="shared" si="14"/>
        <v>367143.13220870157</v>
      </c>
      <c r="J74" s="584">
        <f t="shared" si="14"/>
        <v>385859.70640254871</v>
      </c>
      <c r="K74" s="584">
        <f t="shared" si="14"/>
        <v>373673.76139679283</v>
      </c>
      <c r="L74" s="584">
        <f t="shared" si="14"/>
        <v>358774.72067538439</v>
      </c>
      <c r="M74" s="584">
        <f t="shared" si="14"/>
        <v>362094.20073048549</v>
      </c>
      <c r="N74" s="584">
        <f t="shared" si="14"/>
        <v>399575.78911545442</v>
      </c>
      <c r="O74" s="584">
        <f t="shared" si="14"/>
        <v>383122.79129371274</v>
      </c>
      <c r="P74" s="584">
        <f t="shared" si="14"/>
        <v>346174.69962349755</v>
      </c>
      <c r="Q74" s="584">
        <f t="shared" si="14"/>
        <v>373463.8910567367</v>
      </c>
      <c r="R74" s="584">
        <f t="shared" si="14"/>
        <v>409477.33307518705</v>
      </c>
      <c r="S74" s="584">
        <f t="shared" si="14"/>
        <v>399795.47358727804</v>
      </c>
      <c r="T74" s="584">
        <f t="shared" si="14"/>
        <v>419435.93160907994</v>
      </c>
      <c r="U74" s="584">
        <f t="shared" si="14"/>
        <v>362242.12176054216</v>
      </c>
      <c r="V74" s="584">
        <f t="shared" si="14"/>
        <v>353966.10588849382</v>
      </c>
      <c r="W74" s="584">
        <f t="shared" si="14"/>
        <v>385448.88802843948</v>
      </c>
      <c r="X74" s="584">
        <f t="shared" si="14"/>
        <v>366682.21336082846</v>
      </c>
    </row>
    <row r="75" spans="2:24">
      <c r="B75" s="591"/>
    </row>
    <row r="76" spans="2:24">
      <c r="B76" s="591"/>
    </row>
    <row r="78" spans="2:24" ht="15.75">
      <c r="B78" s="737" t="s">
        <v>70</v>
      </c>
      <c r="C78" s="619"/>
    </row>
    <row r="79" spans="2:24" ht="13.5" thickBot="1">
      <c r="E79" s="1158">
        <v>2001</v>
      </c>
      <c r="F79" s="1158">
        <f>+E79+1</f>
        <v>2002</v>
      </c>
      <c r="G79" s="1158">
        <f t="shared" ref="G79:X79" si="15">+F79+1</f>
        <v>2003</v>
      </c>
      <c r="H79" s="1158">
        <f t="shared" si="15"/>
        <v>2004</v>
      </c>
      <c r="I79" s="1158">
        <f t="shared" si="15"/>
        <v>2005</v>
      </c>
      <c r="J79" s="1158">
        <f t="shared" si="15"/>
        <v>2006</v>
      </c>
      <c r="K79" s="1158">
        <f t="shared" si="15"/>
        <v>2007</v>
      </c>
      <c r="L79" s="1158">
        <f t="shared" si="15"/>
        <v>2008</v>
      </c>
      <c r="M79" s="1158">
        <f t="shared" si="15"/>
        <v>2009</v>
      </c>
      <c r="N79" s="1158">
        <f t="shared" si="15"/>
        <v>2010</v>
      </c>
      <c r="O79" s="1158">
        <f t="shared" si="15"/>
        <v>2011</v>
      </c>
      <c r="P79" s="1158">
        <f t="shared" si="15"/>
        <v>2012</v>
      </c>
      <c r="Q79" s="1158">
        <f t="shared" si="15"/>
        <v>2013</v>
      </c>
      <c r="R79" s="1158">
        <f t="shared" si="15"/>
        <v>2014</v>
      </c>
      <c r="S79" s="1158">
        <f t="shared" si="15"/>
        <v>2015</v>
      </c>
      <c r="T79" s="1158">
        <f t="shared" si="15"/>
        <v>2016</v>
      </c>
      <c r="U79" s="1158">
        <f t="shared" si="15"/>
        <v>2017</v>
      </c>
      <c r="V79" s="1158">
        <f t="shared" si="15"/>
        <v>2018</v>
      </c>
      <c r="W79" s="1158">
        <f t="shared" si="15"/>
        <v>2019</v>
      </c>
      <c r="X79" s="1158">
        <f t="shared" si="15"/>
        <v>2020</v>
      </c>
    </row>
    <row r="81" spans="3:24">
      <c r="D81" s="1184" t="s">
        <v>205</v>
      </c>
    </row>
    <row r="82" spans="3:24">
      <c r="C82" s="331" t="s">
        <v>206</v>
      </c>
      <c r="D82" s="286">
        <v>1</v>
      </c>
      <c r="E82" s="334">
        <f>$D$82*'Maine Hydro'!F114</f>
        <v>13576.502115360121</v>
      </c>
      <c r="F82" s="334">
        <f>$D$82*'Maine Hydro'!G114</f>
        <v>26135.671672209257</v>
      </c>
      <c r="G82" s="334">
        <f>$D$82*'Maine Hydro'!H114</f>
        <v>24173.414566469204</v>
      </c>
      <c r="H82" s="334">
        <f>$D$82*'Maine Hydro'!I114</f>
        <v>22363.214284421188</v>
      </c>
      <c r="I82" s="334">
        <f>$D$82*'Maine Hydro'!J114</f>
        <v>20683.348422680632</v>
      </c>
      <c r="J82" s="334">
        <f>$D$82*'Maine Hydro'!K114</f>
        <v>19133.816981247532</v>
      </c>
      <c r="K82" s="334">
        <f>$D$82*'Maine Hydro'!L114</f>
        <v>17696.517957301407</v>
      </c>
      <c r="L82" s="334">
        <f>$D$82*'Maine Hydro'!M114</f>
        <v>16371.451350842259</v>
      </c>
      <c r="M82" s="334">
        <f>$D$82*'Maine Hydro'!N114</f>
        <v>16154.227316996496</v>
      </c>
      <c r="N82" s="334">
        <f>$D$82*'Maine Hydro'!O114</f>
        <v>16150.606916432398</v>
      </c>
      <c r="O82" s="334">
        <f>$D$82*'Maine Hydro'!P114</f>
        <v>16154.227316996496</v>
      </c>
      <c r="P82" s="334">
        <f>$D$82*'Maine Hydro'!Q114</f>
        <v>16150.606916432398</v>
      </c>
      <c r="Q82" s="334">
        <f>$D$82*'Maine Hydro'!R114</f>
        <v>16154.227316996496</v>
      </c>
      <c r="R82" s="334">
        <f>$D$82*'Maine Hydro'!S114</f>
        <v>16150.606916432398</v>
      </c>
      <c r="S82" s="334">
        <f>$D$82*'Maine Hydro'!T114</f>
        <v>16154.227316996496</v>
      </c>
      <c r="T82" s="334">
        <f>$D$82*'Maine Hydro'!U114</f>
        <v>16150.606916432398</v>
      </c>
      <c r="U82" s="334">
        <f>$D$82*'Maine Hydro'!V114</f>
        <v>16154.227316996496</v>
      </c>
      <c r="V82" s="334">
        <f>$D$82*'Maine Hydro'!W114</f>
        <v>16150.606916432398</v>
      </c>
      <c r="W82" s="334">
        <f>$D$82*'Maine Hydro'!X114</f>
        <v>16154.227316996496</v>
      </c>
      <c r="X82" s="334">
        <f>$D$82*'Maine Hydro'!Y114</f>
        <v>16150.606916432398</v>
      </c>
    </row>
    <row r="83" spans="3:24">
      <c r="C83" s="331" t="s">
        <v>207</v>
      </c>
      <c r="D83" s="286">
        <v>1</v>
      </c>
      <c r="E83" s="334">
        <f>$D$83*'Maine Thermal'!F114</f>
        <v>7050.1379338333381</v>
      </c>
      <c r="F83" s="334">
        <f>$D$83*'Maine Thermal'!G114</f>
        <v>13571.985531824765</v>
      </c>
      <c r="G83" s="334">
        <f>$D$83*'Maine Thermal'!H114</f>
        <v>12553.005595788052</v>
      </c>
      <c r="H83" s="334">
        <f>$D$83*'Maine Thermal'!I114</f>
        <v>11612.987204610274</v>
      </c>
      <c r="I83" s="334">
        <f>$D$83*'Maine Thermal'!J114</f>
        <v>10740.650137597297</v>
      </c>
      <c r="J83" s="334">
        <f>$D$83*'Maine Thermal'!K114</f>
        <v>9935.9943947491174</v>
      </c>
      <c r="K83" s="334">
        <f>$D$83*'Maine Thermal'!L114</f>
        <v>9189.6197921539624</v>
      </c>
      <c r="L83" s="334">
        <f>$D$83*'Maine Thermal'!M114</f>
        <v>8501.526329811828</v>
      </c>
      <c r="M83" s="334">
        <f>$D$83*'Maine Thermal'!N114</f>
        <v>8388.7241228704952</v>
      </c>
      <c r="N83" s="334">
        <f>$D$83*'Maine Thermal'!O114</f>
        <v>8386.8440860881383</v>
      </c>
      <c r="O83" s="334">
        <f>$D$83*'Maine Thermal'!P114</f>
        <v>8388.7241228704952</v>
      </c>
      <c r="P83" s="334">
        <f>$D$83*'Maine Thermal'!Q114</f>
        <v>8386.8440860881383</v>
      </c>
      <c r="Q83" s="334">
        <f>$D$83*'Maine Thermal'!R114</f>
        <v>8388.7241228704952</v>
      </c>
      <c r="R83" s="334">
        <f>$D$83*'Maine Thermal'!S114</f>
        <v>8386.8440860881383</v>
      </c>
      <c r="S83" s="334">
        <f>$D$83*'Maine Thermal'!T114</f>
        <v>8388.7241228704952</v>
      </c>
      <c r="T83" s="334">
        <f>$D$83*'Maine Thermal'!U114</f>
        <v>8386.8440860881383</v>
      </c>
      <c r="U83" s="334">
        <f>$D$83*'Maine Thermal'!V114</f>
        <v>8388.7241228704952</v>
      </c>
      <c r="V83" s="334">
        <f>$D$83*'Maine Thermal'!W114</f>
        <v>8386.8440860881383</v>
      </c>
      <c r="W83" s="334">
        <f>$D$83*'Maine Thermal'!X114</f>
        <v>8388.7241228704952</v>
      </c>
      <c r="X83" s="334">
        <f>$D$83*'Maine Thermal'!Y114</f>
        <v>8386.8440860881383</v>
      </c>
    </row>
    <row r="84" spans="3:24">
      <c r="C84" s="331" t="s">
        <v>97</v>
      </c>
      <c r="D84" s="286">
        <v>0.99</v>
      </c>
      <c r="E84" s="334">
        <f>$D$84*Lamar!F114</f>
        <v>18820.94861486238</v>
      </c>
      <c r="F84" s="334">
        <f>$D$84*Lamar!G114</f>
        <v>36231.580813517736</v>
      </c>
      <c r="G84" s="334">
        <f>$D$84*Lamar!H114</f>
        <v>33511.326373716292</v>
      </c>
      <c r="H84" s="334">
        <f>$D$84*Lamar!I114</f>
        <v>31001.866558401307</v>
      </c>
      <c r="I84" s="334">
        <f>$D$84*Lamar!J114</f>
        <v>28673.087849789004</v>
      </c>
      <c r="J84" s="334">
        <f>$D$84*Lamar!K114</f>
        <v>26524.990247879377</v>
      </c>
      <c r="K84" s="334">
        <f>$D$84*Lamar!L114</f>
        <v>24532.479154519282</v>
      </c>
      <c r="L84" s="334">
        <f>$D$84*Lamar!M114</f>
        <v>22695.554569708715</v>
      </c>
      <c r="M84" s="334">
        <f>$D$84*Lamar!N114</f>
        <v>22394.419391870917</v>
      </c>
      <c r="N84" s="334">
        <f>$D$84*Lamar!O114</f>
        <v>22389.400472240282</v>
      </c>
      <c r="O84" s="334">
        <f>$D$84*Lamar!P114</f>
        <v>22394.419391870917</v>
      </c>
      <c r="P84" s="334">
        <f>$D$84*Lamar!Q114</f>
        <v>22389.400472240282</v>
      </c>
      <c r="Q84" s="334">
        <f>$D$84*Lamar!R114</f>
        <v>22394.419391870917</v>
      </c>
      <c r="R84" s="334">
        <f>$D$84*Lamar!S114</f>
        <v>22389.400472240282</v>
      </c>
      <c r="S84" s="334">
        <f>$D$84*Lamar!T114</f>
        <v>22394.419391870917</v>
      </c>
      <c r="T84" s="334">
        <f>$D$84*Lamar!U114</f>
        <v>22389.400472240282</v>
      </c>
      <c r="U84" s="334">
        <f>$D$84*Lamar!V114</f>
        <v>22394.419391870917</v>
      </c>
      <c r="V84" s="334">
        <f>$D$84*Lamar!W114</f>
        <v>22389.400472240282</v>
      </c>
      <c r="W84" s="334">
        <f>$D$84*Lamar!X114</f>
        <v>22394.419391870917</v>
      </c>
      <c r="X84" s="334">
        <f>$D$84*Lamar!Y114</f>
        <v>22389.400472240282</v>
      </c>
    </row>
    <row r="85" spans="3:24">
      <c r="C85" s="331" t="s">
        <v>98</v>
      </c>
      <c r="D85" s="286">
        <v>1</v>
      </c>
      <c r="E85" s="334">
        <f>$D$85*'Marcus Hook 50'!F114</f>
        <v>759.72092597741437</v>
      </c>
      <c r="F85" s="334">
        <f>$D$85*'Marcus Hook 50'!G114</f>
        <v>1462.5134305682548</v>
      </c>
      <c r="G85" s="334">
        <f>$D$85*'Marcus Hook 50'!H114</f>
        <v>1352.7084327336522</v>
      </c>
      <c r="H85" s="334">
        <f>$D$85*'Marcus Hook 50'!I114</f>
        <v>1251.412309269997</v>
      </c>
      <c r="I85" s="334">
        <f>$D$85*'Marcus Hook 50'!J114</f>
        <v>1157.409506695725</v>
      </c>
      <c r="J85" s="334">
        <f>$D$85*'Marcus Hook 50'!K114</f>
        <v>1070.700025010836</v>
      </c>
      <c r="K85" s="334">
        <f>$D$85*'Marcus Hook 50'!L114</f>
        <v>990.27090298069379</v>
      </c>
      <c r="L85" s="334">
        <f>$D$85*'Marcus Hook 50'!M114</f>
        <v>916.12214060529823</v>
      </c>
      <c r="M85" s="334">
        <f>$D$85*'Marcus Hook 50'!N114</f>
        <v>903.96660578965952</v>
      </c>
      <c r="N85" s="334">
        <f>$D$85*'Marcus Hook 50'!O114</f>
        <v>903.76401354273219</v>
      </c>
      <c r="O85" s="334">
        <f>$D$85*'Marcus Hook 50'!P114</f>
        <v>903.96660578965952</v>
      </c>
      <c r="P85" s="334">
        <f>$D$85*'Marcus Hook 50'!Q114</f>
        <v>903.76401354273219</v>
      </c>
      <c r="Q85" s="334">
        <f>$D$85*'Marcus Hook 50'!R114</f>
        <v>903.96660578965952</v>
      </c>
      <c r="R85" s="334">
        <f>$D$85*'Marcus Hook 50'!S114</f>
        <v>903.76401354273219</v>
      </c>
      <c r="S85" s="334">
        <f>$D$85*'Marcus Hook 50'!T114</f>
        <v>903.96660578965952</v>
      </c>
      <c r="T85" s="334">
        <f>$D$85*'Marcus Hook 50'!U114</f>
        <v>903.76401354273219</v>
      </c>
      <c r="U85" s="334">
        <f>$D$85*'Marcus Hook 50'!V114</f>
        <v>903.96660578965952</v>
      </c>
      <c r="V85" s="334">
        <f>$D$85*'Marcus Hook 50'!W114</f>
        <v>903.76401354273219</v>
      </c>
      <c r="W85" s="334">
        <f>$D$85*'Marcus Hook 50'!X114</f>
        <v>0</v>
      </c>
      <c r="X85" s="334">
        <f>$D$85*'Marcus Hook 50'!Y114</f>
        <v>0</v>
      </c>
    </row>
    <row r="86" spans="3:24">
      <c r="C86" s="331" t="s">
        <v>100</v>
      </c>
      <c r="D86" s="286">
        <v>1</v>
      </c>
      <c r="E86" s="334">
        <f>$D$86*Doswell!F114</f>
        <v>12426.311466900948</v>
      </c>
      <c r="F86" s="334">
        <f>$D$86*Doswell!G114</f>
        <v>23921.477994548786</v>
      </c>
      <c r="G86" s="334">
        <f>$D$86*Doswell!H114</f>
        <v>22125.461777199369</v>
      </c>
      <c r="H86" s="334">
        <f>$D$86*Doswell!I114</f>
        <v>20468.620248279243</v>
      </c>
      <c r="I86" s="334">
        <f>$D$86*Doswell!J114</f>
        <v>18931.071309441366</v>
      </c>
      <c r="J86" s="334">
        <f>$D$86*Doswell!K114</f>
        <v>17512.814960685737</v>
      </c>
      <c r="K86" s="334">
        <f>$D$86*Doswell!L114</f>
        <v>16197.282786723155</v>
      </c>
      <c r="L86" s="334">
        <f>$D$86*Doswell!M114</f>
        <v>14984.474787553625</v>
      </c>
      <c r="M86" s="334">
        <f>$D$86*Doswell!N114</f>
        <v>14785.653804083207</v>
      </c>
      <c r="N86" s="334">
        <f>$D$86*Doswell!O114</f>
        <v>14782.340121025367</v>
      </c>
      <c r="O86" s="334">
        <f>$D$86*Doswell!P114</f>
        <v>14785.653804083207</v>
      </c>
      <c r="P86" s="334">
        <f>$D$86*Doswell!Q114</f>
        <v>14782.340121025367</v>
      </c>
      <c r="Q86" s="334">
        <f>$D$86*Doswell!R114</f>
        <v>14785.653804083207</v>
      </c>
      <c r="R86" s="334">
        <f>$D$86*Doswell!S114</f>
        <v>14782.340121025367</v>
      </c>
      <c r="S86" s="334">
        <f>$D$86*Doswell!T114</f>
        <v>14785.653804083207</v>
      </c>
      <c r="T86" s="334">
        <f>$D$86*Doswell!U114</f>
        <v>14782.340121025367</v>
      </c>
      <c r="U86" s="334">
        <f>$D$86*Doswell!V114</f>
        <v>14785.653804083207</v>
      </c>
      <c r="V86" s="334">
        <f>$D$86*Doswell!W114</f>
        <v>0</v>
      </c>
      <c r="W86" s="334">
        <f>$D$86*Doswell!X114</f>
        <v>0</v>
      </c>
      <c r="X86" s="334">
        <f>$D$86*Doswell!Y114</f>
        <v>0</v>
      </c>
    </row>
    <row r="87" spans="3:24">
      <c r="C87" s="331" t="s">
        <v>115</v>
      </c>
      <c r="D87" s="286">
        <v>1</v>
      </c>
      <c r="E87" s="334">
        <f>$D$87*'Doswell CT'!F114</f>
        <v>3545.2993049790998</v>
      </c>
      <c r="F87" s="334">
        <f>$D$87*'Doswell CT'!G114</f>
        <v>6736.0686794602889</v>
      </c>
      <c r="G87" s="334">
        <f>$D$87*'Doswell CT'!H114</f>
        <v>6062.4618115142603</v>
      </c>
      <c r="H87" s="334">
        <f>$D$87*'Doswell CT'!I114</f>
        <v>5456.2156303628335</v>
      </c>
      <c r="I87" s="334">
        <f>$D$87*'Doswell CT'!J114</f>
        <v>4910.5940673265504</v>
      </c>
      <c r="J87" s="334">
        <f>$D$87*'Doswell CT'!K114</f>
        <v>4419.5346605938948</v>
      </c>
      <c r="K87" s="334">
        <f>$D$87*'Doswell CT'!L114</f>
        <v>4186.9275731942171</v>
      </c>
      <c r="L87" s="334">
        <f>$D$87*'Doswell CT'!M114</f>
        <v>4186.9275731942171</v>
      </c>
      <c r="M87" s="334">
        <f>$D$87*'Doswell CT'!N114</f>
        <v>4186.9275731942171</v>
      </c>
      <c r="N87" s="334">
        <f>$D$87*'Doswell CT'!O114</f>
        <v>4186.9275731942171</v>
      </c>
      <c r="O87" s="334">
        <f>$D$87*'Doswell CT'!P114</f>
        <v>4186.9275731942171</v>
      </c>
      <c r="P87" s="334">
        <f>$D$87*'Doswell CT'!Q114</f>
        <v>4186.9275731942171</v>
      </c>
      <c r="Q87" s="334">
        <f>$D$87*'Doswell CT'!R114</f>
        <v>4186.9275731942171</v>
      </c>
      <c r="R87" s="334">
        <f>$D$87*'Doswell CT'!S114</f>
        <v>4186.9275731942171</v>
      </c>
      <c r="S87" s="334">
        <f>$D$87*'Doswell CT'!T114</f>
        <v>4186.9275731942171</v>
      </c>
      <c r="T87" s="334">
        <f>$D$87*'Doswell CT'!U114</f>
        <v>2093.4637865971085</v>
      </c>
      <c r="U87" s="334">
        <f>$D$87*'Doswell CT'!V114</f>
        <v>0</v>
      </c>
      <c r="V87" s="334">
        <f>$D$87*'Doswell CT'!W114</f>
        <v>0</v>
      </c>
      <c r="W87" s="334">
        <f>$D$87*'Doswell CT'!X114</f>
        <v>0</v>
      </c>
      <c r="X87" s="334">
        <f>$D$87*'Doswell CT'!Y114</f>
        <v>0</v>
      </c>
    </row>
    <row r="88" spans="3:24">
      <c r="C88" s="331" t="s">
        <v>101</v>
      </c>
      <c r="D88" s="287">
        <v>1</v>
      </c>
      <c r="E88" s="334">
        <f>'FPLE_Wind Annual Summary'!F264</f>
        <v>83651.548217783449</v>
      </c>
      <c r="F88" s="334">
        <f>'FPLE_Wind Annual Summary'!G264</f>
        <v>133842.47714845347</v>
      </c>
      <c r="G88" s="334">
        <f>'FPLE_Wind Annual Summary'!H264</f>
        <v>80305.486289072083</v>
      </c>
      <c r="H88" s="334">
        <f>'FPLE_Wind Annual Summary'!I264</f>
        <v>48183.291773443234</v>
      </c>
      <c r="I88" s="334">
        <f>'FPLE_Wind Annual Summary'!J264</f>
        <v>48183.291773443234</v>
      </c>
      <c r="J88" s="334">
        <f>'FPLE_Wind Annual Summary'!K264</f>
        <v>24091.645886721617</v>
      </c>
      <c r="K88" s="334">
        <f>'FPLE_Wind Annual Summary'!L264</f>
        <v>0</v>
      </c>
      <c r="L88" s="334">
        <f>'FPLE_Wind Annual Summary'!M264</f>
        <v>0</v>
      </c>
      <c r="M88" s="334">
        <f>'FPLE_Wind Annual Summary'!N264</f>
        <v>0</v>
      </c>
      <c r="N88" s="334">
        <f>'FPLE_Wind Annual Summary'!O264</f>
        <v>0</v>
      </c>
      <c r="O88" s="334">
        <f>'FPLE_Wind Annual Summary'!P264</f>
        <v>0</v>
      </c>
      <c r="P88" s="334">
        <f>'FPLE_Wind Annual Summary'!Q264</f>
        <v>0</v>
      </c>
      <c r="Q88" s="334">
        <f>'FPLE_Wind Annual Summary'!R264</f>
        <v>0</v>
      </c>
      <c r="R88" s="334">
        <f>'FPLE_Wind Annual Summary'!S264</f>
        <v>0</v>
      </c>
      <c r="S88" s="334">
        <f>'FPLE_Wind Annual Summary'!T264</f>
        <v>0</v>
      </c>
      <c r="T88" s="334">
        <f>'FPLE_Wind Annual Summary'!U264</f>
        <v>0</v>
      </c>
      <c r="U88" s="334">
        <f>'FPLE_Wind Annual Summary'!V264</f>
        <v>0</v>
      </c>
      <c r="V88" s="334">
        <f>'FPLE_Wind Annual Summary'!W264</f>
        <v>0</v>
      </c>
      <c r="W88" s="334">
        <f>'FPLE_Wind Annual Summary'!X264</f>
        <v>0</v>
      </c>
      <c r="X88" s="334">
        <f>'FPLE_Wind Annual Summary'!Y264</f>
        <v>0</v>
      </c>
    </row>
    <row r="89" spans="3:24">
      <c r="C89" s="331" t="s">
        <v>208</v>
      </c>
      <c r="D89" s="286">
        <v>0.5</v>
      </c>
      <c r="E89" s="334">
        <f>$D$89*'Segs VIII'!F114</f>
        <v>12630.907232824156</v>
      </c>
      <c r="F89" s="334">
        <f>$D$89*'Segs VIII'!G114</f>
        <v>20209.45157251865</v>
      </c>
      <c r="G89" s="334">
        <f>$D$89*'Segs VIII'!H114</f>
        <v>12125.67094351119</v>
      </c>
      <c r="H89" s="334">
        <f>$D$89*'Segs VIII'!I114</f>
        <v>7275.4025661067135</v>
      </c>
      <c r="I89" s="334">
        <f>$D$89*'Segs VIII'!J114</f>
        <v>7275.4025661067135</v>
      </c>
      <c r="J89" s="334">
        <f>$D$89*'Segs VIII'!K114</f>
        <v>3637.7012830533567</v>
      </c>
      <c r="K89" s="334">
        <f>$D$89*'Segs VIII'!L114</f>
        <v>0</v>
      </c>
      <c r="L89" s="334">
        <f>$D$89*'Segs VIII'!M114</f>
        <v>0</v>
      </c>
      <c r="M89" s="334">
        <f>$D$89*'Segs VIII'!N114</f>
        <v>0</v>
      </c>
      <c r="N89" s="334">
        <f>$D$89*'Segs VIII'!O114</f>
        <v>0</v>
      </c>
      <c r="O89" s="334">
        <f>$D$89*'Segs VIII'!P114</f>
        <v>0</v>
      </c>
      <c r="P89" s="334">
        <f>$D$89*'Segs VIII'!Q114</f>
        <v>0</v>
      </c>
      <c r="Q89" s="334">
        <f>$D$89*'Segs VIII'!R114</f>
        <v>0</v>
      </c>
      <c r="R89" s="334">
        <f>$D$89*'Segs VIII'!S114</f>
        <v>0</v>
      </c>
      <c r="S89" s="334">
        <f>$D$89*'Segs VIII'!T114</f>
        <v>0</v>
      </c>
      <c r="T89" s="334">
        <f>$D$89*'Segs VIII'!U114</f>
        <v>0</v>
      </c>
      <c r="U89" s="334">
        <f>$D$89*'Segs VIII'!V114</f>
        <v>0</v>
      </c>
      <c r="V89" s="334">
        <f>$D$89*'Segs VIII'!W114</f>
        <v>0</v>
      </c>
      <c r="W89" s="334">
        <f>$D$89*'Segs VIII'!X114</f>
        <v>0</v>
      </c>
      <c r="X89" s="334">
        <f>$D$89*'Segs VIII'!Y114</f>
        <v>0</v>
      </c>
    </row>
    <row r="90" spans="3:24">
      <c r="C90" s="331" t="s">
        <v>209</v>
      </c>
      <c r="D90" s="286">
        <v>0.5</v>
      </c>
      <c r="E90" s="334">
        <f>$D$90*'Segs IX'!F114</f>
        <v>14207.750784883066</v>
      </c>
      <c r="F90" s="334">
        <f>$D$90*'Segs IX'!G114</f>
        <v>22732.401255812907</v>
      </c>
      <c r="G90" s="334">
        <f>$D$90*'Segs IX'!H114</f>
        <v>13639.440753487745</v>
      </c>
      <c r="H90" s="334">
        <f>$D$90*'Segs IX'!I114</f>
        <v>8183.6644520926457</v>
      </c>
      <c r="I90" s="334">
        <f>$D$90*'Segs IX'!J114</f>
        <v>8183.6644520926457</v>
      </c>
      <c r="J90" s="334">
        <f>$D$90*'Segs IX'!K114</f>
        <v>4091.8322260463228</v>
      </c>
      <c r="K90" s="334">
        <f>$D$90*'Segs IX'!L114</f>
        <v>0</v>
      </c>
      <c r="L90" s="334">
        <f>$D$90*'Segs IX'!M114</f>
        <v>0</v>
      </c>
      <c r="M90" s="334">
        <f>$D$90*'Segs IX'!N114</f>
        <v>0</v>
      </c>
      <c r="N90" s="334">
        <f>$D$90*'Segs IX'!O114</f>
        <v>0</v>
      </c>
      <c r="O90" s="334">
        <f>$D$90*'Segs IX'!P114</f>
        <v>0</v>
      </c>
      <c r="P90" s="334">
        <f>$D$90*'Segs IX'!Q114</f>
        <v>0</v>
      </c>
      <c r="Q90" s="334">
        <f>$D$90*'Segs IX'!R114</f>
        <v>0</v>
      </c>
      <c r="R90" s="334">
        <f>$D$90*'Segs IX'!S114</f>
        <v>0</v>
      </c>
      <c r="S90" s="334">
        <f>$D$90*'Segs IX'!T114</f>
        <v>0</v>
      </c>
      <c r="T90" s="334">
        <f>$D$90*'Segs IX'!U114</f>
        <v>0</v>
      </c>
      <c r="U90" s="334">
        <f>$D$90*'Segs IX'!V114</f>
        <v>0</v>
      </c>
      <c r="V90" s="334">
        <f>$D$90*'Segs IX'!W114</f>
        <v>0</v>
      </c>
      <c r="W90" s="334">
        <f>$D$90*'Segs IX'!X114</f>
        <v>0</v>
      </c>
      <c r="X90" s="334">
        <f>$D$90*'Segs IX'!Y114</f>
        <v>0</v>
      </c>
    </row>
    <row r="91" spans="3:24">
      <c r="C91" s="331" t="s">
        <v>210</v>
      </c>
      <c r="D91" s="286">
        <v>0.5</v>
      </c>
      <c r="E91" s="334">
        <f>$D$91*'NELP - Bellingham &amp; Sayreville'!F114</f>
        <v>26339.908386450687</v>
      </c>
      <c r="F91" s="334">
        <f>$D$91*'NELP - Bellingham &amp; Sayreville'!G114</f>
        <v>50045.825934256303</v>
      </c>
      <c r="G91" s="334">
        <f>$D$91*'NELP - Bellingham &amp; Sayreville'!H114</f>
        <v>45041.243340830675</v>
      </c>
      <c r="H91" s="334">
        <f>$D$91*'NELP - Bellingham &amp; Sayreville'!I114</f>
        <v>40537.119006747598</v>
      </c>
      <c r="I91" s="334">
        <f>$D$91*'NELP - Bellingham &amp; Sayreville'!J114</f>
        <v>36483.407106072846</v>
      </c>
      <c r="J91" s="334">
        <f>$D$91*'NELP - Bellingham &amp; Sayreville'!K114</f>
        <v>32835.066395465554</v>
      </c>
      <c r="K91" s="334">
        <f>$D$91*'NELP - Bellingham &amp; Sayreville'!L114</f>
        <v>31106.905006230529</v>
      </c>
      <c r="L91" s="334">
        <f>$D$91*'NELP - Bellingham &amp; Sayreville'!M114</f>
        <v>31106.905006230529</v>
      </c>
      <c r="M91" s="334">
        <f>$D$91*'NELP - Bellingham &amp; Sayreville'!N114</f>
        <v>31106.905006230529</v>
      </c>
      <c r="N91" s="334">
        <f>$D$91*'NELP - Bellingham &amp; Sayreville'!O114</f>
        <v>31106.905006230529</v>
      </c>
      <c r="O91" s="334">
        <f>$D$91*'NELP - Bellingham &amp; Sayreville'!P114</f>
        <v>31106.905006230529</v>
      </c>
      <c r="P91" s="334">
        <f>$D$91*'NELP - Bellingham &amp; Sayreville'!Q114</f>
        <v>31106.905006230529</v>
      </c>
      <c r="Q91" s="334">
        <f>$D$91*'NELP - Bellingham &amp; Sayreville'!R114</f>
        <v>31106.905006230529</v>
      </c>
      <c r="R91" s="334">
        <f>$D$91*'NELP - Bellingham &amp; Sayreville'!S114</f>
        <v>31106.905006230529</v>
      </c>
      <c r="S91" s="334">
        <f>$D$91*'NELP - Bellingham &amp; Sayreville'!T114</f>
        <v>31106.905006230529</v>
      </c>
      <c r="T91" s="334">
        <f>$D$91*'NELP - Bellingham &amp; Sayreville'!U114</f>
        <v>15553.452503115264</v>
      </c>
      <c r="U91" s="334">
        <f>$D$91*'NELP - Bellingham &amp; Sayreville'!V114</f>
        <v>0</v>
      </c>
      <c r="V91" s="334">
        <f>$D$91*'NELP - Bellingham &amp; Sayreville'!W114</f>
        <v>0</v>
      </c>
      <c r="W91" s="334">
        <f>$D$91*'NELP - Bellingham &amp; Sayreville'!X114</f>
        <v>0</v>
      </c>
      <c r="X91" s="334">
        <f>$D$91*'NELP - Bellingham &amp; Sayreville'!Y114</f>
        <v>0</v>
      </c>
    </row>
    <row r="92" spans="3:24">
      <c r="C92" s="331" t="s">
        <v>104</v>
      </c>
      <c r="D92" s="286">
        <v>0.5</v>
      </c>
      <c r="E92" s="599">
        <f>$D$92*Cherokee!F114</f>
        <v>1870.1043968753049</v>
      </c>
      <c r="F92" s="599">
        <f>$D$92*Cherokee!G114</f>
        <v>3600.0756376114205</v>
      </c>
      <c r="G92" s="599">
        <f>$D$92*Cherokee!H114</f>
        <v>3329.7832154497096</v>
      </c>
      <c r="H92" s="599">
        <f>$D$92*Cherokee!I114</f>
        <v>3080.4359625330021</v>
      </c>
      <c r="I92" s="599">
        <f>$D$92*Cherokee!J114</f>
        <v>2849.0417118262981</v>
      </c>
      <c r="J92" s="599">
        <f>$D$92*Cherokee!K114</f>
        <v>2635.6004633295966</v>
      </c>
      <c r="K92" s="599">
        <f>$D$92*Cherokee!L114</f>
        <v>2437.6187445137307</v>
      </c>
      <c r="L92" s="599">
        <f>$D$92*Cherokee!M114</f>
        <v>2255.0965553787014</v>
      </c>
      <c r="M92" s="599">
        <f>$D$92*Cherokee!N114</f>
        <v>2225.1748850286963</v>
      </c>
      <c r="N92" s="599">
        <f>$D$92*Cherokee!O114</f>
        <v>2224.6761905228627</v>
      </c>
      <c r="O92" s="599">
        <f>$D$92*Cherokee!P114</f>
        <v>2225.1748850286963</v>
      </c>
      <c r="P92" s="599">
        <f>$D$92*Cherokee!Q114</f>
        <v>2224.6761905228627</v>
      </c>
      <c r="Q92" s="599">
        <f>$D$92*Cherokee!R114</f>
        <v>2225.1748850286963</v>
      </c>
      <c r="R92" s="599">
        <f>$D$92*Cherokee!S114</f>
        <v>2224.6761905228627</v>
      </c>
      <c r="S92" s="599">
        <f>$D$92*Cherokee!T114</f>
        <v>2225.1748850286963</v>
      </c>
      <c r="T92" s="599">
        <f>$D$92*Cherokee!U114</f>
        <v>2224.6761905228627</v>
      </c>
      <c r="U92" s="599">
        <f>$D$92*Cherokee!V114</f>
        <v>2225.1748850286963</v>
      </c>
      <c r="V92" s="599">
        <f>$D$92*Cherokee!W114</f>
        <v>2224.6761905228627</v>
      </c>
      <c r="W92" s="599">
        <f>$D$92*Cherokee!X114</f>
        <v>0</v>
      </c>
      <c r="X92" s="599">
        <f>$D$92*Cherokee!Y114</f>
        <v>0</v>
      </c>
    </row>
    <row r="93" spans="3:24">
      <c r="C93" s="562" t="s">
        <v>255</v>
      </c>
      <c r="E93" s="584">
        <f>SUM(E82:E92)</f>
        <v>194879.13938072999</v>
      </c>
      <c r="F93" s="584">
        <f t="shared" ref="F93:X93" si="16">SUM(F82:F92)</f>
        <v>338489.52967078192</v>
      </c>
      <c r="G93" s="584">
        <f t="shared" si="16"/>
        <v>254220.00309977224</v>
      </c>
      <c r="H93" s="584">
        <f t="shared" si="16"/>
        <v>199414.229996268</v>
      </c>
      <c r="I93" s="584">
        <f t="shared" si="16"/>
        <v>188070.96890307229</v>
      </c>
      <c r="J93" s="584">
        <f t="shared" si="16"/>
        <v>145889.69752478297</v>
      </c>
      <c r="K93" s="584">
        <f t="shared" si="16"/>
        <v>106337.62191761698</v>
      </c>
      <c r="L93" s="584">
        <f t="shared" si="16"/>
        <v>101018.05831332516</v>
      </c>
      <c r="M93" s="584">
        <f t="shared" si="16"/>
        <v>100145.99870606422</v>
      </c>
      <c r="N93" s="584">
        <f t="shared" si="16"/>
        <v>100131.46437927653</v>
      </c>
      <c r="O93" s="584">
        <f t="shared" si="16"/>
        <v>100145.99870606422</v>
      </c>
      <c r="P93" s="584">
        <f t="shared" si="16"/>
        <v>100131.46437927653</v>
      </c>
      <c r="Q93" s="584">
        <f t="shared" si="16"/>
        <v>100145.99870606422</v>
      </c>
      <c r="R93" s="584">
        <f t="shared" si="16"/>
        <v>100131.46437927653</v>
      </c>
      <c r="S93" s="584">
        <f t="shared" si="16"/>
        <v>100145.99870606422</v>
      </c>
      <c r="T93" s="584">
        <f t="shared" si="16"/>
        <v>82484.548089564152</v>
      </c>
      <c r="U93" s="584">
        <f t="shared" si="16"/>
        <v>64852.166126639473</v>
      </c>
      <c r="V93" s="584">
        <f t="shared" si="16"/>
        <v>50055.291678826419</v>
      </c>
      <c r="W93" s="584">
        <f t="shared" si="16"/>
        <v>46937.370831737906</v>
      </c>
      <c r="X93" s="584">
        <f t="shared" si="16"/>
        <v>46926.851474760821</v>
      </c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CN63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4" width="11.5703125" style="520" bestFit="1" customWidth="1"/>
    <col min="25" max="25" width="11.5703125" style="521" bestFit="1" customWidth="1"/>
    <col min="26" max="26" width="10.7109375" style="521" customWidth="1"/>
    <col min="27" max="16384" width="9.140625" style="271"/>
  </cols>
  <sheetData>
    <row r="2" spans="1:92" ht="18.75">
      <c r="A2" s="270" t="s">
        <v>363</v>
      </c>
      <c r="B2" s="270"/>
      <c r="C2" s="7"/>
    </row>
    <row r="3" spans="1:92" ht="16.5" customHeight="1">
      <c r="A3" s="272"/>
      <c r="B3" s="272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Z3" s="522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</row>
    <row r="4" spans="1:92">
      <c r="A4" s="272"/>
      <c r="B4" s="272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Z4" s="522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</row>
    <row r="5" spans="1:92" s="8" customFormat="1" ht="14.25" thickBot="1">
      <c r="A5" s="99" t="s">
        <v>5</v>
      </c>
      <c r="B5" s="99"/>
      <c r="C5" s="9">
        <v>2001</v>
      </c>
      <c r="D5" s="9">
        <f t="shared" ref="D5:V5" si="0">C5+1</f>
        <v>2002</v>
      </c>
      <c r="E5" s="9">
        <f t="shared" si="0"/>
        <v>2003</v>
      </c>
      <c r="F5" s="9">
        <f t="shared" si="0"/>
        <v>2004</v>
      </c>
      <c r="G5" s="9">
        <f t="shared" si="0"/>
        <v>2005</v>
      </c>
      <c r="H5" s="9">
        <f t="shared" si="0"/>
        <v>2006</v>
      </c>
      <c r="I5" s="9">
        <f t="shared" si="0"/>
        <v>2007</v>
      </c>
      <c r="J5" s="9">
        <f t="shared" si="0"/>
        <v>2008</v>
      </c>
      <c r="K5" s="9">
        <f t="shared" si="0"/>
        <v>2009</v>
      </c>
      <c r="L5" s="9">
        <f t="shared" si="0"/>
        <v>2010</v>
      </c>
      <c r="M5" s="9">
        <f t="shared" si="0"/>
        <v>2011</v>
      </c>
      <c r="N5" s="9">
        <f t="shared" si="0"/>
        <v>2012</v>
      </c>
      <c r="O5" s="9">
        <f t="shared" si="0"/>
        <v>2013</v>
      </c>
      <c r="P5" s="9">
        <f t="shared" si="0"/>
        <v>2014</v>
      </c>
      <c r="Q5" s="9">
        <f t="shared" si="0"/>
        <v>2015</v>
      </c>
      <c r="R5" s="9">
        <f t="shared" si="0"/>
        <v>2016</v>
      </c>
      <c r="S5" s="9">
        <f t="shared" si="0"/>
        <v>2017</v>
      </c>
      <c r="T5" s="9">
        <f t="shared" si="0"/>
        <v>2018</v>
      </c>
      <c r="U5" s="9">
        <f t="shared" si="0"/>
        <v>2019</v>
      </c>
      <c r="V5" s="9">
        <f t="shared" si="0"/>
        <v>2020</v>
      </c>
      <c r="W5" s="11"/>
      <c r="X5" s="523" t="s">
        <v>128</v>
      </c>
      <c r="Y5" s="1359" t="s">
        <v>212</v>
      </c>
      <c r="Z5" s="1359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</row>
    <row r="6" spans="1:92">
      <c r="A6" s="3"/>
      <c r="B6" s="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Z6" s="524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</row>
    <row r="7" spans="1:92">
      <c r="A7" s="6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X7" s="525"/>
      <c r="Y7" s="526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</row>
    <row r="8" spans="1:92">
      <c r="A8" s="509" t="s">
        <v>265</v>
      </c>
      <c r="B8" s="1"/>
      <c r="C8" s="283">
        <f>'FPLE_Annual Summary'!E74</f>
        <v>370873.13121855934</v>
      </c>
      <c r="D8" s="283">
        <f>'FPLE_Annual Summary'!F74</f>
        <v>333116.63689174165</v>
      </c>
      <c r="E8" s="283">
        <f>'FPLE_Annual Summary'!G74</f>
        <v>341215.56702612643</v>
      </c>
      <c r="F8" s="283">
        <f>'FPLE_Annual Summary'!H74</f>
        <v>365553.57617057109</v>
      </c>
      <c r="G8" s="283">
        <f>'FPLE_Annual Summary'!I74</f>
        <v>367143.13220870157</v>
      </c>
      <c r="H8" s="283">
        <f>'FPLE_Annual Summary'!J74</f>
        <v>385859.70640254871</v>
      </c>
      <c r="I8" s="283">
        <f>'FPLE_Annual Summary'!K74</f>
        <v>373673.76139679283</v>
      </c>
      <c r="J8" s="283">
        <f>'FPLE_Annual Summary'!L74</f>
        <v>358774.72067538439</v>
      </c>
      <c r="K8" s="283">
        <f>'FPLE_Annual Summary'!M74</f>
        <v>362094.20073048549</v>
      </c>
      <c r="L8" s="283">
        <f>'FPLE_Annual Summary'!N74</f>
        <v>399575.78911545442</v>
      </c>
      <c r="M8" s="283">
        <f>'FPLE_Annual Summary'!O74</f>
        <v>383122.79129371274</v>
      </c>
      <c r="N8" s="283">
        <f>'FPLE_Annual Summary'!P74</f>
        <v>346174.69962349755</v>
      </c>
      <c r="O8" s="283">
        <f>'FPLE_Annual Summary'!Q74</f>
        <v>373463.8910567367</v>
      </c>
      <c r="P8" s="283">
        <f>'FPLE_Annual Summary'!R74</f>
        <v>409477.33307518705</v>
      </c>
      <c r="Q8" s="283">
        <f>'FPLE_Annual Summary'!S74</f>
        <v>399795.47358727804</v>
      </c>
      <c r="R8" s="283">
        <f>'FPLE_Annual Summary'!T74</f>
        <v>419435.93160907994</v>
      </c>
      <c r="S8" s="283">
        <f>'FPLE_Annual Summary'!U74</f>
        <v>362242.12176054216</v>
      </c>
      <c r="T8" s="283">
        <f>'FPLE_Annual Summary'!V74</f>
        <v>353966.10588849382</v>
      </c>
      <c r="U8" s="283">
        <f>'FPLE_Annual Summary'!W74</f>
        <v>385448.88802843948</v>
      </c>
      <c r="V8" s="283">
        <f>'FPLE_Annual Summary'!X74</f>
        <v>366682.21336082846</v>
      </c>
      <c r="X8" s="525">
        <f>SUM(C8:V8)</f>
        <v>7457689.6711201621</v>
      </c>
      <c r="Y8" s="527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8" s="609">
        <f>X8-Y8</f>
        <v>0</v>
      </c>
    </row>
    <row r="9" spans="1:92">
      <c r="A9" s="509"/>
      <c r="B9" s="1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X9" s="525"/>
      <c r="Y9" s="527"/>
      <c r="Z9" s="609"/>
    </row>
    <row r="10" spans="1:92">
      <c r="A10" s="4" t="s">
        <v>264</v>
      </c>
      <c r="B10" s="1"/>
      <c r="C10" s="322">
        <f>'Maine Hydro'!F138+'Maine Thermal'!F138+Lamar!F138+'Marcus Hook 50'!F138+Doswell!F138+'Doswell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25861.840802709379</v>
      </c>
      <c r="D10" s="322">
        <f>'Maine Hydro'!G138+'Maine Thermal'!G138+Lamar!G138+'Marcus Hook 50'!G138+Doswell!G138+'Doswell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26242.181333865115</v>
      </c>
      <c r="E10" s="322">
        <f>'Maine Hydro'!H138+'Maine Thermal'!H138+Lamar!H138+'Marcus Hook 50'!H138+Doswell!H138+'Doswell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25700.701317067131</v>
      </c>
      <c r="F10" s="322">
        <f>'Maine Hydro'!I138+'Maine Thermal'!I138+Lamar!I138+'Marcus Hook 50'!I138+Doswell!I138+'Doswell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25203.179520255075</v>
      </c>
      <c r="G10" s="322">
        <f>'Maine Hydro'!J138+'Maine Thermal'!J138+Lamar!J138+'Marcus Hook 50'!J138+Doswell!J138+'Doswell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25241.108558434502</v>
      </c>
      <c r="H10" s="322">
        <f>'Maine Hydro'!K138+'Maine Thermal'!K138+Lamar!K138+'Marcus Hook 50'!K138+Doswell!K138+'Doswell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25357.684644168701</v>
      </c>
      <c r="I10" s="322">
        <f>'Maine Hydro'!L138+'Maine Thermal'!L138+Lamar!L138+'Marcus Hook 50'!L138+Doswell!L138+'Doswell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24537.558009302829</v>
      </c>
      <c r="J10" s="322">
        <f>'Maine Hydro'!M138+'Maine Thermal'!M138+Lamar!M138+'Marcus Hook 50'!M138+Doswell!M138+'Doswell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23715.818635935801</v>
      </c>
      <c r="K10" s="322">
        <f>'Maine Hydro'!N138+'Maine Thermal'!N138+Lamar!N138+'Marcus Hook 50'!N138+Doswell!N138+'Doswell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22396.536552243011</v>
      </c>
      <c r="L10" s="322">
        <f>'Maine Hydro'!O138+'Maine Thermal'!O138+Lamar!O138+'Marcus Hook 50'!O138+Doswell!O138+'Doswell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21455.242143802039</v>
      </c>
      <c r="M10" s="322">
        <f>'Maine Hydro'!P138+'Maine Thermal'!P138+Lamar!P138+'Marcus Hook 50'!P138+Doswell!P138+'Doswell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20207.867562188327</v>
      </c>
      <c r="N10" s="322">
        <f>'Maine Hydro'!Q138+'Maine Thermal'!Q138+Lamar!Q138+'Marcus Hook 50'!Q138+Doswell!Q138+'Doswell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18865.326678486977</v>
      </c>
      <c r="O10" s="322">
        <f>'Maine Hydro'!R138+'Maine Thermal'!R138+Lamar!R138+'Marcus Hook 50'!R138+Doswell!R138+'Doswell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17523.392600423122</v>
      </c>
      <c r="P10" s="322">
        <f>'Maine Hydro'!S138+'Maine Thermal'!S138+Lamar!S138+'Marcus Hook 50'!S138+Doswell!S138+'Doswell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17699.438125699147</v>
      </c>
      <c r="Q10" s="322">
        <f>'Maine Hydro'!T138+'Maine Thermal'!T138+Lamar!T138+'Marcus Hook 50'!T138+Doswell!T138+'Doswell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15925.631503276634</v>
      </c>
      <c r="R10" s="322">
        <f>'Maine Hydro'!U138+'Maine Thermal'!U138+Lamar!U138+'Marcus Hook 50'!U138+Doswell!U138+'Doswell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15752.951751480348</v>
      </c>
      <c r="S10" s="322">
        <f>'Maine Hydro'!V138+'Maine Thermal'!V138+Lamar!V138+'Marcus Hook 50'!V138+Doswell!V138+'Doswell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16217.008757022881</v>
      </c>
      <c r="T10" s="322">
        <f>'Maine Hydro'!W138+'Maine Thermal'!W138+Lamar!W138+'Marcus Hook 50'!W138+Doswell!W138+'Doswell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15669.799678290547</v>
      </c>
      <c r="U10" s="322">
        <f>'Maine Hydro'!X138+'Maine Thermal'!X138+Lamar!X138+'Marcus Hook 50'!X138+Doswell!X138+'Doswell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15229.828951736323</v>
      </c>
      <c r="V10" s="322">
        <f>'Maine Hydro'!Y138+'Maine Thermal'!Y138+Lamar!Y138+'Marcus Hook 50'!Y138+Doswell!Y138+'Doswell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15135.193160610284</v>
      </c>
      <c r="X10" s="525">
        <f>SUM(C10:V10)</f>
        <v>413938.29028699821</v>
      </c>
      <c r="Y10" s="527">
        <f>SUM('Maine Hydro'!AB138,'Maine Thermal'!AB138,Lamar!AB138,'Marcus Hook 50'!AB138,Doswell!AB138,'Doswell CT'!AB138,'Segs VIII'!AB138,'Segs IX'!AB138,'NELP - Bellingham &amp; Sayreville'!AB138,Cherokee!AB138,'Cerro Gordo'!AB139,'Southwest Mesa'!AB139,Vansycle!AB139,Cameron!AB139,'Pacific Crest'!AB139,'Sky River'!AB139,Ridgetop!AB139,'Green Ridge'!AB139,'Mojave 16-18'!AB139,Morwind!AB139,VG!AB139,'WPP 92'!AB139,'WPP 91-2'!AB139,'WPP 89'!AB139,'WPP 91'!AB139,'WPP 90'!AB139)</f>
        <v>413938.29028699821</v>
      </c>
      <c r="Z10" s="609">
        <f>X10-Y10</f>
        <v>0</v>
      </c>
    </row>
    <row r="11" spans="1:92">
      <c r="A11" s="1"/>
      <c r="B11" s="1"/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X11" s="525"/>
      <c r="Y11" s="527"/>
      <c r="Z11" s="609"/>
    </row>
    <row r="12" spans="1:92" ht="12.75" customHeight="1" outlineLevel="1">
      <c r="A12" s="1"/>
      <c r="B12" s="285" t="s">
        <v>205</v>
      </c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X12" s="525"/>
      <c r="Y12" s="526"/>
      <c r="Z12" s="610"/>
    </row>
    <row r="13" spans="1:92" ht="12.75" customHeight="1" outlineLevel="1">
      <c r="A13" s="331" t="s">
        <v>206</v>
      </c>
      <c r="B13" s="286">
        <v>1</v>
      </c>
      <c r="C13" s="283">
        <f>$B$13*'Maine Hydro'!F41+'Maine Hydro'!F109</f>
        <v>13859</v>
      </c>
      <c r="D13" s="283">
        <f>$B$13*'Maine Hydro'!G41+'Maine Hydro'!G109</f>
        <v>13859</v>
      </c>
      <c r="E13" s="283">
        <f>$B$13*'Maine Hydro'!H41+'Maine Hydro'!H109</f>
        <v>13859</v>
      </c>
      <c r="F13" s="283">
        <f>$B$13*'Maine Hydro'!I41+'Maine Hydro'!I109</f>
        <v>13859</v>
      </c>
      <c r="G13" s="283">
        <f>$B$13*'Maine Hydro'!J41+'Maine Hydro'!J109</f>
        <v>13859</v>
      </c>
      <c r="H13" s="283">
        <f>$B$13*'Maine Hydro'!K41+'Maine Hydro'!K109</f>
        <v>13859</v>
      </c>
      <c r="I13" s="283">
        <f>$B$13*'Maine Hydro'!L41+'Maine Hydro'!L109</f>
        <v>13859</v>
      </c>
      <c r="J13" s="283">
        <f>$B$13*'Maine Hydro'!M41+'Maine Hydro'!M109</f>
        <v>13859</v>
      </c>
      <c r="K13" s="283">
        <f>$B$13*'Maine Hydro'!N41+'Maine Hydro'!N109</f>
        <v>13859</v>
      </c>
      <c r="L13" s="283">
        <f>$B$13*'Maine Hydro'!O41+'Maine Hydro'!O109</f>
        <v>13859</v>
      </c>
      <c r="M13" s="283">
        <f>$B$13*'Maine Hydro'!P41+'Maine Hydro'!P109</f>
        <v>13859</v>
      </c>
      <c r="N13" s="283">
        <f>$B$13*'Maine Hydro'!Q41+'Maine Hydro'!Q109</f>
        <v>13859</v>
      </c>
      <c r="O13" s="283">
        <f>$B$13*'Maine Hydro'!R41+'Maine Hydro'!R109</f>
        <v>13859</v>
      </c>
      <c r="P13" s="283">
        <f>$B$13*'Maine Hydro'!S41+'Maine Hydro'!S109</f>
        <v>13859</v>
      </c>
      <c r="Q13" s="283">
        <f>$B$13*'Maine Hydro'!T41+'Maine Hydro'!T109</f>
        <v>13859</v>
      </c>
      <c r="R13" s="283">
        <f>$B$13*'Maine Hydro'!U41+'Maine Hydro'!U109</f>
        <v>13859</v>
      </c>
      <c r="S13" s="283">
        <f>$B$13*'Maine Hydro'!V41+'Maine Hydro'!V109</f>
        <v>13859</v>
      </c>
      <c r="T13" s="283">
        <f>$B$13*'Maine Hydro'!W41+'Maine Hydro'!W109</f>
        <v>13859</v>
      </c>
      <c r="U13" s="283">
        <f>$B$13*'Maine Hydro'!X41+'Maine Hydro'!X109</f>
        <v>13859</v>
      </c>
      <c r="V13" s="283">
        <f>$B$13*'Maine Hydro'!Y41+'Maine Hydro'!Y109</f>
        <v>13859</v>
      </c>
      <c r="X13" s="528"/>
      <c r="Y13" s="529"/>
      <c r="Z13" s="611"/>
    </row>
    <row r="14" spans="1:92" ht="12.75" customHeight="1" outlineLevel="1">
      <c r="A14" s="331" t="s">
        <v>207</v>
      </c>
      <c r="B14" s="286">
        <v>1</v>
      </c>
      <c r="C14" s="283">
        <f>$B$14*'Maine Thermal'!F41+'Maine Thermal'!F109</f>
        <v>7197</v>
      </c>
      <c r="D14" s="283">
        <f>$B$14*'Maine Thermal'!G41+'Maine Thermal'!G109</f>
        <v>7197</v>
      </c>
      <c r="E14" s="283">
        <f>$B$14*'Maine Thermal'!H41+'Maine Thermal'!H109</f>
        <v>7197</v>
      </c>
      <c r="F14" s="283">
        <f>$B$14*'Maine Thermal'!I41+'Maine Thermal'!I109</f>
        <v>7197</v>
      </c>
      <c r="G14" s="283">
        <f>$B$14*'Maine Thermal'!J41+'Maine Thermal'!J109</f>
        <v>7197</v>
      </c>
      <c r="H14" s="283">
        <f>$B$14*'Maine Thermal'!K41+'Maine Thermal'!K109</f>
        <v>7197</v>
      </c>
      <c r="I14" s="283">
        <f>$B$14*'Maine Thermal'!L41+'Maine Thermal'!L109</f>
        <v>7197</v>
      </c>
      <c r="J14" s="283">
        <f>$B$14*'Maine Thermal'!M41+'Maine Thermal'!M109</f>
        <v>7197</v>
      </c>
      <c r="K14" s="283">
        <f>$B$14*'Maine Thermal'!N41+'Maine Thermal'!N109</f>
        <v>7197</v>
      </c>
      <c r="L14" s="283">
        <f>$B$14*'Maine Thermal'!O41+'Maine Thermal'!O109</f>
        <v>7197</v>
      </c>
      <c r="M14" s="283">
        <f>$B$14*'Maine Thermal'!P41+'Maine Thermal'!P109</f>
        <v>7197</v>
      </c>
      <c r="N14" s="283">
        <f>$B$14*'Maine Thermal'!Q41+'Maine Thermal'!Q109</f>
        <v>7197</v>
      </c>
      <c r="O14" s="283">
        <f>$B$14*'Maine Thermal'!R41+'Maine Thermal'!R109</f>
        <v>7197</v>
      </c>
      <c r="P14" s="283">
        <f>$B$14*'Maine Thermal'!S41+'Maine Thermal'!S109</f>
        <v>7197</v>
      </c>
      <c r="Q14" s="283">
        <f>$B$14*'Maine Thermal'!T41+'Maine Thermal'!T109</f>
        <v>7197</v>
      </c>
      <c r="R14" s="283">
        <f>$B$14*'Maine Thermal'!U41+'Maine Thermal'!U109</f>
        <v>7197</v>
      </c>
      <c r="S14" s="283">
        <f>$B$14*'Maine Thermal'!V41+'Maine Thermal'!V109</f>
        <v>7197</v>
      </c>
      <c r="T14" s="283">
        <f>$B$14*'Maine Thermal'!W41+'Maine Thermal'!W109</f>
        <v>7197</v>
      </c>
      <c r="U14" s="283">
        <f>$B$14*'Maine Thermal'!X41+'Maine Thermal'!X109</f>
        <v>7197</v>
      </c>
      <c r="V14" s="283">
        <f>$B$14*'Maine Thermal'!Y41+'Maine Thermal'!Y109</f>
        <v>7197</v>
      </c>
      <c r="X14" s="528"/>
      <c r="Y14" s="529"/>
      <c r="Z14" s="611"/>
    </row>
    <row r="15" spans="1:92" ht="12.75" customHeight="1" outlineLevel="1">
      <c r="A15" s="331" t="s">
        <v>97</v>
      </c>
      <c r="B15" s="286">
        <v>0.99</v>
      </c>
      <c r="C15" s="283">
        <f>$B$15*Lamar!F41+Lamar!F109</f>
        <v>19295.009999999998</v>
      </c>
      <c r="D15" s="283">
        <f>$B$15*Lamar!G41+Lamar!G109</f>
        <v>19295.009999999998</v>
      </c>
      <c r="E15" s="283">
        <f>$B$15*Lamar!H41+Lamar!H109</f>
        <v>19295.009999999998</v>
      </c>
      <c r="F15" s="283">
        <f>$B$15*Lamar!I41+Lamar!I109</f>
        <v>19295.009999999998</v>
      </c>
      <c r="G15" s="283">
        <f>$B$15*Lamar!J41+Lamar!J109</f>
        <v>19295.009999999998</v>
      </c>
      <c r="H15" s="283">
        <f>$B$15*Lamar!K41+Lamar!K109</f>
        <v>19295.009999999998</v>
      </c>
      <c r="I15" s="283">
        <f>$B$15*Lamar!L41+Lamar!L109</f>
        <v>19295.009999999998</v>
      </c>
      <c r="J15" s="283">
        <f>$B$15*Lamar!M41+Lamar!M109</f>
        <v>19295.009999999998</v>
      </c>
      <c r="K15" s="283">
        <f>$B$15*Lamar!N41+Lamar!N109</f>
        <v>19295.009999999998</v>
      </c>
      <c r="L15" s="283">
        <f>$B$15*Lamar!O41+Lamar!O109</f>
        <v>19295.009999999998</v>
      </c>
      <c r="M15" s="283">
        <f>$B$15*Lamar!P41+Lamar!P109</f>
        <v>19295.009999999998</v>
      </c>
      <c r="N15" s="283">
        <f>$B$15*Lamar!Q41+Lamar!Q109</f>
        <v>19295.009999999998</v>
      </c>
      <c r="O15" s="283">
        <f>$B$15*Lamar!R41+Lamar!R109</f>
        <v>19295.009999999998</v>
      </c>
      <c r="P15" s="283">
        <f>$B$15*Lamar!S41+Lamar!S109</f>
        <v>19295.009999999998</v>
      </c>
      <c r="Q15" s="283">
        <f>$B$15*Lamar!T41+Lamar!T109</f>
        <v>19295.009999999998</v>
      </c>
      <c r="R15" s="283">
        <f>$B$15*Lamar!U41+Lamar!U109</f>
        <v>19295.009999999998</v>
      </c>
      <c r="S15" s="283">
        <f>$B$15*Lamar!V41+Lamar!V109</f>
        <v>19295.009999999998</v>
      </c>
      <c r="T15" s="283">
        <f>$B$15*Lamar!W41+Lamar!W109</f>
        <v>19295.009999999998</v>
      </c>
      <c r="U15" s="283">
        <f>$B$15*Lamar!X41+Lamar!X109</f>
        <v>19295.009999999998</v>
      </c>
      <c r="V15" s="283">
        <f>$B$15*Lamar!Y41+Lamar!Y109</f>
        <v>19295.009999999998</v>
      </c>
      <c r="X15" s="528"/>
      <c r="Y15" s="529"/>
      <c r="Z15" s="611"/>
    </row>
    <row r="16" spans="1:92" ht="12.75" customHeight="1" outlineLevel="1">
      <c r="A16" s="331" t="s">
        <v>98</v>
      </c>
      <c r="B16" s="286">
        <v>1</v>
      </c>
      <c r="C16" s="283">
        <f>$B$16*'Marcus Hook 50'!F41+'Marcus Hook 50'!F109</f>
        <v>1165</v>
      </c>
      <c r="D16" s="283">
        <f>$B$16*'Marcus Hook 50'!G41+'Marcus Hook 50'!G109</f>
        <v>1165</v>
      </c>
      <c r="E16" s="283">
        <f>$B$16*'Marcus Hook 50'!H41+'Marcus Hook 50'!H109</f>
        <v>1165</v>
      </c>
      <c r="F16" s="283">
        <f>$B$16*'Marcus Hook 50'!I41+'Marcus Hook 50'!I109</f>
        <v>1165</v>
      </c>
      <c r="G16" s="283">
        <f>$B$16*'Marcus Hook 50'!J41+'Marcus Hook 50'!J109</f>
        <v>1165</v>
      </c>
      <c r="H16" s="283">
        <f>$B$16*'Marcus Hook 50'!K41+'Marcus Hook 50'!K109</f>
        <v>1165</v>
      </c>
      <c r="I16" s="283">
        <f>$B$16*'Marcus Hook 50'!L41+'Marcus Hook 50'!L109</f>
        <v>1165</v>
      </c>
      <c r="J16" s="283">
        <f>$B$16*'Marcus Hook 50'!M41+'Marcus Hook 50'!M109</f>
        <v>1165</v>
      </c>
      <c r="K16" s="283">
        <f>$B$16*'Marcus Hook 50'!N41+'Marcus Hook 50'!N109</f>
        <v>1165</v>
      </c>
      <c r="L16" s="283">
        <f>$B$16*'Marcus Hook 50'!O41+'Marcus Hook 50'!O109</f>
        <v>1165</v>
      </c>
      <c r="M16" s="283">
        <f>$B$16*'Marcus Hook 50'!P41+'Marcus Hook 50'!P109</f>
        <v>1165</v>
      </c>
      <c r="N16" s="283">
        <f>$B$16*'Marcus Hook 50'!Q41+'Marcus Hook 50'!Q109</f>
        <v>1165</v>
      </c>
      <c r="O16" s="283">
        <f>$B$16*'Marcus Hook 50'!R41+'Marcus Hook 50'!R109</f>
        <v>1165</v>
      </c>
      <c r="P16" s="283">
        <f>$B$16*'Marcus Hook 50'!S41+'Marcus Hook 50'!S109</f>
        <v>1165</v>
      </c>
      <c r="Q16" s="283">
        <f>$B$16*'Marcus Hook 50'!T41+'Marcus Hook 50'!T109</f>
        <v>1165</v>
      </c>
      <c r="R16" s="283">
        <f>$B$16*'Marcus Hook 50'!U41+'Marcus Hook 50'!U109</f>
        <v>1165</v>
      </c>
      <c r="S16" s="283">
        <f>$B$16*'Marcus Hook 50'!V41+'Marcus Hook 50'!V109</f>
        <v>1165</v>
      </c>
      <c r="T16" s="283">
        <f>$B$16*'Marcus Hook 50'!W41+'Marcus Hook 50'!W109</f>
        <v>1165</v>
      </c>
      <c r="U16" s="283">
        <f>$B$16*'Marcus Hook 50'!X41+'Marcus Hook 50'!X109</f>
        <v>0</v>
      </c>
      <c r="V16" s="283">
        <f>$B$16*'Marcus Hook 50'!Y41+'Marcus Hook 50'!Y109</f>
        <v>0</v>
      </c>
      <c r="X16" s="528"/>
      <c r="Y16" s="529"/>
      <c r="Z16" s="611"/>
    </row>
    <row r="17" spans="1:26" ht="12.75" customHeight="1" outlineLevel="1">
      <c r="A17" s="331" t="s">
        <v>100</v>
      </c>
      <c r="B17" s="286">
        <v>1</v>
      </c>
      <c r="C17" s="283">
        <f>$B$17*Doswell!F41+Doswell!F109</f>
        <v>9542</v>
      </c>
      <c r="D17" s="283">
        <f>$B$17*Doswell!G41+Doswell!G109</f>
        <v>9542</v>
      </c>
      <c r="E17" s="283">
        <f>$B$17*Doswell!H41+Doswell!H109</f>
        <v>9542</v>
      </c>
      <c r="F17" s="283">
        <f>$B$17*Doswell!I41+Doswell!I109</f>
        <v>9542</v>
      </c>
      <c r="G17" s="283">
        <f>$B$17*Doswell!J41+Doswell!J109</f>
        <v>9542</v>
      </c>
      <c r="H17" s="283">
        <f>$B$17*Doswell!K41+Doswell!K109</f>
        <v>9542</v>
      </c>
      <c r="I17" s="283">
        <f>$B$17*Doswell!L41+Doswell!L109</f>
        <v>9542</v>
      </c>
      <c r="J17" s="283">
        <f>$B$17*Doswell!M41+Doswell!M109</f>
        <v>9542</v>
      </c>
      <c r="K17" s="283">
        <f>$B$17*Doswell!N41+Doswell!N109</f>
        <v>9542</v>
      </c>
      <c r="L17" s="283">
        <f>$B$17*Doswell!O41+Doswell!O109</f>
        <v>9542</v>
      </c>
      <c r="M17" s="283">
        <f>$B$17*Doswell!P41+Doswell!P109</f>
        <v>9542</v>
      </c>
      <c r="N17" s="283">
        <f>$B$17*Doswell!Q41+Doswell!Q109</f>
        <v>9542</v>
      </c>
      <c r="O17" s="283">
        <f>$B$17*Doswell!R41+Doswell!R109</f>
        <v>9542</v>
      </c>
      <c r="P17" s="283">
        <f>$B$17*Doswell!S41+Doswell!S109</f>
        <v>9542</v>
      </c>
      <c r="Q17" s="283">
        <f>$B$17*Doswell!T41+Doswell!T109</f>
        <v>9542</v>
      </c>
      <c r="R17" s="283">
        <f>$B$17*Doswell!U41+Doswell!U109</f>
        <v>9542</v>
      </c>
      <c r="S17" s="283">
        <f>$B$17*Doswell!V41+Doswell!V109</f>
        <v>9542</v>
      </c>
      <c r="T17" s="283">
        <f>$B$17*Doswell!W41+Doswell!W109</f>
        <v>0</v>
      </c>
      <c r="U17" s="283">
        <f>$B$17*Doswell!X41+Doswell!X109</f>
        <v>0</v>
      </c>
      <c r="V17" s="283">
        <f>$B$17*Doswell!Y41+Doswell!Y109</f>
        <v>0</v>
      </c>
      <c r="X17" s="528"/>
      <c r="Y17" s="529"/>
      <c r="Z17" s="611"/>
    </row>
    <row r="18" spans="1:26" ht="12.75" customHeight="1" outlineLevel="1">
      <c r="A18" s="331" t="s">
        <v>115</v>
      </c>
      <c r="B18" s="286">
        <v>1</v>
      </c>
      <c r="C18" s="283">
        <f>$B$18*'Doswell CT'!F41+'Doswell CT'!F109</f>
        <v>4087</v>
      </c>
      <c r="D18" s="283">
        <f>$B$18*'Doswell CT'!G41+'Doswell CT'!G109</f>
        <v>4087</v>
      </c>
      <c r="E18" s="283">
        <f>$B$18*'Doswell CT'!H41+'Doswell CT'!H109</f>
        <v>4087</v>
      </c>
      <c r="F18" s="283">
        <f>$B$18*'Doswell CT'!I41+'Doswell CT'!I109</f>
        <v>4087</v>
      </c>
      <c r="G18" s="283">
        <f>$B$18*'Doswell CT'!J41+'Doswell CT'!J109</f>
        <v>4087</v>
      </c>
      <c r="H18" s="283">
        <f>$B$18*'Doswell CT'!K41+'Doswell CT'!K109</f>
        <v>4087</v>
      </c>
      <c r="I18" s="283">
        <f>$B$18*'Doswell CT'!L41+'Doswell CT'!L109</f>
        <v>4087</v>
      </c>
      <c r="J18" s="283">
        <f>$B$18*'Doswell CT'!M41+'Doswell CT'!M109</f>
        <v>4087</v>
      </c>
      <c r="K18" s="283">
        <f>$B$18*'Doswell CT'!N41+'Doswell CT'!N109</f>
        <v>4087</v>
      </c>
      <c r="L18" s="283">
        <f>$B$18*'Doswell CT'!O41+'Doswell CT'!O109</f>
        <v>4087</v>
      </c>
      <c r="M18" s="283">
        <f>$B$18*'Doswell CT'!P41+'Doswell CT'!P109</f>
        <v>4087</v>
      </c>
      <c r="N18" s="283">
        <f>$B$18*'Doswell CT'!Q41+'Doswell CT'!Q109</f>
        <v>4087</v>
      </c>
      <c r="O18" s="283">
        <f>$B$18*'Doswell CT'!R41+'Doswell CT'!R109</f>
        <v>4087</v>
      </c>
      <c r="P18" s="283">
        <f>$B$18*'Doswell CT'!S41+'Doswell CT'!S109</f>
        <v>4087</v>
      </c>
      <c r="Q18" s="283">
        <f>$B$18*'Doswell CT'!T41+'Doswell CT'!T109</f>
        <v>4087</v>
      </c>
      <c r="R18" s="283">
        <f>$B$18*'Doswell CT'!U41+'Doswell CT'!U109</f>
        <v>4087</v>
      </c>
      <c r="S18" s="283">
        <f>$B$18*'Doswell CT'!V41+'Doswell CT'!V109</f>
        <v>4087</v>
      </c>
      <c r="T18" s="283">
        <f>$B$18*'Doswell CT'!W41+'Doswell CT'!W109</f>
        <v>4087</v>
      </c>
      <c r="U18" s="283">
        <f>$B$18*'Doswell CT'!X41+'Doswell CT'!X109</f>
        <v>4087</v>
      </c>
      <c r="V18" s="283">
        <f>$B$18*'Doswell CT'!Y41+'Doswell CT'!Y109</f>
        <v>4087</v>
      </c>
      <c r="X18" s="528"/>
      <c r="Y18" s="529"/>
      <c r="Z18" s="611"/>
    </row>
    <row r="19" spans="1:26" ht="12.75" customHeight="1" outlineLevel="1">
      <c r="A19" s="331" t="s">
        <v>101</v>
      </c>
      <c r="B19" s="287">
        <v>1</v>
      </c>
      <c r="C19" s="283">
        <f>'FPLE_Wind Annual Summary'!F176</f>
        <v>16181</v>
      </c>
      <c r="D19" s="283">
        <f>'FPLE_Wind Annual Summary'!G176</f>
        <v>16181</v>
      </c>
      <c r="E19" s="283">
        <f>'FPLE_Wind Annual Summary'!H176</f>
        <v>16181</v>
      </c>
      <c r="F19" s="283">
        <f>'FPLE_Wind Annual Summary'!I176</f>
        <v>16181</v>
      </c>
      <c r="G19" s="283">
        <f>'FPLE_Wind Annual Summary'!J176</f>
        <v>16181</v>
      </c>
      <c r="H19" s="283">
        <f>'FPLE_Wind Annual Summary'!K176</f>
        <v>16181</v>
      </c>
      <c r="I19" s="283">
        <f>'FPLE_Wind Annual Summary'!L176</f>
        <v>16181</v>
      </c>
      <c r="J19" s="283">
        <f>'FPLE_Wind Annual Summary'!M176</f>
        <v>16181</v>
      </c>
      <c r="K19" s="283">
        <f>'FPLE_Wind Annual Summary'!N176</f>
        <v>16181</v>
      </c>
      <c r="L19" s="283">
        <f>'FPLE_Wind Annual Summary'!O176</f>
        <v>16181</v>
      </c>
      <c r="M19" s="283">
        <f>'FPLE_Wind Annual Summary'!P176</f>
        <v>16181</v>
      </c>
      <c r="N19" s="283">
        <f>'FPLE_Wind Annual Summary'!Q176</f>
        <v>16181</v>
      </c>
      <c r="O19" s="283">
        <f>'FPLE_Wind Annual Summary'!R176</f>
        <v>16181</v>
      </c>
      <c r="P19" s="283">
        <f>'FPLE_Wind Annual Summary'!S176</f>
        <v>15398.5</v>
      </c>
      <c r="Q19" s="283">
        <f>'FPLE_Wind Annual Summary'!T176</f>
        <v>15005</v>
      </c>
      <c r="R19" s="283">
        <f>'FPLE_Wind Annual Summary'!U176</f>
        <v>14893.5</v>
      </c>
      <c r="S19" s="283">
        <f>'FPLE_Wind Annual Summary'!V176</f>
        <v>14229</v>
      </c>
      <c r="T19" s="283">
        <f>'FPLE_Wind Annual Summary'!W176</f>
        <v>14229</v>
      </c>
      <c r="U19" s="283">
        <f>'FPLE_Wind Annual Summary'!X176</f>
        <v>14031</v>
      </c>
      <c r="V19" s="283">
        <f>'FPLE_Wind Annual Summary'!Y176</f>
        <v>7661.5</v>
      </c>
      <c r="X19" s="528"/>
      <c r="Y19" s="529"/>
      <c r="Z19" s="611"/>
    </row>
    <row r="20" spans="1:26" ht="12.75" customHeight="1" outlineLevel="1">
      <c r="A20" s="331" t="s">
        <v>208</v>
      </c>
      <c r="B20" s="286">
        <v>0.5</v>
      </c>
      <c r="C20" s="283">
        <f>$B$20*'Segs VIII'!F41+'Segs VIII'!F109</f>
        <v>3695.5</v>
      </c>
      <c r="D20" s="283">
        <f>$B$20*'Segs VIII'!G41+'Segs VIII'!G109</f>
        <v>3695.5</v>
      </c>
      <c r="E20" s="283">
        <f>$B$20*'Segs VIII'!H41+'Segs VIII'!H109</f>
        <v>3695.5</v>
      </c>
      <c r="F20" s="283">
        <f>$B$20*'Segs VIII'!I41+'Segs VIII'!I109</f>
        <v>3695.5</v>
      </c>
      <c r="G20" s="283">
        <f>$B$20*'Segs VIII'!J41+'Segs VIII'!J109</f>
        <v>3695.5</v>
      </c>
      <c r="H20" s="283">
        <f>$B$20*'Segs VIII'!K41+'Segs VIII'!K109</f>
        <v>3695.5</v>
      </c>
      <c r="I20" s="283">
        <f>$B$20*'Segs VIII'!L41+'Segs VIII'!L109</f>
        <v>3695.5</v>
      </c>
      <c r="J20" s="283">
        <f>$B$20*'Segs VIII'!M41+'Segs VIII'!M109</f>
        <v>3695.5</v>
      </c>
      <c r="K20" s="283">
        <f>$B$20*'Segs VIII'!N41+'Segs VIII'!N109</f>
        <v>3695.5</v>
      </c>
      <c r="L20" s="283">
        <f>$B$20*'Segs VIII'!O41+'Segs VIII'!O109</f>
        <v>3695.5</v>
      </c>
      <c r="M20" s="283">
        <f>$B$20*'Segs VIII'!P41+'Segs VIII'!P109</f>
        <v>3695.5</v>
      </c>
      <c r="N20" s="283">
        <f>$B$20*'Segs VIII'!Q41+'Segs VIII'!Q109</f>
        <v>3695.5</v>
      </c>
      <c r="O20" s="283">
        <f>$B$20*'Segs VIII'!R41+'Segs VIII'!R109</f>
        <v>3695.5</v>
      </c>
      <c r="P20" s="283">
        <f>$B$20*'Segs VIII'!S41+'Segs VIII'!S109</f>
        <v>3695.5</v>
      </c>
      <c r="Q20" s="283">
        <f>$B$20*'Segs VIII'!T41+'Segs VIII'!T109</f>
        <v>3695.5</v>
      </c>
      <c r="R20" s="283">
        <f>$B$20*'Segs VIII'!U41+'Segs VIII'!U109</f>
        <v>3695.5</v>
      </c>
      <c r="S20" s="283">
        <f>$B$20*'Segs VIII'!V41+'Segs VIII'!V109</f>
        <v>3695.5</v>
      </c>
      <c r="T20" s="283">
        <f>$B$20*'Segs VIII'!W41+'Segs VIII'!W109</f>
        <v>3695.5</v>
      </c>
      <c r="U20" s="283">
        <f>$B$20*'Segs VIII'!X41+'Segs VIII'!X109</f>
        <v>3695.5</v>
      </c>
      <c r="V20" s="283">
        <f>$B$20*'Segs VIII'!Y41+'Segs VIII'!Y109</f>
        <v>3695.5</v>
      </c>
      <c r="X20" s="528"/>
      <c r="Y20" s="529"/>
      <c r="Z20" s="611"/>
    </row>
    <row r="21" spans="1:26" ht="12.75" customHeight="1" outlineLevel="1">
      <c r="A21" s="331" t="s">
        <v>209</v>
      </c>
      <c r="B21" s="286">
        <v>0.5</v>
      </c>
      <c r="C21" s="283">
        <f>$B$21*'Segs IX'!F41+'Segs IX'!F109</f>
        <v>4090</v>
      </c>
      <c r="D21" s="283">
        <f>$B$21*'Segs IX'!G41+'Segs IX'!G109</f>
        <v>4090</v>
      </c>
      <c r="E21" s="283">
        <f>$B$21*'Segs IX'!H41+'Segs IX'!H109</f>
        <v>4090</v>
      </c>
      <c r="F21" s="283">
        <f>$B$21*'Segs IX'!I41+'Segs IX'!I109</f>
        <v>4090</v>
      </c>
      <c r="G21" s="283">
        <f>$B$21*'Segs IX'!J41+'Segs IX'!J109</f>
        <v>4090</v>
      </c>
      <c r="H21" s="283">
        <f>$B$21*'Segs IX'!K41+'Segs IX'!K109</f>
        <v>4090</v>
      </c>
      <c r="I21" s="283">
        <f>$B$21*'Segs IX'!L41+'Segs IX'!L109</f>
        <v>4090</v>
      </c>
      <c r="J21" s="283">
        <f>$B$21*'Segs IX'!M41+'Segs IX'!M109</f>
        <v>4090</v>
      </c>
      <c r="K21" s="283">
        <f>$B$21*'Segs IX'!N41+'Segs IX'!N109</f>
        <v>4090</v>
      </c>
      <c r="L21" s="283">
        <f>$B$21*'Segs IX'!O41+'Segs IX'!O109</f>
        <v>4090</v>
      </c>
      <c r="M21" s="283">
        <f>$B$21*'Segs IX'!P41+'Segs IX'!P109</f>
        <v>4090</v>
      </c>
      <c r="N21" s="283">
        <f>$B$21*'Segs IX'!Q41+'Segs IX'!Q109</f>
        <v>4090</v>
      </c>
      <c r="O21" s="283">
        <f>$B$21*'Segs IX'!R41+'Segs IX'!R109</f>
        <v>4090</v>
      </c>
      <c r="P21" s="283">
        <f>$B$21*'Segs IX'!S41+'Segs IX'!S109</f>
        <v>4090</v>
      </c>
      <c r="Q21" s="283">
        <f>$B$21*'Segs IX'!T41+'Segs IX'!T109</f>
        <v>4090</v>
      </c>
      <c r="R21" s="283">
        <f>$B$21*'Segs IX'!U41+'Segs IX'!U109</f>
        <v>4090</v>
      </c>
      <c r="S21" s="283">
        <f>$B$21*'Segs IX'!V41+'Segs IX'!V109</f>
        <v>4090</v>
      </c>
      <c r="T21" s="283">
        <f>$B$21*'Segs IX'!W41+'Segs IX'!W109</f>
        <v>4090</v>
      </c>
      <c r="U21" s="283">
        <f>$B$21*'Segs IX'!X41+'Segs IX'!X109</f>
        <v>4090</v>
      </c>
      <c r="V21" s="283">
        <f>$B$21*'Segs IX'!Y41+'Segs IX'!Y109</f>
        <v>4090</v>
      </c>
      <c r="X21" s="528"/>
      <c r="Y21" s="529"/>
      <c r="Z21" s="611"/>
    </row>
    <row r="22" spans="1:26" s="281" customFormat="1" ht="12.75" customHeight="1" outlineLevel="1">
      <c r="A22" s="331" t="s">
        <v>210</v>
      </c>
      <c r="B22" s="286">
        <v>0.5</v>
      </c>
      <c r="C22" s="278">
        <f>$B$22*'NELP - Bellingham &amp; Sayreville'!F41+'NELP - Bellingham &amp; Sayreville'!F109</f>
        <v>18858</v>
      </c>
      <c r="D22" s="278">
        <f>$B$22*'NELP - Bellingham &amp; Sayreville'!G41+'NELP - Bellingham &amp; Sayreville'!G109</f>
        <v>18858</v>
      </c>
      <c r="E22" s="278">
        <f>$B$22*'NELP - Bellingham &amp; Sayreville'!H41+'NELP - Bellingham &amp; Sayreville'!H109</f>
        <v>18858</v>
      </c>
      <c r="F22" s="278">
        <f>$B$22*'NELP - Bellingham &amp; Sayreville'!I41+'NELP - Bellingham &amp; Sayreville'!I109</f>
        <v>18858</v>
      </c>
      <c r="G22" s="278">
        <f>$B$22*'NELP - Bellingham &amp; Sayreville'!J41+'NELP - Bellingham &amp; Sayreville'!J109</f>
        <v>18858</v>
      </c>
      <c r="H22" s="278">
        <f>$B$22*'NELP - Bellingham &amp; Sayreville'!K41+'NELP - Bellingham &amp; Sayreville'!K109</f>
        <v>18858</v>
      </c>
      <c r="I22" s="278">
        <f>$B$22*'NELP - Bellingham &amp; Sayreville'!L41+'NELP - Bellingham &amp; Sayreville'!L109</f>
        <v>18858</v>
      </c>
      <c r="J22" s="278">
        <f>$B$22*'NELP - Bellingham &amp; Sayreville'!M41+'NELP - Bellingham &amp; Sayreville'!M109</f>
        <v>18858</v>
      </c>
      <c r="K22" s="278">
        <f>$B$22*'NELP - Bellingham &amp; Sayreville'!N41+'NELP - Bellingham &amp; Sayreville'!N109</f>
        <v>18858</v>
      </c>
      <c r="L22" s="278">
        <f>$B$22*'NELP - Bellingham &amp; Sayreville'!O41+'NELP - Bellingham &amp; Sayreville'!O109</f>
        <v>18858</v>
      </c>
      <c r="M22" s="278">
        <f>$B$22*'NELP - Bellingham &amp; Sayreville'!P41+'NELP - Bellingham &amp; Sayreville'!P109</f>
        <v>18858</v>
      </c>
      <c r="N22" s="278">
        <f>$B$22*'NELP - Bellingham &amp; Sayreville'!Q41+'NELP - Bellingham &amp; Sayreville'!Q109</f>
        <v>18858</v>
      </c>
      <c r="O22" s="278">
        <f>$B$22*'NELP - Bellingham &amp; Sayreville'!R41+'NELP - Bellingham &amp; Sayreville'!R109</f>
        <v>18858</v>
      </c>
      <c r="P22" s="278">
        <f>$B$22*'NELP - Bellingham &amp; Sayreville'!S41+'NELP - Bellingham &amp; Sayreville'!S109</f>
        <v>18858</v>
      </c>
      <c r="Q22" s="278">
        <f>$B$22*'NELP - Bellingham &amp; Sayreville'!T41+'NELP - Bellingham &amp; Sayreville'!T109</f>
        <v>18858</v>
      </c>
      <c r="R22" s="278">
        <f>$B$22*'NELP - Bellingham &amp; Sayreville'!U41+'NELP - Bellingham &amp; Sayreville'!U109</f>
        <v>18858</v>
      </c>
      <c r="S22" s="278">
        <f>$B$22*'NELP - Bellingham &amp; Sayreville'!V41+'NELP - Bellingham &amp; Sayreville'!V109</f>
        <v>18858</v>
      </c>
      <c r="T22" s="278">
        <f>$B$22*'NELP - Bellingham &amp; Sayreville'!W41+'NELP - Bellingham &amp; Sayreville'!W109</f>
        <v>18858</v>
      </c>
      <c r="U22" s="278">
        <f>$B$22*'NELP - Bellingham &amp; Sayreville'!X41+'NELP - Bellingham &amp; Sayreville'!X109</f>
        <v>18858</v>
      </c>
      <c r="V22" s="278">
        <f>$B$22*'NELP - Bellingham &amp; Sayreville'!Y41+'NELP - Bellingham &amp; Sayreville'!Y109</f>
        <v>18858</v>
      </c>
      <c r="W22" s="279"/>
      <c r="X22" s="530"/>
      <c r="Y22" s="531"/>
      <c r="Z22" s="611"/>
    </row>
    <row r="23" spans="1:26" s="281" customFormat="1" ht="12.75" customHeight="1" outlineLevel="1">
      <c r="A23" s="331" t="s">
        <v>104</v>
      </c>
      <c r="B23" s="286">
        <v>0.5</v>
      </c>
      <c r="C23" s="511">
        <f>$B$23*Cherokee!F41+Cherokee!F109</f>
        <v>1767.5</v>
      </c>
      <c r="D23" s="511">
        <f>$B$23*Cherokee!G41+Cherokee!G109</f>
        <v>1767.5</v>
      </c>
      <c r="E23" s="511">
        <f>$B$23*Cherokee!H41+Cherokee!H109</f>
        <v>1767.5</v>
      </c>
      <c r="F23" s="511">
        <f>$B$23*Cherokee!I41+Cherokee!I109</f>
        <v>1767.5</v>
      </c>
      <c r="G23" s="511">
        <f>$B$23*Cherokee!J41+Cherokee!J109</f>
        <v>1767.5</v>
      </c>
      <c r="H23" s="511">
        <f>$B$23*Cherokee!K41+Cherokee!K109</f>
        <v>1767.5</v>
      </c>
      <c r="I23" s="511">
        <f>$B$23*Cherokee!L41+Cherokee!L109</f>
        <v>1767.5</v>
      </c>
      <c r="J23" s="511">
        <f>$B$23*Cherokee!M41+Cherokee!M109</f>
        <v>1767.5</v>
      </c>
      <c r="K23" s="511">
        <f>$B$23*Cherokee!N41+Cherokee!N109</f>
        <v>1767.5</v>
      </c>
      <c r="L23" s="511">
        <f>$B$23*Cherokee!O41+Cherokee!O109</f>
        <v>1767.5</v>
      </c>
      <c r="M23" s="511">
        <f>$B$23*Cherokee!P41+Cherokee!P109</f>
        <v>1767.5</v>
      </c>
      <c r="N23" s="511">
        <f>$B$23*Cherokee!Q41+Cherokee!Q109</f>
        <v>1767.5</v>
      </c>
      <c r="O23" s="511">
        <f>$B$23*Cherokee!R41+Cherokee!R109</f>
        <v>1767.5</v>
      </c>
      <c r="P23" s="511">
        <f>$B$23*Cherokee!S41+Cherokee!S109</f>
        <v>1767.5</v>
      </c>
      <c r="Q23" s="511">
        <f>$B$23*Cherokee!T41+Cherokee!T109</f>
        <v>1767.5</v>
      </c>
      <c r="R23" s="511">
        <f>$B$23*Cherokee!U41+Cherokee!U109</f>
        <v>1767.5</v>
      </c>
      <c r="S23" s="511">
        <f>$B$23*Cherokee!V41+Cherokee!V109</f>
        <v>1767.5</v>
      </c>
      <c r="T23" s="511">
        <f>$B$23*Cherokee!W41+Cherokee!W109</f>
        <v>1767.5</v>
      </c>
      <c r="U23" s="511">
        <f>$B$23*Cherokee!X41+Cherokee!X109</f>
        <v>0</v>
      </c>
      <c r="V23" s="511">
        <f>$B$23*Cherokee!Y41+Cherokee!Y109</f>
        <v>0</v>
      </c>
      <c r="W23" s="279"/>
      <c r="X23" s="530"/>
      <c r="Y23" s="531"/>
      <c r="Z23" s="611"/>
    </row>
    <row r="24" spans="1:26">
      <c r="A24" s="4" t="s">
        <v>24</v>
      </c>
      <c r="B24" s="4"/>
      <c r="C24" s="283">
        <f t="shared" ref="C24:V24" si="1">SUM(C13:C23)</f>
        <v>99737.01</v>
      </c>
      <c r="D24" s="283">
        <f t="shared" si="1"/>
        <v>99737.01</v>
      </c>
      <c r="E24" s="283">
        <f t="shared" si="1"/>
        <v>99737.01</v>
      </c>
      <c r="F24" s="283">
        <f t="shared" si="1"/>
        <v>99737.01</v>
      </c>
      <c r="G24" s="283">
        <f t="shared" si="1"/>
        <v>99737.01</v>
      </c>
      <c r="H24" s="283">
        <f t="shared" si="1"/>
        <v>99737.01</v>
      </c>
      <c r="I24" s="283">
        <f t="shared" si="1"/>
        <v>99737.01</v>
      </c>
      <c r="J24" s="283">
        <f t="shared" si="1"/>
        <v>99737.01</v>
      </c>
      <c r="K24" s="283">
        <f t="shared" si="1"/>
        <v>99737.01</v>
      </c>
      <c r="L24" s="283">
        <f t="shared" si="1"/>
        <v>99737.01</v>
      </c>
      <c r="M24" s="283">
        <f t="shared" si="1"/>
        <v>99737.01</v>
      </c>
      <c r="N24" s="283">
        <f t="shared" si="1"/>
        <v>99737.01</v>
      </c>
      <c r="O24" s="283">
        <f t="shared" si="1"/>
        <v>99737.01</v>
      </c>
      <c r="P24" s="283">
        <f t="shared" si="1"/>
        <v>98954.51</v>
      </c>
      <c r="Q24" s="283">
        <f t="shared" si="1"/>
        <v>98561.01</v>
      </c>
      <c r="R24" s="283">
        <f t="shared" si="1"/>
        <v>98449.51</v>
      </c>
      <c r="S24" s="283">
        <f t="shared" si="1"/>
        <v>97785.01</v>
      </c>
      <c r="T24" s="283">
        <f t="shared" si="1"/>
        <v>88243.01</v>
      </c>
      <c r="U24" s="283">
        <f t="shared" si="1"/>
        <v>85112.51</v>
      </c>
      <c r="V24" s="283">
        <f t="shared" si="1"/>
        <v>78743.009999999995</v>
      </c>
      <c r="X24" s="525">
        <f>SUM(C24:V24)</f>
        <v>1942429.7</v>
      </c>
      <c r="Y24" s="527">
        <f>SUM('Maine Hydro'!AB41,'Maine Thermal'!AB41,Lamar!AB41,'Marcus Hook 50'!AB41,Doswell!AB41,'Doswell CT'!AB41,'Segs VIII'!AB41,'Segs IX'!AB41,'NELP - Bellingham &amp; Sayreville'!AB41,Cherokee!AB41,'Cerro Gordo'!AB41,'Southwest Mesa'!AB41,Vansycle!AB41,Cameron!AB41,'Pacific Crest'!AB41,'Sky River'!AB41,Ridgetop!AB41,'Green Ridge'!AB41,'Mojave 16-18'!AB41,Morwind!AB41,VG!AB41,'WPP 92'!AB41,'WPP 91-2'!AB41,'WPP 89'!AB41,'WPP 91'!AB41,'WPP 90'!AB41)+SUM('Maine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</f>
        <v>1942429.7</v>
      </c>
      <c r="Z24" s="609">
        <f>X24-Y24</f>
        <v>0</v>
      </c>
    </row>
    <row r="25" spans="1:26">
      <c r="A25" s="277"/>
      <c r="B25" s="277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X25" s="525"/>
      <c r="Y25" s="527"/>
      <c r="Z25" s="609"/>
    </row>
    <row r="26" spans="1:26">
      <c r="A26" s="1" t="s">
        <v>25</v>
      </c>
      <c r="B26" s="1"/>
      <c r="C26" s="276">
        <f>C8+C10-C24</f>
        <v>296997.96202126873</v>
      </c>
      <c r="D26" s="276">
        <f t="shared" ref="D26:V26" si="2">D8+D10-D24</f>
        <v>259621.80822560674</v>
      </c>
      <c r="E26" s="276">
        <f t="shared" si="2"/>
        <v>267179.25834319356</v>
      </c>
      <c r="F26" s="276">
        <f t="shared" si="2"/>
        <v>291019.74569082615</v>
      </c>
      <c r="G26" s="276">
        <f t="shared" si="2"/>
        <v>292647.23076713609</v>
      </c>
      <c r="H26" s="276">
        <f t="shared" si="2"/>
        <v>311480.3810467174</v>
      </c>
      <c r="I26" s="276">
        <f t="shared" si="2"/>
        <v>298474.30940609565</v>
      </c>
      <c r="J26" s="276">
        <f t="shared" si="2"/>
        <v>282753.52931132016</v>
      </c>
      <c r="K26" s="276">
        <f t="shared" si="2"/>
        <v>284753.72728272848</v>
      </c>
      <c r="L26" s="276">
        <f t="shared" si="2"/>
        <v>321294.02125925646</v>
      </c>
      <c r="M26" s="276">
        <f t="shared" si="2"/>
        <v>303593.64885590103</v>
      </c>
      <c r="N26" s="276">
        <f t="shared" si="2"/>
        <v>265303.01630198455</v>
      </c>
      <c r="O26" s="276">
        <f t="shared" si="2"/>
        <v>291250.27365715982</v>
      </c>
      <c r="P26" s="276">
        <f t="shared" si="2"/>
        <v>328222.26120088622</v>
      </c>
      <c r="Q26" s="276">
        <f t="shared" si="2"/>
        <v>317160.09509055468</v>
      </c>
      <c r="R26" s="276">
        <f t="shared" si="2"/>
        <v>336739.37336056028</v>
      </c>
      <c r="S26" s="276">
        <f t="shared" si="2"/>
        <v>280674.12051756505</v>
      </c>
      <c r="T26" s="276">
        <f t="shared" si="2"/>
        <v>281392.89556678437</v>
      </c>
      <c r="U26" s="276">
        <f t="shared" si="2"/>
        <v>315566.2069801758</v>
      </c>
      <c r="V26" s="276">
        <f t="shared" si="2"/>
        <v>303074.39652143873</v>
      </c>
      <c r="X26" s="525">
        <f>SUM(C26:V26)</f>
        <v>5929198.2614071602</v>
      </c>
      <c r="Y26" s="527">
        <f>SUM('Maine Hydro'!AB44,'Maine Thermal'!AB44,Lamar!AB44,'Marcus Hook 50'!AB44,Doswell!AB44,'Doswell CT'!AB44,'Segs VIII'!AB44,'Segs IX'!AB44,'NELP - Bellingham &amp; Sayreville'!AB44,Cherokee!AB44,'Cerro Gordo'!AB44,'Southwest Mesa'!AB44,Vansycle!AB44,Cameron!AB44,'Pacific Crest'!AB44,'Sky River'!AB44,Ridgetop!AB44,'Green Ridge'!AB44,'Mojave 16-18'!AB44,Morwind!AB44,VG!AB44,'WPP 92'!AB44,'WPP 91-2'!AB44,'WPP 89'!AB44,'WPP 91'!AB44,'WPP 90'!AB44)-SUM('Maine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90'!AA110)+Y10</f>
        <v>5929198.2614071602</v>
      </c>
      <c r="Z26" s="609">
        <f>X26-Y26</f>
        <v>0</v>
      </c>
    </row>
    <row r="27" spans="1:26">
      <c r="A27" s="277"/>
      <c r="C27" s="276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X27" s="525"/>
      <c r="Y27" s="527"/>
      <c r="Z27" s="609"/>
    </row>
    <row r="28" spans="1:26" ht="12.75" customHeight="1" outlineLevel="1">
      <c r="A28" s="331" t="s">
        <v>206</v>
      </c>
      <c r="B28" s="286">
        <v>1</v>
      </c>
      <c r="C28" s="283">
        <f>$B$28*'Maine Hydro'!F46</f>
        <v>0</v>
      </c>
      <c r="D28" s="283">
        <f>$B$28*'Maine Hydro'!G46</f>
        <v>0</v>
      </c>
      <c r="E28" s="283">
        <f>$B$28*'Maine Hydro'!H46</f>
        <v>0</v>
      </c>
      <c r="F28" s="283">
        <f>$B$28*'Maine Hydro'!I46</f>
        <v>0</v>
      </c>
      <c r="G28" s="283">
        <f>$B$28*'Maine Hydro'!J46</f>
        <v>0</v>
      </c>
      <c r="H28" s="283">
        <f>$B$28*'Maine Hydro'!K46</f>
        <v>0</v>
      </c>
      <c r="I28" s="283">
        <f>$B$28*'Maine Hydro'!L46</f>
        <v>0</v>
      </c>
      <c r="J28" s="283">
        <f>$B$28*'Maine Hydro'!M46</f>
        <v>0</v>
      </c>
      <c r="K28" s="283">
        <f>$B$28*'Maine Hydro'!N46</f>
        <v>0</v>
      </c>
      <c r="L28" s="283">
        <f>$B$28*'Maine Hydro'!O46</f>
        <v>0</v>
      </c>
      <c r="M28" s="283">
        <f>$B$28*'Maine Hydro'!P46</f>
        <v>0</v>
      </c>
      <c r="N28" s="283">
        <f>$B$28*'Maine Hydro'!Q46</f>
        <v>0</v>
      </c>
      <c r="O28" s="283">
        <f>$B$28*'Maine Hydro'!R46</f>
        <v>0</v>
      </c>
      <c r="P28" s="283">
        <f>$B$28*'Maine Hydro'!S46</f>
        <v>0</v>
      </c>
      <c r="Q28" s="283">
        <f>$B$28*'Maine Hydro'!T46</f>
        <v>0</v>
      </c>
      <c r="R28" s="283">
        <f>$B$28*'Maine Hydro'!U46</f>
        <v>0</v>
      </c>
      <c r="S28" s="283">
        <f>$B$28*'Maine Hydro'!V46</f>
        <v>0</v>
      </c>
      <c r="T28" s="283">
        <f>$B$28*'Maine Hydro'!W46</f>
        <v>0</v>
      </c>
      <c r="U28" s="283">
        <f>$B$28*'Maine Hydro'!X46</f>
        <v>0</v>
      </c>
      <c r="V28" s="283">
        <f>$B$28*'Maine Hydro'!Y46</f>
        <v>0</v>
      </c>
      <c r="X28" s="527"/>
      <c r="Y28" s="527"/>
      <c r="Z28" s="611"/>
    </row>
    <row r="29" spans="1:26" ht="12.75" customHeight="1" outlineLevel="1">
      <c r="A29" s="331" t="s">
        <v>207</v>
      </c>
      <c r="B29" s="286">
        <v>1</v>
      </c>
      <c r="C29" s="283">
        <f>$B$29*'Maine Thermal'!F46</f>
        <v>0</v>
      </c>
      <c r="D29" s="283">
        <f>$B$29*'Maine Thermal'!G46</f>
        <v>0</v>
      </c>
      <c r="E29" s="283">
        <f>$B$29*'Maine Thermal'!H46</f>
        <v>0</v>
      </c>
      <c r="F29" s="283">
        <f>$B$29*'Maine Thermal'!I46</f>
        <v>0</v>
      </c>
      <c r="G29" s="283">
        <f>$B$29*'Maine Thermal'!J46</f>
        <v>0</v>
      </c>
      <c r="H29" s="283">
        <f>$B$29*'Maine Thermal'!K46</f>
        <v>0</v>
      </c>
      <c r="I29" s="283">
        <f>$B$29*'Maine Thermal'!L46</f>
        <v>0</v>
      </c>
      <c r="J29" s="283">
        <f>$B$29*'Maine Thermal'!M46</f>
        <v>0</v>
      </c>
      <c r="K29" s="283">
        <f>$B$29*'Maine Thermal'!N46</f>
        <v>0</v>
      </c>
      <c r="L29" s="283">
        <f>$B$29*'Maine Thermal'!O46</f>
        <v>0</v>
      </c>
      <c r="M29" s="283">
        <f>$B$29*'Maine Thermal'!P46</f>
        <v>0</v>
      </c>
      <c r="N29" s="283">
        <f>$B$29*'Maine Thermal'!Q46</f>
        <v>0</v>
      </c>
      <c r="O29" s="283">
        <f>$B$29*'Maine Thermal'!R46</f>
        <v>0</v>
      </c>
      <c r="P29" s="283">
        <f>$B$29*'Maine Thermal'!S46</f>
        <v>0</v>
      </c>
      <c r="Q29" s="283">
        <f>$B$29*'Maine Thermal'!T46</f>
        <v>0</v>
      </c>
      <c r="R29" s="283">
        <f>$B$29*'Maine Thermal'!U46</f>
        <v>0</v>
      </c>
      <c r="S29" s="283">
        <f>$B$29*'Maine Thermal'!V46</f>
        <v>0</v>
      </c>
      <c r="T29" s="283">
        <f>$B$29*'Maine Thermal'!W46</f>
        <v>0</v>
      </c>
      <c r="U29" s="283">
        <f>$B$29*'Maine Thermal'!X46</f>
        <v>0</v>
      </c>
      <c r="V29" s="283">
        <f>$B$29*'Maine Thermal'!Y46</f>
        <v>0</v>
      </c>
      <c r="X29" s="525"/>
      <c r="Y29" s="529"/>
      <c r="Z29" s="611"/>
    </row>
    <row r="30" spans="1:26" ht="12.75" customHeight="1" outlineLevel="1">
      <c r="A30" s="331" t="s">
        <v>97</v>
      </c>
      <c r="B30" s="286">
        <v>0.99</v>
      </c>
      <c r="C30" s="283">
        <f>$B$30*Lamar!F46</f>
        <v>0</v>
      </c>
      <c r="D30" s="283">
        <f>$B$30*Lamar!G46</f>
        <v>0</v>
      </c>
      <c r="E30" s="283">
        <f>$B$30*Lamar!H46</f>
        <v>0</v>
      </c>
      <c r="F30" s="283">
        <f>$B$30*Lamar!I46</f>
        <v>0</v>
      </c>
      <c r="G30" s="283">
        <f>$B$30*Lamar!J46</f>
        <v>0</v>
      </c>
      <c r="H30" s="283">
        <f>$B$30*Lamar!K46</f>
        <v>0</v>
      </c>
      <c r="I30" s="283">
        <f>$B$30*Lamar!L46</f>
        <v>0</v>
      </c>
      <c r="J30" s="283">
        <f>$B$30*Lamar!M46</f>
        <v>0</v>
      </c>
      <c r="K30" s="283">
        <f>$B$30*Lamar!N46</f>
        <v>0</v>
      </c>
      <c r="L30" s="283">
        <f>$B$30*Lamar!O46</f>
        <v>0</v>
      </c>
      <c r="M30" s="283">
        <f>$B$30*Lamar!P46</f>
        <v>0</v>
      </c>
      <c r="N30" s="283">
        <f>$B$30*Lamar!Q46</f>
        <v>0</v>
      </c>
      <c r="O30" s="283">
        <f>$B$30*Lamar!R46</f>
        <v>0</v>
      </c>
      <c r="P30" s="283">
        <f>$B$30*Lamar!S46</f>
        <v>0</v>
      </c>
      <c r="Q30" s="283">
        <f>$B$30*Lamar!T46</f>
        <v>0</v>
      </c>
      <c r="R30" s="283">
        <f>$B$30*Lamar!U46</f>
        <v>0</v>
      </c>
      <c r="S30" s="283">
        <f>$B$30*Lamar!V46</f>
        <v>0</v>
      </c>
      <c r="T30" s="283">
        <f>$B$30*Lamar!W46</f>
        <v>0</v>
      </c>
      <c r="U30" s="283">
        <f>$B$30*Lamar!X46</f>
        <v>0</v>
      </c>
      <c r="V30" s="283">
        <f>$B$30*Lamar!Y46</f>
        <v>0</v>
      </c>
      <c r="X30" s="525"/>
      <c r="Y30" s="529"/>
      <c r="Z30" s="611"/>
    </row>
    <row r="31" spans="1:26" ht="12.75" customHeight="1" outlineLevel="1">
      <c r="A31" s="331" t="s">
        <v>98</v>
      </c>
      <c r="B31" s="286">
        <v>1</v>
      </c>
      <c r="C31" s="283">
        <f>$B$31*'Marcus Hook 50'!F46</f>
        <v>0</v>
      </c>
      <c r="D31" s="283">
        <f>$B$31*'Marcus Hook 50'!G46</f>
        <v>0</v>
      </c>
      <c r="E31" s="283">
        <f>$B$31*'Marcus Hook 50'!H46</f>
        <v>0</v>
      </c>
      <c r="F31" s="283">
        <f>$B$31*'Marcus Hook 50'!I46</f>
        <v>0</v>
      </c>
      <c r="G31" s="283">
        <f>$B$31*'Marcus Hook 50'!J46</f>
        <v>0</v>
      </c>
      <c r="H31" s="283">
        <f>$B$31*'Marcus Hook 50'!K46</f>
        <v>0</v>
      </c>
      <c r="I31" s="283">
        <f>$B$31*'Marcus Hook 50'!L46</f>
        <v>0</v>
      </c>
      <c r="J31" s="283">
        <f>$B$31*'Marcus Hook 50'!M46</f>
        <v>0</v>
      </c>
      <c r="K31" s="283">
        <f>$B$31*'Marcus Hook 50'!N46</f>
        <v>0</v>
      </c>
      <c r="L31" s="283">
        <f>$B$31*'Marcus Hook 50'!O46</f>
        <v>0</v>
      </c>
      <c r="M31" s="283">
        <f>$B$31*'Marcus Hook 50'!P46</f>
        <v>0</v>
      </c>
      <c r="N31" s="283">
        <f>$B$31*'Marcus Hook 50'!Q46</f>
        <v>0</v>
      </c>
      <c r="O31" s="283">
        <f>$B$31*'Marcus Hook 50'!R46</f>
        <v>0</v>
      </c>
      <c r="P31" s="283">
        <f>$B$31*'Marcus Hook 50'!S46</f>
        <v>0</v>
      </c>
      <c r="Q31" s="283">
        <f>$B$31*'Marcus Hook 50'!T46</f>
        <v>0</v>
      </c>
      <c r="R31" s="283">
        <f>$B$31*'Marcus Hook 50'!U46</f>
        <v>0</v>
      </c>
      <c r="S31" s="283">
        <f>$B$31*'Marcus Hook 50'!V46</f>
        <v>0</v>
      </c>
      <c r="T31" s="283">
        <f>$B$31*'Marcus Hook 50'!W46</f>
        <v>0</v>
      </c>
      <c r="U31" s="283">
        <f>$B$31*'Marcus Hook 50'!X46</f>
        <v>0</v>
      </c>
      <c r="V31" s="283">
        <f>$B$31*'Marcus Hook 50'!Y46</f>
        <v>0</v>
      </c>
      <c r="X31" s="525"/>
      <c r="Y31" s="529"/>
      <c r="Z31" s="611"/>
    </row>
    <row r="32" spans="1:26" ht="12.75" customHeight="1" outlineLevel="1">
      <c r="A32" s="331" t="s">
        <v>100</v>
      </c>
      <c r="B32" s="286">
        <v>1</v>
      </c>
      <c r="C32" s="283">
        <f>$B$32*Doswell!F46</f>
        <v>0</v>
      </c>
      <c r="D32" s="283">
        <f>$B$32*Doswell!G46</f>
        <v>0</v>
      </c>
      <c r="E32" s="283">
        <f>$B$32*Doswell!H46</f>
        <v>0</v>
      </c>
      <c r="F32" s="283">
        <f>$B$32*Doswell!I46</f>
        <v>0</v>
      </c>
      <c r="G32" s="283">
        <f>$B$32*Doswell!J46</f>
        <v>0</v>
      </c>
      <c r="H32" s="283">
        <f>$B$32*Doswell!K46</f>
        <v>0</v>
      </c>
      <c r="I32" s="283">
        <f>$B$32*Doswell!L46</f>
        <v>0</v>
      </c>
      <c r="J32" s="283">
        <f>$B$32*Doswell!M46</f>
        <v>0</v>
      </c>
      <c r="K32" s="283">
        <f>$B$32*Doswell!N46</f>
        <v>0</v>
      </c>
      <c r="L32" s="283">
        <f>$B$32*Doswell!O46</f>
        <v>0</v>
      </c>
      <c r="M32" s="283">
        <f>$B$32*Doswell!P46</f>
        <v>0</v>
      </c>
      <c r="N32" s="283">
        <f>$B$32*Doswell!Q46</f>
        <v>0</v>
      </c>
      <c r="O32" s="283">
        <f>$B$32*Doswell!R46</f>
        <v>0</v>
      </c>
      <c r="P32" s="283">
        <f>$B$32*Doswell!S46</f>
        <v>0</v>
      </c>
      <c r="Q32" s="283">
        <f>$B$32*Doswell!T46</f>
        <v>0</v>
      </c>
      <c r="R32" s="283">
        <f>$B$32*Doswell!U46</f>
        <v>0</v>
      </c>
      <c r="S32" s="283">
        <f>$B$32*Doswell!V46</f>
        <v>0</v>
      </c>
      <c r="T32" s="283">
        <f>$B$32*Doswell!W46</f>
        <v>0</v>
      </c>
      <c r="U32" s="283">
        <f>$B$32*Doswell!X46</f>
        <v>0</v>
      </c>
      <c r="V32" s="283">
        <f>$B$32*Doswell!Y46</f>
        <v>0</v>
      </c>
      <c r="X32" s="525"/>
      <c r="Y32" s="529"/>
      <c r="Z32" s="611"/>
    </row>
    <row r="33" spans="1:29" ht="12.75" customHeight="1" outlineLevel="1">
      <c r="A33" s="331" t="s">
        <v>115</v>
      </c>
      <c r="B33" s="286">
        <v>1</v>
      </c>
      <c r="C33" s="283">
        <f>$B$33*'Doswell CT'!F46</f>
        <v>0</v>
      </c>
      <c r="D33" s="283">
        <f>$B$33*'Doswell CT'!G46</f>
        <v>0</v>
      </c>
      <c r="E33" s="283">
        <f>$B$33*'Doswell CT'!H46</f>
        <v>0</v>
      </c>
      <c r="F33" s="283">
        <f>$B$33*'Doswell CT'!I46</f>
        <v>0</v>
      </c>
      <c r="G33" s="283">
        <f>$B$33*'Doswell CT'!J46</f>
        <v>0</v>
      </c>
      <c r="H33" s="283">
        <f>$B$33*'Doswell CT'!K46</f>
        <v>0</v>
      </c>
      <c r="I33" s="283">
        <f>$B$33*'Doswell CT'!L46</f>
        <v>0</v>
      </c>
      <c r="J33" s="283">
        <f>$B$33*'Doswell CT'!M46</f>
        <v>0</v>
      </c>
      <c r="K33" s="283">
        <f>$B$33*'Doswell CT'!N46</f>
        <v>0</v>
      </c>
      <c r="L33" s="283">
        <f>$B$33*'Doswell CT'!O46</f>
        <v>0</v>
      </c>
      <c r="M33" s="283">
        <f>$B$33*'Doswell CT'!P46</f>
        <v>0</v>
      </c>
      <c r="N33" s="283">
        <f>$B$33*'Doswell CT'!Q46</f>
        <v>0</v>
      </c>
      <c r="O33" s="283">
        <f>$B$33*'Doswell CT'!R46</f>
        <v>0</v>
      </c>
      <c r="P33" s="283">
        <f>$B$33*'Doswell CT'!S46</f>
        <v>0</v>
      </c>
      <c r="Q33" s="283">
        <f>$B$33*'Doswell CT'!T46</f>
        <v>0</v>
      </c>
      <c r="R33" s="283">
        <f>$B$33*'Doswell CT'!U46</f>
        <v>0</v>
      </c>
      <c r="S33" s="283">
        <f>$B$33*'Doswell CT'!V46</f>
        <v>0</v>
      </c>
      <c r="T33" s="283">
        <f>$B$33*'Doswell CT'!W46</f>
        <v>0</v>
      </c>
      <c r="U33" s="283">
        <f>$B$33*'Doswell CT'!X46</f>
        <v>0</v>
      </c>
      <c r="V33" s="283">
        <f>$B$33*'Doswell CT'!Y46</f>
        <v>0</v>
      </c>
      <c r="X33" s="525"/>
      <c r="Y33" s="529"/>
      <c r="Z33" s="611"/>
    </row>
    <row r="34" spans="1:29" ht="12.75" customHeight="1" outlineLevel="1">
      <c r="A34" s="331" t="s">
        <v>101</v>
      </c>
      <c r="B34" s="287">
        <v>1</v>
      </c>
      <c r="C34" s="283">
        <f>'FPLE_Wind Annual Summary'!F198</f>
        <v>8944.9282140646137</v>
      </c>
      <c r="D34" s="283">
        <f>'FPLE_Wind Annual Summary'!G198</f>
        <v>7112.8708346243384</v>
      </c>
      <c r="E34" s="283">
        <f>'FPLE_Wind Annual Summary'!H198</f>
        <v>6832.7423348992761</v>
      </c>
      <c r="F34" s="283">
        <f>'FPLE_Wind Annual Summary'!I198</f>
        <v>6552.0732358502028</v>
      </c>
      <c r="G34" s="283">
        <f>'FPLE_Wind Annual Summary'!J198</f>
        <v>6478.6312293239325</v>
      </c>
      <c r="H34" s="283">
        <f>'FPLE_Wind Annual Summary'!K198</f>
        <v>6157.8805496509067</v>
      </c>
      <c r="I34" s="283">
        <f>'FPLE_Wind Annual Summary'!L198</f>
        <v>5765.6409977039684</v>
      </c>
      <c r="J34" s="283">
        <f>'FPLE_Wind Annual Summary'!M198</f>
        <v>5331.9615831946367</v>
      </c>
      <c r="K34" s="283">
        <f>'FPLE_Wind Annual Summary'!N198</f>
        <v>4858.6264050475975</v>
      </c>
      <c r="L34" s="283">
        <f>'FPLE_Wind Annual Summary'!O198</f>
        <v>4414.8380326982642</v>
      </c>
      <c r="M34" s="283">
        <f>'FPLE_Wind Annual Summary'!P198</f>
        <v>3960.3650395996451</v>
      </c>
      <c r="N34" s="283">
        <f>'FPLE_Wind Annual Summary'!Q198</f>
        <v>3464.8458255557557</v>
      </c>
      <c r="O34" s="283">
        <f>'FPLE_Wind Annual Summary'!R198</f>
        <v>2914.4160785585364</v>
      </c>
      <c r="P34" s="283">
        <f>'FPLE_Wind Annual Summary'!S198</f>
        <v>2620.4290508918366</v>
      </c>
      <c r="Q34" s="283">
        <f>'FPLE_Wind Annual Summary'!T198</f>
        <v>1887.4119964043641</v>
      </c>
      <c r="R34" s="283">
        <f>'FPLE_Wind Annual Summary'!U198</f>
        <v>1523.4824434819136</v>
      </c>
      <c r="S34" s="283">
        <f>'FPLE_Wind Annual Summary'!V198</f>
        <v>1499.8844047372227</v>
      </c>
      <c r="T34" s="283">
        <f>'FPLE_Wind Annual Summary'!W198</f>
        <v>1523.9499734076805</v>
      </c>
      <c r="U34" s="283">
        <f>'FPLE_Wind Annual Summary'!X198</f>
        <v>1548.6893780009109</v>
      </c>
      <c r="V34" s="283">
        <f>'FPLE_Wind Annual Summary'!Y198</f>
        <v>1574.1214859227521</v>
      </c>
      <c r="X34" s="525"/>
      <c r="Y34" s="529"/>
      <c r="Z34" s="611"/>
    </row>
    <row r="35" spans="1:29" ht="12.75" customHeight="1" outlineLevel="1">
      <c r="A35" s="331" t="s">
        <v>208</v>
      </c>
      <c r="B35" s="286">
        <v>0.5</v>
      </c>
      <c r="C35" s="283">
        <f>$B$35*'Segs VIII'!F46</f>
        <v>2547</v>
      </c>
      <c r="D35" s="283">
        <f>$B$35*'Segs VIII'!G46</f>
        <v>2474.5</v>
      </c>
      <c r="E35" s="283">
        <f>$B$35*'Segs VIII'!H46</f>
        <v>2402</v>
      </c>
      <c r="F35" s="283">
        <f>$B$35*'Segs VIII'!I46</f>
        <v>2319</v>
      </c>
      <c r="G35" s="283">
        <f>$B$35*'Segs VIII'!J46</f>
        <v>2227</v>
      </c>
      <c r="H35" s="283">
        <f>$B$35*'Segs VIII'!K46</f>
        <v>2145.5</v>
      </c>
      <c r="I35" s="283">
        <f>$B$35*'Segs VIII'!L46</f>
        <v>2041</v>
      </c>
      <c r="J35" s="283">
        <f>$B$35*'Segs VIII'!M46</f>
        <v>1924</v>
      </c>
      <c r="K35" s="283">
        <f>$B$35*'Segs VIII'!N46</f>
        <v>1803</v>
      </c>
      <c r="L35" s="283">
        <f>$B$35*'Segs VIII'!O46</f>
        <v>1673.5</v>
      </c>
      <c r="M35" s="283">
        <f>$B$35*'Segs VIII'!P46</f>
        <v>1534.5</v>
      </c>
      <c r="N35" s="283">
        <f>$B$35*'Segs VIII'!Q46</f>
        <v>1385.5</v>
      </c>
      <c r="O35" s="283">
        <f>$B$35*'Segs VIII'!R46</f>
        <v>1241.5</v>
      </c>
      <c r="P35" s="283">
        <f>$B$35*'Segs VIII'!S46</f>
        <v>1070.5</v>
      </c>
      <c r="Q35" s="283">
        <f>$B$35*'Segs VIII'!T46</f>
        <v>887.5</v>
      </c>
      <c r="R35" s="283">
        <f>$B$35*'Segs VIII'!U46</f>
        <v>690.5</v>
      </c>
      <c r="S35" s="283">
        <f>$B$35*'Segs VIII'!V46</f>
        <v>478</v>
      </c>
      <c r="T35" s="283">
        <f>$B$35*'Segs VIII'!W46</f>
        <v>248</v>
      </c>
      <c r="U35" s="283">
        <f>$B$35*'Segs VIII'!X46</f>
        <v>0</v>
      </c>
      <c r="V35" s="283">
        <f>$B$35*'Segs VIII'!Y46</f>
        <v>0</v>
      </c>
      <c r="X35" s="525"/>
      <c r="Y35" s="529"/>
      <c r="Z35" s="611"/>
    </row>
    <row r="36" spans="1:29" ht="12.75" customHeight="1" outlineLevel="1">
      <c r="A36" s="331" t="s">
        <v>209</v>
      </c>
      <c r="B36" s="286">
        <v>0.5</v>
      </c>
      <c r="C36" s="283">
        <f>$B$36*'Segs IX'!F46</f>
        <v>2872</v>
      </c>
      <c r="D36" s="283">
        <f>$B$36*'Segs IX'!G46</f>
        <v>2790.5</v>
      </c>
      <c r="E36" s="283">
        <f>$B$36*'Segs IX'!H46</f>
        <v>2708.5</v>
      </c>
      <c r="F36" s="283">
        <f>$B$36*'Segs IX'!I46</f>
        <v>2615</v>
      </c>
      <c r="G36" s="283">
        <f>$B$36*'Segs IX'!J46</f>
        <v>2511</v>
      </c>
      <c r="H36" s="283">
        <f>$B$36*'Segs IX'!K46</f>
        <v>2419.5</v>
      </c>
      <c r="I36" s="283">
        <f>$B$36*'Segs IX'!L46</f>
        <v>2302</v>
      </c>
      <c r="J36" s="283">
        <f>$B$36*'Segs IX'!M46</f>
        <v>2170</v>
      </c>
      <c r="K36" s="283">
        <f>$B$36*'Segs IX'!N46</f>
        <v>2033.5</v>
      </c>
      <c r="L36" s="283">
        <f>$B$36*'Segs IX'!O46</f>
        <v>1887.5</v>
      </c>
      <c r="M36" s="283">
        <f>$B$36*'Segs IX'!P46</f>
        <v>1730.5</v>
      </c>
      <c r="N36" s="283">
        <f>$B$36*'Segs IX'!Q46</f>
        <v>1562</v>
      </c>
      <c r="O36" s="283">
        <f>$B$36*'Segs IX'!R46</f>
        <v>1400</v>
      </c>
      <c r="P36" s="283">
        <f>$B$36*'Segs IX'!S46</f>
        <v>1207</v>
      </c>
      <c r="Q36" s="283">
        <f>$B$36*'Segs IX'!T46</f>
        <v>1000.5</v>
      </c>
      <c r="R36" s="283">
        <f>$B$36*'Segs IX'!U46</f>
        <v>778.5</v>
      </c>
      <c r="S36" s="283">
        <f>$B$36*'Segs IX'!V46</f>
        <v>539</v>
      </c>
      <c r="T36" s="283">
        <f>$B$36*'Segs IX'!W46</f>
        <v>280</v>
      </c>
      <c r="U36" s="283">
        <f>$B$36*'Segs IX'!X46</f>
        <v>0</v>
      </c>
      <c r="V36" s="283">
        <f>$B$36*'Segs IX'!Y46</f>
        <v>0</v>
      </c>
      <c r="X36" s="525"/>
      <c r="Y36" s="529"/>
      <c r="Z36" s="611"/>
    </row>
    <row r="37" spans="1:29" s="281" customFormat="1" ht="12.75" customHeight="1" outlineLevel="1">
      <c r="A37" s="331" t="s">
        <v>210</v>
      </c>
      <c r="B37" s="286">
        <v>0.5</v>
      </c>
      <c r="C37" s="278">
        <f>$B$37*'NELP - Bellingham &amp; Sayreville'!F46</f>
        <v>28439.011800000004</v>
      </c>
      <c r="D37" s="278">
        <f>$B$37*'NELP - Bellingham &amp; Sayreville'!G46</f>
        <v>27398.9169</v>
      </c>
      <c r="E37" s="278">
        <f>$B$37*'NELP - Bellingham &amp; Sayreville'!H46</f>
        <v>25981.351500000001</v>
      </c>
      <c r="F37" s="278">
        <f>$B$37*'NELP - Bellingham &amp; Sayreville'!I46</f>
        <v>24519.8727</v>
      </c>
      <c r="G37" s="278">
        <f>$B$37*'NELP - Bellingham &amp; Sayreville'!J46</f>
        <v>22622.630487500002</v>
      </c>
      <c r="H37" s="278">
        <f>$B$37*'NELP - Bellingham &amp; Sayreville'!K46</f>
        <v>20028.9568875</v>
      </c>
      <c r="I37" s="278">
        <f>$B$37*'NELP - Bellingham &amp; Sayreville'!L46</f>
        <v>16944.602587499998</v>
      </c>
      <c r="J37" s="278">
        <f>$B$37*'NELP - Bellingham &amp; Sayreville'!M46</f>
        <v>13545.0261875</v>
      </c>
      <c r="K37" s="278">
        <f>$B$37*'NELP - Bellingham &amp; Sayreville'!N46</f>
        <v>10057.360787499998</v>
      </c>
      <c r="L37" s="278">
        <f>$B$37*'NELP - Bellingham &amp; Sayreville'!O46</f>
        <v>6117.2489875000001</v>
      </c>
      <c r="M37" s="278">
        <f>$B$37*'NELP - Bellingham &amp; Sayreville'!P46</f>
        <v>1977.5249999999999</v>
      </c>
      <c r="N37" s="278">
        <f>$B$37*'NELP - Bellingham &amp; Sayreville'!Q46</f>
        <v>0</v>
      </c>
      <c r="O37" s="278">
        <f>$B$37*'NELP - Bellingham &amp; Sayreville'!R46</f>
        <v>0</v>
      </c>
      <c r="P37" s="278">
        <f>$B$37*'NELP - Bellingham &amp; Sayreville'!S46</f>
        <v>0</v>
      </c>
      <c r="Q37" s="278">
        <f>$B$37*'NELP - Bellingham &amp; Sayreville'!T46</f>
        <v>0</v>
      </c>
      <c r="R37" s="278">
        <f>$B$37*'NELP - Bellingham &amp; Sayreville'!U46</f>
        <v>0</v>
      </c>
      <c r="S37" s="278">
        <f>$B$37*'NELP - Bellingham &amp; Sayreville'!V46</f>
        <v>0</v>
      </c>
      <c r="T37" s="278">
        <f>$B$37*'NELP - Bellingham &amp; Sayreville'!W46</f>
        <v>0</v>
      </c>
      <c r="U37" s="278">
        <f>$B$37*'NELP - Bellingham &amp; Sayreville'!X46</f>
        <v>0</v>
      </c>
      <c r="V37" s="278">
        <f>$B$37*'NELP - Bellingham &amp; Sayreville'!Y46</f>
        <v>0</v>
      </c>
      <c r="W37" s="279"/>
      <c r="X37" s="525"/>
      <c r="Y37" s="531"/>
      <c r="Z37" s="611"/>
      <c r="AC37" s="271"/>
    </row>
    <row r="38" spans="1:29" s="281" customFormat="1" ht="12.75" customHeight="1" outlineLevel="1">
      <c r="A38" s="331" t="s">
        <v>104</v>
      </c>
      <c r="B38" s="286">
        <v>0.5</v>
      </c>
      <c r="C38" s="511">
        <f>$B$38*Cherokee!F46</f>
        <v>3052</v>
      </c>
      <c r="D38" s="511">
        <f>$B$38*Cherokee!G46</f>
        <v>2998.5</v>
      </c>
      <c r="E38" s="511">
        <f>$B$38*Cherokee!H46</f>
        <v>2913</v>
      </c>
      <c r="F38" s="511">
        <f>$B$38*Cherokee!I46</f>
        <v>2840.5</v>
      </c>
      <c r="G38" s="511">
        <f>$B$38*Cherokee!J46</f>
        <v>2741.5</v>
      </c>
      <c r="H38" s="511">
        <f>$B$38*Cherokee!K46</f>
        <v>2548.5</v>
      </c>
      <c r="I38" s="511">
        <f>$B$38*Cherokee!L46</f>
        <v>2281</v>
      </c>
      <c r="J38" s="511">
        <f>$B$38*Cherokee!M46</f>
        <v>1970.5</v>
      </c>
      <c r="K38" s="511">
        <f>$B$38*Cherokee!N46</f>
        <v>1584.5</v>
      </c>
      <c r="L38" s="511">
        <f>$B$38*Cherokee!O46</f>
        <v>1167</v>
      </c>
      <c r="M38" s="511">
        <f>$B$38*Cherokee!P46</f>
        <v>754.5</v>
      </c>
      <c r="N38" s="511">
        <f>$B$38*Cherokee!Q46</f>
        <v>290</v>
      </c>
      <c r="O38" s="511">
        <f>$B$38*Cherokee!R46</f>
        <v>0</v>
      </c>
      <c r="P38" s="511">
        <f>$B$38*Cherokee!S46</f>
        <v>0</v>
      </c>
      <c r="Q38" s="511">
        <f>$B$38*Cherokee!T46</f>
        <v>0</v>
      </c>
      <c r="R38" s="511">
        <f>$B$38*Cherokee!U46</f>
        <v>0</v>
      </c>
      <c r="S38" s="511">
        <f>$B$38*Cherokee!V46</f>
        <v>0</v>
      </c>
      <c r="T38" s="511">
        <f>$B$38*Cherokee!W46</f>
        <v>0</v>
      </c>
      <c r="U38" s="511">
        <f>$B$38*Cherokee!X46</f>
        <v>0</v>
      </c>
      <c r="V38" s="511">
        <f>$B$38*Cherokee!Y46</f>
        <v>0</v>
      </c>
      <c r="W38" s="279"/>
      <c r="X38" s="525"/>
      <c r="Y38" s="531"/>
      <c r="Z38" s="611"/>
      <c r="AC38" s="271"/>
    </row>
    <row r="39" spans="1:29">
      <c r="A39" s="4" t="s">
        <v>92</v>
      </c>
      <c r="B39" s="4"/>
      <c r="C39" s="283">
        <f t="shared" ref="C39:V39" si="3">SUM(C28:C38)</f>
        <v>45854.940014064618</v>
      </c>
      <c r="D39" s="283">
        <f t="shared" si="3"/>
        <v>42775.28773462434</v>
      </c>
      <c r="E39" s="283">
        <f t="shared" si="3"/>
        <v>40837.593834899279</v>
      </c>
      <c r="F39" s="283">
        <f t="shared" si="3"/>
        <v>38846.445935850206</v>
      </c>
      <c r="G39" s="283">
        <f t="shared" si="3"/>
        <v>36580.761716823938</v>
      </c>
      <c r="H39" s="283">
        <f t="shared" si="3"/>
        <v>33300.337437150905</v>
      </c>
      <c r="I39" s="283">
        <f t="shared" si="3"/>
        <v>29334.243585203967</v>
      </c>
      <c r="J39" s="283">
        <f t="shared" si="3"/>
        <v>24941.487770694635</v>
      </c>
      <c r="K39" s="283">
        <f t="shared" si="3"/>
        <v>20336.987192547596</v>
      </c>
      <c r="L39" s="283">
        <f t="shared" si="3"/>
        <v>15260.087020198265</v>
      </c>
      <c r="M39" s="283">
        <f t="shared" si="3"/>
        <v>9957.3900395996443</v>
      </c>
      <c r="N39" s="283">
        <f t="shared" si="3"/>
        <v>6702.3458255557562</v>
      </c>
      <c r="O39" s="283">
        <f t="shared" si="3"/>
        <v>5555.9160785585364</v>
      </c>
      <c r="P39" s="283">
        <f t="shared" si="3"/>
        <v>4897.9290508918366</v>
      </c>
      <c r="Q39" s="283">
        <f t="shared" si="3"/>
        <v>3775.4119964043639</v>
      </c>
      <c r="R39" s="283">
        <f t="shared" si="3"/>
        <v>2992.4824434819138</v>
      </c>
      <c r="S39" s="283">
        <f t="shared" si="3"/>
        <v>2516.8844047372227</v>
      </c>
      <c r="T39" s="283">
        <f t="shared" si="3"/>
        <v>2051.9499734076808</v>
      </c>
      <c r="U39" s="283">
        <f t="shared" si="3"/>
        <v>1548.6893780009109</v>
      </c>
      <c r="V39" s="283">
        <f t="shared" si="3"/>
        <v>1574.1214859227521</v>
      </c>
      <c r="X39" s="525">
        <f>SUM(C39:V39)</f>
        <v>369641.29291861836</v>
      </c>
      <c r="Y39" s="527">
        <f>SUM('Maine Hydro'!AB46,'Maine Thermal'!AB46,Lamar!AB46,'Marcus Hook 50'!AB46,Doswell!AB46,'Doswell CT'!AB46,'Segs VIII'!AB46,'Segs IX'!AB46,'NELP - Bellingham &amp; Sayreville'!AB46,Cherokee!AB46,'Cerro Gordo'!AB46,'Southwest Mesa'!AB46,Vansycle!AB46,Cameron!AB46,'Pacific Crest'!AB46,'Sky River'!AB46,Ridgetop!AB46,'Green Ridge'!AB46,'Mojave 16-18'!AB46,Morwind!AB46,VG!AB46,'WPP 92'!AB46,'WPP 91-2'!AB46,'WPP 89'!AB46,'WPP 91'!AB46,'WPP 90'!AB46)</f>
        <v>369641.29291861842</v>
      </c>
      <c r="Z39" s="609">
        <f>X39-Y39</f>
        <v>0</v>
      </c>
    </row>
    <row r="40" spans="1:29">
      <c r="A40" s="7"/>
      <c r="B40" s="7"/>
      <c r="C40" s="283"/>
      <c r="D40" s="283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X40" s="525"/>
      <c r="Y40" s="526"/>
      <c r="Z40" s="610"/>
    </row>
    <row r="41" spans="1:29">
      <c r="A41" s="4" t="s">
        <v>231</v>
      </c>
      <c r="B41" s="7"/>
      <c r="C41" s="283">
        <f>(FPLE_Debt!E27+FPLE_Debt!E64)</f>
        <v>138694.11464004187</v>
      </c>
      <c r="D41" s="283">
        <f>(FPLE_Debt!F27+FPLE_Debt!F64)</f>
        <v>136355.65270792585</v>
      </c>
      <c r="E41" s="283">
        <f>(FPLE_Debt!G27+FPLE_Debt!G64)</f>
        <v>134636.90120949101</v>
      </c>
      <c r="F41" s="283">
        <f>(FPLE_Debt!H27+FPLE_Debt!H64)</f>
        <v>132291.99653853496</v>
      </c>
      <c r="G41" s="283">
        <f>(FPLE_Debt!I27+FPLE_Debt!I64)</f>
        <v>129466.55102112553</v>
      </c>
      <c r="H41" s="283">
        <f>(FPLE_Debt!J27+FPLE_Debt!J64)</f>
        <v>126729.1775439214</v>
      </c>
      <c r="I41" s="283">
        <f>(FPLE_Debt!K27+FPLE_Debt!K64)</f>
        <v>123102.03051914653</v>
      </c>
      <c r="J41" s="283">
        <f>(FPLE_Debt!L27+FPLE_Debt!L64)</f>
        <v>120057.09743569282</v>
      </c>
      <c r="K41" s="283">
        <f>(FPLE_Debt!M27+FPLE_Debt!M64)</f>
        <v>117147.02549204286</v>
      </c>
      <c r="L41" s="283">
        <f>(FPLE_Debt!N27+FPLE_Debt!N64)</f>
        <v>113757.44308030055</v>
      </c>
      <c r="M41" s="283">
        <f>(FPLE_Debt!O27+FPLE_Debt!O64)</f>
        <v>108767.37655298822</v>
      </c>
      <c r="N41" s="283">
        <f>(FPLE_Debt!P27+FPLE_Debt!P64)</f>
        <v>103916.38067145823</v>
      </c>
      <c r="O41" s="283">
        <f>(FPLE_Debt!Q27+FPLE_Debt!Q64)</f>
        <v>98666.036954656636</v>
      </c>
      <c r="P41" s="283">
        <f>(FPLE_Debt!R27+FPLE_Debt!R64)</f>
        <v>91321.622204026353</v>
      </c>
      <c r="Q41" s="283">
        <f>(FPLE_Debt!S27+FPLE_Debt!S64)</f>
        <v>81809.959367196541</v>
      </c>
      <c r="R41" s="283">
        <f>(FPLE_Debt!T27+FPLE_Debt!T64)</f>
        <v>71818.397556108161</v>
      </c>
      <c r="S41" s="283">
        <f>(FPLE_Debt!U27+FPLE_Debt!U64)</f>
        <v>60282.739890601209</v>
      </c>
      <c r="T41" s="283">
        <f>(FPLE_Debt!V27+FPLE_Debt!V64)</f>
        <v>50338.548496345436</v>
      </c>
      <c r="U41" s="283">
        <f>(FPLE_Debt!W27+FPLE_Debt!W64)</f>
        <v>39740.49426087983</v>
      </c>
      <c r="V41" s="283">
        <f>(FPLE_Debt!X27+FPLE_Debt!X64)</f>
        <v>26727.386445925244</v>
      </c>
      <c r="X41" s="525">
        <f>SUM(C41:V41)</f>
        <v>2005626.9325884096</v>
      </c>
      <c r="Y41" s="612">
        <f>FPLE_Debt!Z27+FPLE_Debt!Z64</f>
        <v>2005626.9325884092</v>
      </c>
      <c r="Z41" s="609">
        <f>X41-Y41</f>
        <v>0</v>
      </c>
    </row>
    <row r="42" spans="1:29">
      <c r="A42" s="7"/>
      <c r="B42" s="7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X42" s="525"/>
      <c r="Y42" s="526"/>
      <c r="Z42" s="610"/>
    </row>
    <row r="43" spans="1:29">
      <c r="A43" s="1" t="s">
        <v>27</v>
      </c>
      <c r="B43" s="93"/>
      <c r="C43" s="276">
        <f t="shared" ref="C43:V43" si="4">C26-C39-C41</f>
        <v>112448.90736716226</v>
      </c>
      <c r="D43" s="276">
        <f t="shared" si="4"/>
        <v>80490.867783056543</v>
      </c>
      <c r="E43" s="276">
        <f t="shared" si="4"/>
        <v>91704.763298803271</v>
      </c>
      <c r="F43" s="276">
        <f t="shared" si="4"/>
        <v>119881.30321644098</v>
      </c>
      <c r="G43" s="276">
        <f t="shared" si="4"/>
        <v>126599.91802918662</v>
      </c>
      <c r="H43" s="276">
        <f t="shared" si="4"/>
        <v>151450.86606564512</v>
      </c>
      <c r="I43" s="276">
        <f t="shared" si="4"/>
        <v>146038.03530174517</v>
      </c>
      <c r="J43" s="276">
        <f t="shared" si="4"/>
        <v>137754.94410493271</v>
      </c>
      <c r="K43" s="276">
        <f t="shared" si="4"/>
        <v>147269.71459813803</v>
      </c>
      <c r="L43" s="276">
        <f t="shared" si="4"/>
        <v>192276.49115875762</v>
      </c>
      <c r="M43" s="276">
        <f t="shared" si="4"/>
        <v>184868.88226331319</v>
      </c>
      <c r="N43" s="276">
        <f t="shared" si="4"/>
        <v>154684.28980497055</v>
      </c>
      <c r="O43" s="276">
        <f t="shared" si="4"/>
        <v>187028.32062394463</v>
      </c>
      <c r="P43" s="276">
        <f t="shared" si="4"/>
        <v>232002.70994596803</v>
      </c>
      <c r="Q43" s="276">
        <f t="shared" si="4"/>
        <v>231574.72372695379</v>
      </c>
      <c r="R43" s="276">
        <f t="shared" si="4"/>
        <v>261928.4933609702</v>
      </c>
      <c r="S43" s="276">
        <f t="shared" si="4"/>
        <v>217874.49622222665</v>
      </c>
      <c r="T43" s="276">
        <f t="shared" si="4"/>
        <v>229002.39709703127</v>
      </c>
      <c r="U43" s="276">
        <f t="shared" si="4"/>
        <v>274277.02334129508</v>
      </c>
      <c r="V43" s="276">
        <f t="shared" si="4"/>
        <v>274772.88858959073</v>
      </c>
      <c r="X43" s="525">
        <f>SUM(C43:V43)</f>
        <v>3553930.0359001318</v>
      </c>
      <c r="Y43" s="527">
        <f>SUM('Maine Hydro'!AB49,'Maine Thermal'!AB49,Lamar!AB49,'Marcus Hook 50'!AB49,Doswell!AB49,'Doswell CT'!AB49,'Segs VIII'!AB49,'Segs IX'!AB49,'NELP - Bellingham &amp; Sayreville'!AB49,Cherokee!AB49,'Cerro Gordo'!AB49,'Southwest Mesa'!AB49,Vansycle!AB49,Cameron!AB49,'Pacific Crest'!AB49,'Sky River'!AB49,Ridgetop!AB49,'Green Ridge'!AB49,'Mojave 16-18'!AB49,Morwind!AB49,VG!AB49,'WPP 92'!AB49,'WPP 91-2'!AB49,'WPP 89'!AB49,'WPP 91'!AB49,'WPP 90'!AB49)-SUM('Maine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90'!AA110)-Y41+Y10</f>
        <v>3553930.0359001332</v>
      </c>
      <c r="Z43" s="609">
        <f>X43-Y43</f>
        <v>0</v>
      </c>
    </row>
    <row r="44" spans="1:29">
      <c r="A44" s="1"/>
      <c r="B44" s="1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X44" s="525"/>
      <c r="Y44" s="526"/>
      <c r="Z44" s="526"/>
    </row>
    <row r="45" spans="1:29">
      <c r="A45" s="4" t="s">
        <v>28</v>
      </c>
      <c r="B45" s="332">
        <f>FPLE_Debt!E87</f>
        <v>5.3846153846153877E-2</v>
      </c>
      <c r="C45" s="283">
        <f>-$B$45*C43</f>
        <v>-6054.941165924125</v>
      </c>
      <c r="D45" s="283">
        <f t="shared" ref="D45:V45" si="5">-$B$45*D43</f>
        <v>-4334.1236498568933</v>
      </c>
      <c r="E45" s="283">
        <f t="shared" si="5"/>
        <v>-4937.9487930124869</v>
      </c>
      <c r="F45" s="283">
        <f t="shared" si="5"/>
        <v>-6455.1470962699022</v>
      </c>
      <c r="G45" s="283">
        <f t="shared" si="5"/>
        <v>-6816.9186631100529</v>
      </c>
      <c r="H45" s="283">
        <f t="shared" si="5"/>
        <v>-8155.0466343039725</v>
      </c>
      <c r="I45" s="283">
        <f t="shared" si="5"/>
        <v>-7863.5865162478212</v>
      </c>
      <c r="J45" s="283">
        <f t="shared" si="5"/>
        <v>-7417.573913342535</v>
      </c>
      <c r="K45" s="283">
        <f t="shared" si="5"/>
        <v>-7929.9077091305135</v>
      </c>
      <c r="L45" s="283">
        <f t="shared" si="5"/>
        <v>-10353.349523933108</v>
      </c>
      <c r="M45" s="283">
        <f t="shared" si="5"/>
        <v>-9954.4782757168705</v>
      </c>
      <c r="N45" s="283">
        <f t="shared" si="5"/>
        <v>-8329.1540664214954</v>
      </c>
      <c r="O45" s="283">
        <f t="shared" si="5"/>
        <v>-10070.755725904717</v>
      </c>
      <c r="P45" s="283">
        <f t="shared" si="5"/>
        <v>-12492.453612475209</v>
      </c>
      <c r="Q45" s="283">
        <f t="shared" si="5"/>
        <v>-12469.408200682134</v>
      </c>
      <c r="R45" s="283">
        <f t="shared" si="5"/>
        <v>-14103.841950206095</v>
      </c>
      <c r="S45" s="283">
        <f t="shared" si="5"/>
        <v>-11731.703642735287</v>
      </c>
      <c r="T45" s="283">
        <f t="shared" si="5"/>
        <v>-12330.898305224768</v>
      </c>
      <c r="U45" s="283">
        <f t="shared" si="5"/>
        <v>-14768.762795300512</v>
      </c>
      <c r="V45" s="283">
        <f t="shared" si="5"/>
        <v>-14795.463231747202</v>
      </c>
      <c r="X45" s="525"/>
      <c r="Y45" s="527"/>
      <c r="Z45" s="527"/>
    </row>
    <row r="46" spans="1:29">
      <c r="A46" s="4" t="s">
        <v>29</v>
      </c>
      <c r="B46" s="333">
        <v>0.35</v>
      </c>
      <c r="C46" s="283">
        <f>-(C43+C45)*$B$46</f>
        <v>-37237.88817043334</v>
      </c>
      <c r="D46" s="283">
        <f t="shared" ref="D46:V46" si="6">-(D43+D45)*$B$46</f>
        <v>-26654.860446619878</v>
      </c>
      <c r="E46" s="283">
        <f t="shared" si="6"/>
        <v>-30368.385077026771</v>
      </c>
      <c r="F46" s="283">
        <f t="shared" si="6"/>
        <v>-39699.154642059875</v>
      </c>
      <c r="G46" s="283">
        <f t="shared" si="6"/>
        <v>-41924.049778126799</v>
      </c>
      <c r="H46" s="283">
        <f t="shared" si="6"/>
        <v>-50153.536800969407</v>
      </c>
      <c r="I46" s="283">
        <f t="shared" si="6"/>
        <v>-48361.057074924065</v>
      </c>
      <c r="J46" s="283">
        <f t="shared" si="6"/>
        <v>-45618.079567056557</v>
      </c>
      <c r="K46" s="283">
        <f t="shared" si="6"/>
        <v>-48768.932411152622</v>
      </c>
      <c r="L46" s="283">
        <f t="shared" si="6"/>
        <v>-63673.099572188577</v>
      </c>
      <c r="M46" s="283">
        <f t="shared" si="6"/>
        <v>-61220.041395658714</v>
      </c>
      <c r="N46" s="283">
        <f t="shared" si="6"/>
        <v>-51224.297508492164</v>
      </c>
      <c r="O46" s="283">
        <f t="shared" si="6"/>
        <v>-61935.147714313964</v>
      </c>
      <c r="P46" s="283">
        <f t="shared" si="6"/>
        <v>-76828.589716722476</v>
      </c>
      <c r="Q46" s="283">
        <f t="shared" si="6"/>
        <v>-76686.86043419507</v>
      </c>
      <c r="R46" s="283">
        <f t="shared" si="6"/>
        <v>-86738.627993767441</v>
      </c>
      <c r="S46" s="283">
        <f t="shared" si="6"/>
        <v>-72149.977402821969</v>
      </c>
      <c r="T46" s="283">
        <f t="shared" si="6"/>
        <v>-75835.024577132266</v>
      </c>
      <c r="U46" s="283">
        <f t="shared" si="6"/>
        <v>-90827.891191098097</v>
      </c>
      <c r="V46" s="283">
        <f t="shared" si="6"/>
        <v>-90992.098875245225</v>
      </c>
      <c r="X46" s="525"/>
      <c r="Y46" s="527"/>
      <c r="Z46" s="527"/>
    </row>
    <row r="47" spans="1:29">
      <c r="A47" s="597" t="s">
        <v>565</v>
      </c>
      <c r="B47" s="333"/>
      <c r="C47" s="283">
        <f>'FPLE_Wind Annual Summary'!F151</f>
        <v>13224.902302374343</v>
      </c>
      <c r="D47" s="283">
        <f>'FPLE_Wind Annual Summary'!G151</f>
        <v>13339.164142235393</v>
      </c>
      <c r="E47" s="283">
        <f>'FPLE_Wind Annual Summary'!H151</f>
        <v>13910.471815836238</v>
      </c>
      <c r="F47" s="283">
        <f>'FPLE_Wind Annual Summary'!I151</f>
        <v>13494.724302596409</v>
      </c>
      <c r="G47" s="283">
        <f>'FPLE_Wind Annual Summary'!J151</f>
        <v>13837.248637143923</v>
      </c>
      <c r="H47" s="283">
        <f>'FPLE_Wind Annual Summary'!K151</f>
        <v>14109.708661958726</v>
      </c>
      <c r="I47" s="283">
        <f>'FPLE_Wind Annual Summary'!L151</f>
        <v>14132.920661958728</v>
      </c>
      <c r="J47" s="283">
        <f>'FPLE_Wind Annual Summary'!M151</f>
        <v>14310.800824959224</v>
      </c>
      <c r="K47" s="283">
        <f>'FPLE_Wind Annual Summary'!N151</f>
        <v>3625.2888719746588</v>
      </c>
      <c r="L47" s="283">
        <f>'FPLE_Wind Annual Summary'!O151</f>
        <v>0</v>
      </c>
      <c r="M47" s="283">
        <f>'FPLE_Wind Annual Summary'!P151</f>
        <v>0</v>
      </c>
      <c r="N47" s="283">
        <f>'FPLE_Wind Annual Summary'!Q151</f>
        <v>0</v>
      </c>
      <c r="O47" s="283">
        <f>'FPLE_Wind Annual Summary'!R151</f>
        <v>0</v>
      </c>
      <c r="P47" s="283">
        <f>'FPLE_Wind Annual Summary'!S151</f>
        <v>0</v>
      </c>
      <c r="Q47" s="283">
        <f>'FPLE_Wind Annual Summary'!T151</f>
        <v>0</v>
      </c>
      <c r="R47" s="283">
        <f>'FPLE_Wind Annual Summary'!U151</f>
        <v>0</v>
      </c>
      <c r="S47" s="283">
        <f>'FPLE_Wind Annual Summary'!V151</f>
        <v>0</v>
      </c>
      <c r="T47" s="283">
        <f>'FPLE_Wind Annual Summary'!W151</f>
        <v>0</v>
      </c>
      <c r="U47" s="283">
        <f>'FPLE_Wind Annual Summary'!X151</f>
        <v>0</v>
      </c>
      <c r="V47" s="283">
        <f>'FPLE_Wind Annual Summary'!Y151</f>
        <v>0</v>
      </c>
      <c r="X47" s="525">
        <f>SUM(C47:V47)</f>
        <v>113985.23022103762</v>
      </c>
      <c r="Y47" s="527">
        <f>SUM('Cerro Gordo'!AB56,'Southwest Mesa'!AB56,Vansycle!AB56,Cameron!AB56,'Pacific Crest'!AB56,'Sky River'!AB56,Ridgetop!AB56,'Green Ridge'!AB56,'Mojave 16-18'!AB56,Morwind!AB56,VG!AB56,'WPP 92'!AB56,'WPP 91-2'!AB56,'WPP 89'!AB56,'WPP 91'!AB56,'WPP 90'!AB56)</f>
        <v>113985.23022103764</v>
      </c>
      <c r="Z47" s="609">
        <f>X47-Y47</f>
        <v>0</v>
      </c>
    </row>
    <row r="48" spans="1:29">
      <c r="A48" s="7"/>
      <c r="B48" s="7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X48" s="525"/>
      <c r="Y48" s="526"/>
      <c r="Z48" s="526"/>
    </row>
    <row r="49" spans="1:26" ht="16.5" thickBot="1">
      <c r="A49" s="18" t="s">
        <v>30</v>
      </c>
      <c r="B49" s="18"/>
      <c r="C49" s="326">
        <f>C43+C45+C46+C47</f>
        <v>82380.980333179119</v>
      </c>
      <c r="D49" s="326">
        <f t="shared" ref="D49:V49" si="7">D43+D45+D46+D47</f>
        <v>62841.047828815172</v>
      </c>
      <c r="E49" s="326">
        <f t="shared" si="7"/>
        <v>70308.901244600245</v>
      </c>
      <c r="F49" s="326">
        <f t="shared" si="7"/>
        <v>87221.725780707609</v>
      </c>
      <c r="G49" s="326">
        <f t="shared" si="7"/>
        <v>91696.198225093714</v>
      </c>
      <c r="H49" s="326">
        <f t="shared" si="7"/>
        <v>107251.99129233048</v>
      </c>
      <c r="I49" s="326">
        <f t="shared" si="7"/>
        <v>103946.312372532</v>
      </c>
      <c r="J49" s="326">
        <f t="shared" si="7"/>
        <v>99030.091449492844</v>
      </c>
      <c r="K49" s="326">
        <f t="shared" si="7"/>
        <v>94196.163349829541</v>
      </c>
      <c r="L49" s="326">
        <f t="shared" si="7"/>
        <v>118250.04206263594</v>
      </c>
      <c r="M49" s="326">
        <f t="shared" si="7"/>
        <v>113694.36259193762</v>
      </c>
      <c r="N49" s="326">
        <f t="shared" si="7"/>
        <v>95130.838230056892</v>
      </c>
      <c r="O49" s="326">
        <f t="shared" si="7"/>
        <v>115022.41718372595</v>
      </c>
      <c r="P49" s="326">
        <f t="shared" si="7"/>
        <v>142681.66661677032</v>
      </c>
      <c r="Q49" s="326">
        <f t="shared" si="7"/>
        <v>142418.45509207656</v>
      </c>
      <c r="R49" s="326">
        <f t="shared" si="7"/>
        <v>161086.02341699667</v>
      </c>
      <c r="S49" s="326">
        <f t="shared" si="7"/>
        <v>133992.81517666939</v>
      </c>
      <c r="T49" s="326">
        <f t="shared" si="7"/>
        <v>140836.47421467421</v>
      </c>
      <c r="U49" s="326">
        <f t="shared" si="7"/>
        <v>168680.36935489648</v>
      </c>
      <c r="V49" s="326">
        <f t="shared" si="7"/>
        <v>168985.32648259829</v>
      </c>
      <c r="X49" s="525"/>
      <c r="Y49" s="527"/>
      <c r="Z49" s="527"/>
    </row>
    <row r="50" spans="1:26" ht="12.75" customHeight="1" thickTop="1">
      <c r="A50" s="277"/>
      <c r="B50" s="277"/>
    </row>
    <row r="51" spans="1:26" ht="12.75" customHeight="1">
      <c r="A51" s="277"/>
      <c r="B51" s="277"/>
    </row>
    <row r="52" spans="1:26" ht="12.75" customHeight="1">
      <c r="A52" s="277"/>
      <c r="B52" s="277"/>
    </row>
    <row r="53" spans="1:26" ht="12.75" customHeight="1">
      <c r="A53" s="277"/>
      <c r="B53" s="277"/>
    </row>
    <row r="54" spans="1:26" ht="12.75" customHeight="1">
      <c r="A54" s="277"/>
      <c r="B54" s="277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</row>
    <row r="55" spans="1:26" ht="15.75">
      <c r="A55" s="1189" t="s">
        <v>787</v>
      </c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</row>
    <row r="56" spans="1:26">
      <c r="C56" s="295"/>
      <c r="D56" s="295"/>
      <c r="E56" s="295"/>
      <c r="F56" s="295"/>
      <c r="X56" s="608"/>
    </row>
    <row r="57" spans="1:26">
      <c r="A57" s="1" t="s">
        <v>643</v>
      </c>
      <c r="B57" s="93"/>
      <c r="C57" s="276">
        <f>C43</f>
        <v>112448.90736716226</v>
      </c>
      <c r="D57" s="276">
        <f t="shared" ref="D57:V57" si="8">D43</f>
        <v>80490.867783056543</v>
      </c>
      <c r="E57" s="276">
        <f t="shared" si="8"/>
        <v>91704.763298803271</v>
      </c>
      <c r="F57" s="276">
        <f t="shared" si="8"/>
        <v>119881.30321644098</v>
      </c>
      <c r="G57" s="276">
        <f t="shared" si="8"/>
        <v>126599.91802918662</v>
      </c>
      <c r="H57" s="276">
        <f t="shared" si="8"/>
        <v>151450.86606564512</v>
      </c>
      <c r="I57" s="276">
        <f t="shared" si="8"/>
        <v>146038.03530174517</v>
      </c>
      <c r="J57" s="276">
        <f t="shared" si="8"/>
        <v>137754.94410493271</v>
      </c>
      <c r="K57" s="276">
        <f t="shared" si="8"/>
        <v>147269.71459813803</v>
      </c>
      <c r="L57" s="276">
        <f t="shared" si="8"/>
        <v>192276.49115875762</v>
      </c>
      <c r="M57" s="276">
        <f t="shared" si="8"/>
        <v>184868.88226331319</v>
      </c>
      <c r="N57" s="276">
        <f t="shared" si="8"/>
        <v>154684.28980497055</v>
      </c>
      <c r="O57" s="276">
        <f t="shared" si="8"/>
        <v>187028.32062394463</v>
      </c>
      <c r="P57" s="276">
        <f t="shared" si="8"/>
        <v>232002.70994596803</v>
      </c>
      <c r="Q57" s="276">
        <f t="shared" si="8"/>
        <v>231574.72372695379</v>
      </c>
      <c r="R57" s="276">
        <f t="shared" si="8"/>
        <v>261928.4933609702</v>
      </c>
      <c r="S57" s="276">
        <f t="shared" si="8"/>
        <v>217874.49622222665</v>
      </c>
      <c r="T57" s="276">
        <f t="shared" si="8"/>
        <v>229002.39709703127</v>
      </c>
      <c r="U57" s="276">
        <f t="shared" si="8"/>
        <v>274277.02334129508</v>
      </c>
      <c r="V57" s="276">
        <f t="shared" si="8"/>
        <v>274772.88858959073</v>
      </c>
      <c r="X57" s="525">
        <f>SUM(C57:V57)</f>
        <v>3553930.0359001318</v>
      </c>
      <c r="Y57" s="527">
        <f>Y43</f>
        <v>3553930.0359001332</v>
      </c>
      <c r="Z57" s="609">
        <f>X57-Y57</f>
        <v>0</v>
      </c>
    </row>
    <row r="58" spans="1:26">
      <c r="A58" s="1"/>
      <c r="B58" s="93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X58" s="525"/>
      <c r="Y58" s="527"/>
      <c r="Z58" s="609"/>
    </row>
    <row r="59" spans="1:26">
      <c r="A59" s="4" t="s">
        <v>788</v>
      </c>
      <c r="B59" s="90"/>
      <c r="C59" s="283">
        <f>'NewCo_Summary Output'!$C$14*NewCo_IS!B13</f>
        <v>27650.92540765139</v>
      </c>
      <c r="D59" s="283">
        <f>'NewCo_Summary Output'!$C$14*NewCo_IS!C13</f>
        <v>28480.453169880933</v>
      </c>
      <c r="E59" s="283">
        <f>'NewCo_Summary Output'!$C$14*NewCo_IS!D13</f>
        <v>29334.866764977363</v>
      </c>
      <c r="F59" s="283">
        <f>'NewCo_Summary Output'!$C$14*NewCo_IS!E13</f>
        <v>30214.912767926682</v>
      </c>
      <c r="G59" s="283">
        <f>'NewCo_Summary Output'!$C$14*NewCo_IS!F13</f>
        <v>31121.360150964483</v>
      </c>
      <c r="H59" s="283">
        <f>'NewCo_Summary Output'!$C$14*NewCo_IS!G13</f>
        <v>32055.000955493422</v>
      </c>
      <c r="I59" s="283">
        <f>'NewCo_Summary Output'!$C$14*NewCo_IS!H13</f>
        <v>33016.65098415823</v>
      </c>
      <c r="J59" s="283">
        <f>'NewCo_Summary Output'!$C$14*NewCo_IS!I13</f>
        <v>34007.150513682973</v>
      </c>
      <c r="K59" s="283">
        <f>'NewCo_Summary Output'!$C$14*NewCo_IS!J13</f>
        <v>35027.365029093467</v>
      </c>
      <c r="L59" s="283">
        <f>'NewCo_Summary Output'!$C$14*NewCo_IS!K13</f>
        <v>36078.185979966271</v>
      </c>
      <c r="M59" s="283">
        <f>'NewCo_Summary Output'!$C$14*NewCo_IS!L13</f>
        <v>37160.531559365263</v>
      </c>
      <c r="N59" s="283">
        <f>'NewCo_Summary Output'!$C$14*NewCo_IS!M13</f>
        <v>38275.347506146223</v>
      </c>
      <c r="O59" s="283">
        <f>'NewCo_Summary Output'!$C$14*NewCo_IS!N13</f>
        <v>39423.607931330611</v>
      </c>
      <c r="P59" s="283">
        <f>'NewCo_Summary Output'!$C$14*NewCo_IS!O13</f>
        <v>40606.316169270533</v>
      </c>
      <c r="Q59" s="283">
        <f>'NewCo_Summary Output'!$C$14*NewCo_IS!P13</f>
        <v>41824.50565434865</v>
      </c>
      <c r="R59" s="283">
        <f>'NewCo_Summary Output'!$C$14*NewCo_IS!Q13</f>
        <v>43079.240823979104</v>
      </c>
      <c r="S59" s="283">
        <f>'NewCo_Summary Output'!$C$14*NewCo_IS!R13</f>
        <v>44371.618048698481</v>
      </c>
      <c r="T59" s="283">
        <f>'NewCo_Summary Output'!$C$14*NewCo_IS!S13</f>
        <v>45702.766590159437</v>
      </c>
      <c r="U59" s="283">
        <f>'NewCo_Summary Output'!$C$14*NewCo_IS!T13</f>
        <v>47073.849587864221</v>
      </c>
      <c r="V59" s="283">
        <f>'NewCo_Summary Output'!$C$14*NewCo_IS!U13</f>
        <v>48486.065075500155</v>
      </c>
      <c r="X59" s="525">
        <f>SUM(C59:V59)</f>
        <v>742990.72067045793</v>
      </c>
      <c r="Y59" s="525">
        <f>NewCo_IS!W13*'NewCo_Summary Output'!C14</f>
        <v>742990.72067045781</v>
      </c>
      <c r="Z59" s="609">
        <f>X59-Y59</f>
        <v>0</v>
      </c>
    </row>
    <row r="60" spans="1:26">
      <c r="A60" s="4"/>
      <c r="B60" s="93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X60" s="525"/>
      <c r="Y60" s="527"/>
      <c r="Z60" s="609"/>
    </row>
    <row r="61" spans="1:26">
      <c r="A61" s="509" t="s">
        <v>27</v>
      </c>
      <c r="B61" s="93"/>
      <c r="C61" s="276">
        <f>C57-C59</f>
        <v>84797.981959510871</v>
      </c>
      <c r="D61" s="276">
        <f t="shared" ref="D61:V61" si="9">D57-D59</f>
        <v>52010.414613175613</v>
      </c>
      <c r="E61" s="276">
        <f t="shared" si="9"/>
        <v>62369.896533825908</v>
      </c>
      <c r="F61" s="276">
        <f t="shared" si="9"/>
        <v>89666.390448514299</v>
      </c>
      <c r="G61" s="276">
        <f t="shared" si="9"/>
        <v>95478.557878222142</v>
      </c>
      <c r="H61" s="276">
        <f t="shared" si="9"/>
        <v>119395.8651101517</v>
      </c>
      <c r="I61" s="276">
        <f t="shared" si="9"/>
        <v>113021.38431758694</v>
      </c>
      <c r="J61" s="276">
        <f t="shared" si="9"/>
        <v>103747.79359124973</v>
      </c>
      <c r="K61" s="276">
        <f t="shared" si="9"/>
        <v>112242.34956904457</v>
      </c>
      <c r="L61" s="276">
        <f t="shared" si="9"/>
        <v>156198.30517879134</v>
      </c>
      <c r="M61" s="276">
        <f t="shared" si="9"/>
        <v>147708.35070394794</v>
      </c>
      <c r="N61" s="276">
        <f t="shared" si="9"/>
        <v>116408.94229882433</v>
      </c>
      <c r="O61" s="276">
        <f t="shared" si="9"/>
        <v>147604.712692614</v>
      </c>
      <c r="P61" s="276">
        <f t="shared" si="9"/>
        <v>191396.39377669751</v>
      </c>
      <c r="Q61" s="276">
        <f t="shared" si="9"/>
        <v>189750.21807260514</v>
      </c>
      <c r="R61" s="276">
        <f t="shared" si="9"/>
        <v>218849.25253699109</v>
      </c>
      <c r="S61" s="276">
        <f t="shared" si="9"/>
        <v>173502.87817352818</v>
      </c>
      <c r="T61" s="276">
        <f t="shared" si="9"/>
        <v>183299.63050687182</v>
      </c>
      <c r="U61" s="276">
        <f t="shared" si="9"/>
        <v>227203.17375343086</v>
      </c>
      <c r="V61" s="276">
        <f t="shared" si="9"/>
        <v>226286.82351409056</v>
      </c>
      <c r="X61" s="525">
        <f>SUM(C61:V61)</f>
        <v>2810939.3152296743</v>
      </c>
      <c r="Y61" s="527">
        <f>Y57-Y59</f>
        <v>2810939.3152296753</v>
      </c>
      <c r="Z61" s="609">
        <f>X61-Y61</f>
        <v>0</v>
      </c>
    </row>
    <row r="62" spans="1:26">
      <c r="A62" s="1"/>
      <c r="B62" s="1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X62" s="525"/>
      <c r="Y62" s="526"/>
      <c r="Z62" s="526"/>
    </row>
    <row r="63" spans="1:26">
      <c r="A63" s="509" t="s">
        <v>28</v>
      </c>
      <c r="B63" s="332">
        <f>B45</f>
        <v>5.3846153846153877E-2</v>
      </c>
      <c r="C63" s="283">
        <f>-$B$63*C61</f>
        <v>-4566.0451824352031</v>
      </c>
      <c r="D63" s="283">
        <f t="shared" ref="D63:V63" si="10">-$B$63*D61</f>
        <v>-2800.5607868633037</v>
      </c>
      <c r="E63" s="283">
        <f t="shared" si="10"/>
        <v>-3358.3790441290894</v>
      </c>
      <c r="F63" s="283">
        <f t="shared" si="10"/>
        <v>-4828.1902549200031</v>
      </c>
      <c r="G63" s="283">
        <f t="shared" si="10"/>
        <v>-5141.1531165196566</v>
      </c>
      <c r="H63" s="283">
        <f t="shared" si="10"/>
        <v>-6429.0081213158646</v>
      </c>
      <c r="I63" s="283">
        <f t="shared" si="10"/>
        <v>-6085.7668478700698</v>
      </c>
      <c r="J63" s="283">
        <f t="shared" si="10"/>
        <v>-5586.4196549134504</v>
      </c>
      <c r="K63" s="283">
        <f t="shared" si="10"/>
        <v>-6043.8188229485577</v>
      </c>
      <c r="L63" s="283">
        <f t="shared" si="10"/>
        <v>-8410.6779711656927</v>
      </c>
      <c r="M63" s="283">
        <f t="shared" si="10"/>
        <v>-7953.526576366432</v>
      </c>
      <c r="N63" s="283">
        <f t="shared" si="10"/>
        <v>-6268.1738160905443</v>
      </c>
      <c r="O63" s="283">
        <f t="shared" si="10"/>
        <v>-7947.9460680638358</v>
      </c>
      <c r="P63" s="283">
        <f t="shared" si="10"/>
        <v>-10305.959664899103</v>
      </c>
      <c r="Q63" s="283">
        <f t="shared" si="10"/>
        <v>-10217.319434678744</v>
      </c>
      <c r="R63" s="283">
        <f t="shared" si="10"/>
        <v>-11784.190521222603</v>
      </c>
      <c r="S63" s="283">
        <f t="shared" si="10"/>
        <v>-9342.4626708822925</v>
      </c>
      <c r="T63" s="283">
        <f t="shared" si="10"/>
        <v>-9869.9801042161798</v>
      </c>
      <c r="U63" s="283">
        <f t="shared" si="10"/>
        <v>-12234.017048261669</v>
      </c>
      <c r="V63" s="283">
        <f t="shared" si="10"/>
        <v>-12184.675112297191</v>
      </c>
      <c r="X63" s="525">
        <f>SUM(C63:V63)</f>
        <v>-151358.27082005946</v>
      </c>
      <c r="Y63" s="527">
        <f>-Y61*B63</f>
        <v>-151358.27082005952</v>
      </c>
      <c r="Z63" s="609">
        <f>X63-Y63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4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E246"/>
  <sheetViews>
    <sheetView zoomScale="75" zoomScaleNormal="75" workbookViewId="0"/>
  </sheetViews>
  <sheetFormatPr defaultRowHeight="12.75" outlineLevelRow="1"/>
  <cols>
    <col min="1" max="1" width="40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5" width="13.140625" style="520" bestFit="1" customWidth="1"/>
    <col min="26" max="26" width="10.7109375" style="520" customWidth="1"/>
    <col min="27" max="28" width="9.85546875" style="271" customWidth="1"/>
    <col min="29" max="29" width="9.140625" style="271"/>
    <col min="30" max="30" width="9.42578125" style="271" customWidth="1"/>
    <col min="31" max="31" width="9.85546875" style="271" customWidth="1"/>
    <col min="32" max="32" width="9.140625" style="271"/>
    <col min="33" max="33" width="9.42578125" style="271" customWidth="1"/>
    <col min="34" max="35" width="9.85546875" style="271" customWidth="1"/>
    <col min="36" max="37" width="9.140625" style="271"/>
    <col min="38" max="39" width="9.85546875" style="271" customWidth="1"/>
    <col min="40" max="81" width="9.140625" style="271"/>
    <col min="82" max="83" width="9.85546875" style="271" customWidth="1"/>
    <col min="84" max="16384" width="9.140625" style="271"/>
  </cols>
  <sheetData>
    <row r="1" spans="1:83">
      <c r="X1" s="533"/>
      <c r="Y1" s="533"/>
      <c r="Z1" s="533"/>
    </row>
    <row r="2" spans="1:83" ht="18.75">
      <c r="A2" s="270" t="s">
        <v>364</v>
      </c>
      <c r="B2" s="270"/>
      <c r="X2" s="533"/>
      <c r="Y2" s="533"/>
      <c r="Z2" s="533"/>
    </row>
    <row r="3" spans="1:83">
      <c r="X3" s="533"/>
      <c r="Y3" s="533"/>
      <c r="Z3" s="533"/>
    </row>
    <row r="4" spans="1:83">
      <c r="X4" s="533"/>
      <c r="Y4" s="533"/>
      <c r="Z4" s="533"/>
    </row>
    <row r="5" spans="1:83" ht="18.75">
      <c r="A5" s="288" t="s">
        <v>31</v>
      </c>
      <c r="B5" s="288"/>
      <c r="X5" s="533"/>
      <c r="Y5" s="533"/>
      <c r="Z5" s="533"/>
    </row>
    <row r="6" spans="1:83" ht="13.5">
      <c r="X6" s="543"/>
      <c r="Y6" s="543"/>
      <c r="Z6" s="533"/>
    </row>
    <row r="7" spans="1:83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 t="shared" si="0"/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 t="shared" si="0"/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523" t="s">
        <v>128</v>
      </c>
      <c r="Y7" s="1360" t="s">
        <v>212</v>
      </c>
      <c r="Z7" s="1360"/>
    </row>
    <row r="8" spans="1:83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289"/>
      <c r="X8" s="532"/>
      <c r="Y8" s="532"/>
      <c r="Z8" s="533"/>
    </row>
    <row r="9" spans="1:83">
      <c r="A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32"/>
      <c r="Y9" s="532"/>
      <c r="Z9" s="533"/>
    </row>
    <row r="10" spans="1:83">
      <c r="A10" s="509" t="s">
        <v>265</v>
      </c>
      <c r="B10" s="296"/>
      <c r="C10" s="315">
        <f>FPLE_IS!C8</f>
        <v>370873.13121855934</v>
      </c>
      <c r="D10" s="315">
        <f>FPLE_IS!D8</f>
        <v>333116.63689174165</v>
      </c>
      <c r="E10" s="315">
        <f>FPLE_IS!E8</f>
        <v>341215.56702612643</v>
      </c>
      <c r="F10" s="315">
        <f>FPLE_IS!F8</f>
        <v>365553.57617057109</v>
      </c>
      <c r="G10" s="315">
        <f>FPLE_IS!G8</f>
        <v>367143.13220870157</v>
      </c>
      <c r="H10" s="315">
        <f>FPLE_IS!H8</f>
        <v>385859.70640254871</v>
      </c>
      <c r="I10" s="315">
        <f>FPLE_IS!I8</f>
        <v>373673.76139679283</v>
      </c>
      <c r="J10" s="315">
        <f>FPLE_IS!J8</f>
        <v>358774.72067538439</v>
      </c>
      <c r="K10" s="315">
        <f>FPLE_IS!K8</f>
        <v>362094.20073048549</v>
      </c>
      <c r="L10" s="315">
        <f>FPLE_IS!L8</f>
        <v>399575.78911545442</v>
      </c>
      <c r="M10" s="315">
        <f>FPLE_IS!M8</f>
        <v>383122.79129371274</v>
      </c>
      <c r="N10" s="315">
        <f>FPLE_IS!N8</f>
        <v>346174.69962349755</v>
      </c>
      <c r="O10" s="315">
        <f>FPLE_IS!O8</f>
        <v>373463.8910567367</v>
      </c>
      <c r="P10" s="315">
        <f>FPLE_IS!P8</f>
        <v>409477.33307518705</v>
      </c>
      <c r="Q10" s="315">
        <f>FPLE_IS!Q8</f>
        <v>399795.47358727804</v>
      </c>
      <c r="R10" s="315">
        <f>FPLE_IS!R8</f>
        <v>419435.93160907994</v>
      </c>
      <c r="S10" s="315">
        <f>FPLE_IS!S8</f>
        <v>362242.12176054216</v>
      </c>
      <c r="T10" s="315">
        <f>FPLE_IS!T8</f>
        <v>353966.10588849382</v>
      </c>
      <c r="U10" s="315">
        <f>FPLE_IS!U8</f>
        <v>385448.88802843948</v>
      </c>
      <c r="V10" s="315">
        <f>FPLE_IS!V8</f>
        <v>366682.21336082846</v>
      </c>
      <c r="W10" s="27"/>
      <c r="X10" s="534">
        <f>SUM(C10:V10)</f>
        <v>7457689.6711201621</v>
      </c>
      <c r="Y10" s="534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10" s="609">
        <f>X10-Y10</f>
        <v>0</v>
      </c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  <c r="BB10" s="313"/>
      <c r="BC10" s="313"/>
      <c r="BD10" s="313"/>
      <c r="BE10" s="313"/>
      <c r="BF10" s="313"/>
      <c r="BG10" s="313"/>
      <c r="BH10" s="313"/>
      <c r="BI10" s="313"/>
      <c r="BJ10" s="313"/>
      <c r="BK10" s="313"/>
      <c r="BL10" s="313"/>
      <c r="BM10" s="313"/>
      <c r="BN10" s="313"/>
      <c r="BO10" s="313"/>
      <c r="BP10" s="313"/>
      <c r="BQ10" s="313"/>
      <c r="BR10" s="313"/>
      <c r="BS10" s="313"/>
      <c r="BT10" s="313"/>
      <c r="BU10" s="313"/>
      <c r="BV10" s="313"/>
      <c r="BW10" s="313"/>
      <c r="BX10" s="313"/>
      <c r="BY10" s="313"/>
      <c r="BZ10" s="313"/>
      <c r="CA10" s="313"/>
      <c r="CB10" s="313"/>
      <c r="CC10" s="313"/>
      <c r="CD10" s="313"/>
      <c r="CE10" s="313"/>
    </row>
    <row r="11" spans="1:83">
      <c r="A11" s="509"/>
      <c r="B11" s="296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27"/>
      <c r="X11" s="534"/>
      <c r="Y11" s="534"/>
      <c r="Z11" s="535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  <c r="BD11" s="313"/>
      <c r="BE11" s="313"/>
      <c r="BF11" s="313"/>
      <c r="BG11" s="313"/>
      <c r="BH11" s="313"/>
      <c r="BI11" s="313"/>
      <c r="BJ11" s="313"/>
      <c r="BK11" s="313"/>
      <c r="BL11" s="313"/>
      <c r="BM11" s="313"/>
      <c r="BN11" s="313"/>
      <c r="BO11" s="313"/>
      <c r="BP11" s="313"/>
      <c r="BQ11" s="313"/>
      <c r="BR11" s="313"/>
      <c r="BS11" s="313"/>
      <c r="BT11" s="313"/>
      <c r="BU11" s="313"/>
      <c r="BV11" s="313"/>
      <c r="BW11" s="313"/>
      <c r="BX11" s="313"/>
      <c r="BY11" s="313"/>
      <c r="BZ11" s="313"/>
      <c r="CA11" s="313"/>
      <c r="CB11" s="313"/>
      <c r="CC11" s="313"/>
      <c r="CD11" s="313"/>
      <c r="CE11" s="313"/>
    </row>
    <row r="12" spans="1:83">
      <c r="A12" s="4" t="s">
        <v>264</v>
      </c>
      <c r="B12" s="296"/>
      <c r="C12" s="296">
        <f>FPLE_IS!C10</f>
        <v>25861.840802709379</v>
      </c>
      <c r="D12" s="296">
        <f>FPLE_IS!D10</f>
        <v>26242.181333865115</v>
      </c>
      <c r="E12" s="296">
        <f>FPLE_IS!E10</f>
        <v>25700.701317067131</v>
      </c>
      <c r="F12" s="296">
        <f>FPLE_IS!F10</f>
        <v>25203.179520255075</v>
      </c>
      <c r="G12" s="296">
        <f>FPLE_IS!G10</f>
        <v>25241.108558434502</v>
      </c>
      <c r="H12" s="296">
        <f>FPLE_IS!H10</f>
        <v>25357.684644168701</v>
      </c>
      <c r="I12" s="296">
        <f>FPLE_IS!I10</f>
        <v>24537.558009302829</v>
      </c>
      <c r="J12" s="296">
        <f>FPLE_IS!J10</f>
        <v>23715.818635935801</v>
      </c>
      <c r="K12" s="296">
        <f>FPLE_IS!K10</f>
        <v>22396.536552243011</v>
      </c>
      <c r="L12" s="296">
        <f>FPLE_IS!L10</f>
        <v>21455.242143802039</v>
      </c>
      <c r="M12" s="296">
        <f>FPLE_IS!M10</f>
        <v>20207.867562188327</v>
      </c>
      <c r="N12" s="296">
        <f>FPLE_IS!N10</f>
        <v>18865.326678486977</v>
      </c>
      <c r="O12" s="296">
        <f>FPLE_IS!O10</f>
        <v>17523.392600423122</v>
      </c>
      <c r="P12" s="296">
        <f>FPLE_IS!P10</f>
        <v>17699.438125699147</v>
      </c>
      <c r="Q12" s="296">
        <f>FPLE_IS!Q10</f>
        <v>15925.631503276634</v>
      </c>
      <c r="R12" s="296">
        <f>FPLE_IS!R10</f>
        <v>15752.951751480348</v>
      </c>
      <c r="S12" s="296">
        <f>FPLE_IS!S10</f>
        <v>16217.008757022881</v>
      </c>
      <c r="T12" s="296">
        <f>FPLE_IS!T10</f>
        <v>15669.799678290547</v>
      </c>
      <c r="U12" s="296">
        <f>FPLE_IS!U10</f>
        <v>15229.828951736323</v>
      </c>
      <c r="V12" s="296">
        <f>FPLE_IS!V10</f>
        <v>15135.193160610284</v>
      </c>
      <c r="W12" s="27"/>
      <c r="X12" s="534">
        <f>SUM(C12:V12)</f>
        <v>413938.29028699821</v>
      </c>
      <c r="Y12" s="534">
        <f>FPLE_IS!Y10</f>
        <v>413938.29028699821</v>
      </c>
      <c r="Z12" s="609">
        <f>X12-Y12</f>
        <v>0</v>
      </c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  <c r="BD12" s="313"/>
      <c r="BE12" s="313"/>
      <c r="BF12" s="313"/>
      <c r="BG12" s="313"/>
      <c r="BH12" s="313"/>
      <c r="BI12" s="313"/>
      <c r="BJ12" s="313"/>
      <c r="BK12" s="313"/>
      <c r="BL12" s="313"/>
      <c r="BM12" s="313"/>
      <c r="BN12" s="313"/>
      <c r="BO12" s="313"/>
      <c r="BP12" s="313"/>
      <c r="BQ12" s="313"/>
      <c r="BR12" s="313"/>
      <c r="BS12" s="313"/>
      <c r="BT12" s="313"/>
      <c r="BU12" s="313"/>
      <c r="BV12" s="313"/>
      <c r="BW12" s="313"/>
      <c r="BX12" s="313"/>
      <c r="BY12" s="313"/>
      <c r="BZ12" s="313"/>
      <c r="CA12" s="313"/>
      <c r="CB12" s="313"/>
      <c r="CC12" s="313"/>
      <c r="CD12" s="313"/>
      <c r="CE12" s="313"/>
    </row>
    <row r="13" spans="1:83">
      <c r="A13" s="4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7"/>
      <c r="X13" s="534"/>
      <c r="Y13" s="534"/>
      <c r="Z13" s="609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</row>
    <row r="14" spans="1:83" outlineLevel="1">
      <c r="A14" s="331" t="s">
        <v>208</v>
      </c>
      <c r="B14" s="296"/>
      <c r="C14" s="296">
        <f>'Segs VIII'!F165/1000</f>
        <v>1340.840833381181</v>
      </c>
      <c r="D14" s="296">
        <f>'Segs VIII'!G165/1000</f>
        <v>1474.9249167192988</v>
      </c>
      <c r="E14" s="296">
        <f>'Segs VIII'!H165/1000</f>
        <v>1622.4174083912289</v>
      </c>
      <c r="F14" s="296">
        <f>'Segs VIII'!I165/1000</f>
        <v>1784.6591492303521</v>
      </c>
      <c r="G14" s="296">
        <f>'Segs VIII'!J165/1000</f>
        <v>1963.1250641533873</v>
      </c>
      <c r="H14" s="296">
        <f>'Segs VIII'!K165/1000</f>
        <v>2159.4375705687262</v>
      </c>
      <c r="I14" s="296">
        <f>'Segs VIII'!L165/1000</f>
        <v>2375.3813276255987</v>
      </c>
      <c r="J14" s="296">
        <f>'Segs VIII'!M165/1000</f>
        <v>2612.9194603881583</v>
      </c>
      <c r="K14" s="296">
        <f>'Segs VIII'!N165/1000</f>
        <v>2874.2114064269745</v>
      </c>
      <c r="L14" s="296">
        <f>'Segs VIII'!O165/1000</f>
        <v>3161.6325470696715</v>
      </c>
      <c r="M14" s="296">
        <f>'Segs VIII'!P165/1000</f>
        <v>3477.7958017766387</v>
      </c>
      <c r="N14" s="296">
        <f>'Segs VIII'!Q165/1000</f>
        <v>3825.5753819543334</v>
      </c>
      <c r="O14" s="296">
        <f>'Segs VIII'!R165/1000</f>
        <v>0</v>
      </c>
      <c r="P14" s="296">
        <f>'Segs VIII'!S165/1000</f>
        <v>0</v>
      </c>
      <c r="Q14" s="296">
        <f>'Segs VIII'!T165/1000</f>
        <v>0</v>
      </c>
      <c r="R14" s="296">
        <f>'Segs VIII'!U165/1000</f>
        <v>0</v>
      </c>
      <c r="S14" s="296">
        <f>'Segs VIII'!V165/1000</f>
        <v>0</v>
      </c>
      <c r="T14" s="296">
        <f>'Segs VIII'!W165/1000</f>
        <v>0</v>
      </c>
      <c r="U14" s="296">
        <f>'Segs VIII'!X165/1000</f>
        <v>0</v>
      </c>
      <c r="V14" s="296">
        <f>'Segs VIII'!Y165/1000</f>
        <v>0</v>
      </c>
      <c r="W14" s="27"/>
      <c r="X14" s="534"/>
      <c r="Y14" s="534"/>
      <c r="Z14" s="609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  <c r="BB14" s="313"/>
      <c r="BC14" s="313"/>
      <c r="BD14" s="313"/>
      <c r="BE14" s="313"/>
      <c r="BF14" s="313"/>
      <c r="BG14" s="313"/>
      <c r="BH14" s="313"/>
      <c r="BI14" s="313"/>
      <c r="BJ14" s="313"/>
      <c r="BK14" s="313"/>
      <c r="BL14" s="313"/>
      <c r="BM14" s="313"/>
      <c r="BN14" s="313"/>
      <c r="BO14" s="313"/>
      <c r="BP14" s="313"/>
      <c r="BQ14" s="313"/>
      <c r="BR14" s="313"/>
      <c r="BS14" s="313"/>
      <c r="BT14" s="313"/>
      <c r="BU14" s="313"/>
      <c r="BV14" s="313"/>
      <c r="BW14" s="313"/>
      <c r="BX14" s="313"/>
      <c r="BY14" s="313"/>
      <c r="BZ14" s="313"/>
      <c r="CA14" s="313"/>
      <c r="CB14" s="313"/>
      <c r="CC14" s="313"/>
      <c r="CD14" s="313"/>
      <c r="CE14" s="313"/>
    </row>
    <row r="15" spans="1:83" outlineLevel="1">
      <c r="A15" s="331" t="s">
        <v>209</v>
      </c>
      <c r="B15" s="296"/>
      <c r="C15" s="296">
        <f>'Segs IX'!F165/1000</f>
        <v>1513.8525538174617</v>
      </c>
      <c r="D15" s="296">
        <f>'Segs IX'!G165/1000</f>
        <v>1665.237809199208</v>
      </c>
      <c r="E15" s="296">
        <f>'Segs IX'!H165/1000</f>
        <v>1831.7615901191286</v>
      </c>
      <c r="F15" s="296">
        <f>'Segs IX'!I165/1000</f>
        <v>2014.9377491310411</v>
      </c>
      <c r="G15" s="296">
        <f>'Segs IX'!J165/1000</f>
        <v>2216.4315240441456</v>
      </c>
      <c r="H15" s="296">
        <f>'Segs IX'!K165/1000</f>
        <v>2438.0746764485598</v>
      </c>
      <c r="I15" s="296">
        <f>'Segs IX'!L165/1000</f>
        <v>2681.8821440934162</v>
      </c>
      <c r="J15" s="296">
        <f>'Segs IX'!M165/1000</f>
        <v>2950.0703585027577</v>
      </c>
      <c r="K15" s="296">
        <f>'Segs IX'!N165/1000</f>
        <v>3245.0773943530335</v>
      </c>
      <c r="L15" s="296">
        <f>'Segs IX'!O165/1000</f>
        <v>3569.5851337883369</v>
      </c>
      <c r="M15" s="296">
        <f>'Segs IX'!P165/1000</f>
        <v>3926.5436471671705</v>
      </c>
      <c r="N15" s="296">
        <f>'Segs IX'!Q165/1000</f>
        <v>4319.198011883951</v>
      </c>
      <c r="O15" s="296">
        <f>'Segs IX'!R165/1000</f>
        <v>0</v>
      </c>
      <c r="P15" s="296">
        <f>'Segs IX'!S165/1000</f>
        <v>0</v>
      </c>
      <c r="Q15" s="296">
        <f>'Segs IX'!T165/1000</f>
        <v>0</v>
      </c>
      <c r="R15" s="296">
        <f>'Segs IX'!U165/1000</f>
        <v>0</v>
      </c>
      <c r="S15" s="296">
        <f>'Segs IX'!V165/1000</f>
        <v>0</v>
      </c>
      <c r="T15" s="296">
        <f>'Segs IX'!W165/1000</f>
        <v>0</v>
      </c>
      <c r="U15" s="296">
        <f>'Segs IX'!X165/1000</f>
        <v>0</v>
      </c>
      <c r="V15" s="296">
        <f>'Segs IX'!Y165/1000</f>
        <v>0</v>
      </c>
      <c r="W15" s="27"/>
      <c r="X15" s="534"/>
      <c r="Y15" s="534"/>
      <c r="Z15" s="609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  <c r="BB15" s="313"/>
      <c r="BC15" s="313"/>
      <c r="BD15" s="313"/>
      <c r="BE15" s="313"/>
      <c r="BF15" s="313"/>
      <c r="BG15" s="313"/>
      <c r="BH15" s="313"/>
      <c r="BI15" s="313"/>
      <c r="BJ15" s="313"/>
      <c r="BK15" s="313"/>
      <c r="BL15" s="313"/>
      <c r="BM15" s="313"/>
      <c r="BN15" s="313"/>
      <c r="BO15" s="313"/>
      <c r="BP15" s="313"/>
      <c r="BQ15" s="313"/>
      <c r="BR15" s="313"/>
      <c r="BS15" s="313"/>
      <c r="BT15" s="313"/>
      <c r="BU15" s="313"/>
      <c r="BV15" s="313"/>
      <c r="BW15" s="313"/>
      <c r="BX15" s="313"/>
      <c r="BY15" s="313"/>
      <c r="BZ15" s="313"/>
      <c r="CA15" s="313"/>
      <c r="CB15" s="313"/>
      <c r="CC15" s="313"/>
      <c r="CD15" s="313"/>
      <c r="CE15" s="313"/>
    </row>
    <row r="16" spans="1:83" outlineLevel="1">
      <c r="A16" s="1332" t="s">
        <v>143</v>
      </c>
      <c r="B16" s="296"/>
      <c r="C16" s="296">
        <f>-'Southwest Mesa'!F66-'Southwest Mesa'!F46</f>
        <v>2018</v>
      </c>
      <c r="D16" s="296">
        <f>-'Southwest Mesa'!G66-'Southwest Mesa'!G46</f>
        <v>2070</v>
      </c>
      <c r="E16" s="296">
        <f>-'Southwest Mesa'!H66-'Southwest Mesa'!H46</f>
        <v>2319</v>
      </c>
      <c r="F16" s="296">
        <f>-'Southwest Mesa'!I66-'Southwest Mesa'!I46</f>
        <v>2309</v>
      </c>
      <c r="G16" s="296">
        <f>-'Southwest Mesa'!J66-'Southwest Mesa'!J46</f>
        <v>2569</v>
      </c>
      <c r="H16" s="296">
        <f>-'Southwest Mesa'!K66-'Southwest Mesa'!K46</f>
        <v>2814</v>
      </c>
      <c r="I16" s="296">
        <f>-'Southwest Mesa'!L66-'Southwest Mesa'!L46</f>
        <v>3077</v>
      </c>
      <c r="J16" s="296">
        <f>-'Southwest Mesa'!M66-'Southwest Mesa'!M46</f>
        <v>3434.9999999999995</v>
      </c>
      <c r="K16" s="296">
        <f>-'Southwest Mesa'!N66-'Southwest Mesa'!N46</f>
        <v>2707</v>
      </c>
      <c r="L16" s="296">
        <f>-'Southwest Mesa'!O66-'Southwest Mesa'!O46</f>
        <v>2397</v>
      </c>
      <c r="M16" s="296">
        <f>-'Southwest Mesa'!P66-'Southwest Mesa'!P46</f>
        <v>2609</v>
      </c>
      <c r="N16" s="296">
        <f>-'Southwest Mesa'!Q66-'Southwest Mesa'!Q46</f>
        <v>2824</v>
      </c>
      <c r="O16" s="296">
        <f>-'Southwest Mesa'!R66-'Southwest Mesa'!R46</f>
        <v>3028</v>
      </c>
      <c r="P16" s="296">
        <f>-'Southwest Mesa'!S66-'Southwest Mesa'!S46</f>
        <v>3239</v>
      </c>
      <c r="Q16" s="296">
        <f>-'Southwest Mesa'!T66-'Southwest Mesa'!T46</f>
        <v>3466</v>
      </c>
      <c r="R16" s="296">
        <f>-'Southwest Mesa'!U66-'Southwest Mesa'!U46</f>
        <v>1233</v>
      </c>
      <c r="S16" s="296">
        <f>-'Southwest Mesa'!V66-'Southwest Mesa'!V46</f>
        <v>0</v>
      </c>
      <c r="T16" s="296">
        <f>-'Southwest Mesa'!W66-'Southwest Mesa'!W46</f>
        <v>0</v>
      </c>
      <c r="U16" s="296">
        <f>-'Southwest Mesa'!X66-'Southwest Mesa'!X46</f>
        <v>0</v>
      </c>
      <c r="V16" s="296">
        <f>-'Southwest Mesa'!Y66-'Southwest Mesa'!Y46</f>
        <v>0</v>
      </c>
      <c r="W16" s="27"/>
      <c r="X16" s="534"/>
      <c r="Y16" s="534"/>
      <c r="Z16" s="609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  <c r="BB16" s="313"/>
      <c r="BC16" s="313"/>
      <c r="BD16" s="313"/>
      <c r="BE16" s="313"/>
      <c r="BF16" s="313"/>
      <c r="BG16" s="313"/>
      <c r="BH16" s="313"/>
      <c r="BI16" s="313"/>
      <c r="BJ16" s="313"/>
      <c r="BK16" s="313"/>
      <c r="BL16" s="313"/>
      <c r="BM16" s="313"/>
      <c r="BN16" s="313"/>
      <c r="BO16" s="313"/>
      <c r="BP16" s="313"/>
      <c r="BQ16" s="313"/>
      <c r="BR16" s="313"/>
      <c r="BS16" s="313"/>
      <c r="BT16" s="313"/>
      <c r="BU16" s="313"/>
      <c r="BV16" s="313"/>
      <c r="BW16" s="313"/>
      <c r="BX16" s="313"/>
      <c r="BY16" s="313"/>
      <c r="BZ16" s="313"/>
      <c r="CA16" s="313"/>
      <c r="CB16" s="313"/>
      <c r="CC16" s="313"/>
      <c r="CD16" s="313"/>
      <c r="CE16" s="313"/>
    </row>
    <row r="17" spans="1:83" outlineLevel="1">
      <c r="A17" s="1332" t="s">
        <v>146</v>
      </c>
      <c r="B17" s="296"/>
      <c r="C17" s="296">
        <f>-Cameron!F66-Cameron!F46</f>
        <v>1771.4400815274416</v>
      </c>
      <c r="D17" s="296">
        <f>-Cameron!G66-Cameron!G46</f>
        <v>1771.7607326048742</v>
      </c>
      <c r="E17" s="296">
        <f>-Cameron!H66-Cameron!H46</f>
        <v>1953.493217776806</v>
      </c>
      <c r="F17" s="296">
        <f>-Cameron!I66-Cameron!I46</f>
        <v>2184.1840346476092</v>
      </c>
      <c r="G17" s="296">
        <f>-Cameron!J66-Cameron!J46</f>
        <v>2429.5115825202884</v>
      </c>
      <c r="H17" s="296">
        <f>-Cameron!K66-Cameron!K46</f>
        <v>2643.1405239786768</v>
      </c>
      <c r="I17" s="296">
        <f>-Cameron!L66-Cameron!L46</f>
        <v>2842.978150984949</v>
      </c>
      <c r="J17" s="296">
        <f>-Cameron!M66-Cameron!M46</f>
        <v>3030.4019875094059</v>
      </c>
      <c r="K17" s="296">
        <f>-Cameron!N66-Cameron!N46</f>
        <v>3262.5720816071075</v>
      </c>
      <c r="L17" s="296">
        <f>-Cameron!O66-Cameron!O46</f>
        <v>3503.1430392851685</v>
      </c>
      <c r="M17" s="296">
        <f>-Cameron!P66-Cameron!P46</f>
        <v>3793.6660394920436</v>
      </c>
      <c r="N17" s="296">
        <f>-Cameron!Q66-Cameron!Q46</f>
        <v>4197.7569333359424</v>
      </c>
      <c r="O17" s="296">
        <f>-Cameron!R66-Cameron!R46</f>
        <v>4581.3917859359099</v>
      </c>
      <c r="P17" s="296">
        <f>-Cameron!S66-Cameron!S46</f>
        <v>4587.7946708012769</v>
      </c>
      <c r="Q17" s="296">
        <f>-Cameron!T66-Cameron!T46</f>
        <v>5103.7651379924991</v>
      </c>
      <c r="R17" s="296">
        <f>-Cameron!U66-Cameron!U46</f>
        <v>0</v>
      </c>
      <c r="S17" s="296">
        <f>-Cameron!V66-Cameron!V46</f>
        <v>0</v>
      </c>
      <c r="T17" s="296">
        <f>-Cameron!W66-Cameron!W46</f>
        <v>0</v>
      </c>
      <c r="U17" s="296">
        <f>-Cameron!X66-Cameron!X46</f>
        <v>0</v>
      </c>
      <c r="V17" s="296">
        <f>-Cameron!Y66-Cameron!Y46</f>
        <v>0</v>
      </c>
      <c r="W17" s="27"/>
      <c r="X17" s="534"/>
      <c r="Y17" s="534"/>
      <c r="Z17" s="609"/>
      <c r="AA17" s="313"/>
      <c r="AB17" s="313"/>
      <c r="AC17" s="313"/>
      <c r="AD17" s="313"/>
      <c r="AE17" s="313"/>
      <c r="AF17" s="313"/>
      <c r="AG17" s="313"/>
      <c r="AH17" s="313"/>
      <c r="AI17" s="313"/>
      <c r="AJ17" s="313"/>
      <c r="AK17" s="313"/>
      <c r="AL17" s="313"/>
      <c r="AM17" s="313"/>
      <c r="AN17" s="313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  <c r="BB17" s="313"/>
      <c r="BC17" s="313"/>
      <c r="BD17" s="313"/>
      <c r="BE17" s="313"/>
      <c r="BF17" s="313"/>
      <c r="BG17" s="313"/>
      <c r="BH17" s="313"/>
      <c r="BI17" s="313"/>
      <c r="BJ17" s="313"/>
      <c r="BK17" s="313"/>
      <c r="BL17" s="313"/>
      <c r="BM17" s="313"/>
      <c r="BN17" s="313"/>
      <c r="BO17" s="313"/>
      <c r="BP17" s="313"/>
      <c r="BQ17" s="313"/>
      <c r="BR17" s="313"/>
      <c r="BS17" s="313"/>
      <c r="BT17" s="313"/>
      <c r="BU17" s="313"/>
      <c r="BV17" s="313"/>
      <c r="BW17" s="313"/>
      <c r="BX17" s="313"/>
      <c r="BY17" s="313"/>
      <c r="BZ17" s="313"/>
      <c r="CA17" s="313"/>
      <c r="CB17" s="313"/>
      <c r="CC17" s="313"/>
      <c r="CD17" s="313"/>
      <c r="CE17" s="313"/>
    </row>
    <row r="18" spans="1:83" outlineLevel="1">
      <c r="A18" s="1332" t="s">
        <v>162</v>
      </c>
      <c r="B18" s="296"/>
      <c r="C18" s="296">
        <f>-'Pacific Crest'!F66-'Pacific Crest'!F46</f>
        <v>1418.4333787407704</v>
      </c>
      <c r="D18" s="296">
        <f>-'Pacific Crest'!G66-'Pacific Crest'!G46</f>
        <v>1475.6396729027492</v>
      </c>
      <c r="E18" s="296">
        <f>-'Pacific Crest'!H66-'Pacific Crest'!H46</f>
        <v>1510.6365867342629</v>
      </c>
      <c r="F18" s="296">
        <f>-'Pacific Crest'!I66-'Pacific Crest'!I46</f>
        <v>1595.1561502040327</v>
      </c>
      <c r="G18" s="296">
        <f>-'Pacific Crest'!J66-'Pacific Crest'!J46</f>
        <v>2073.5312142083794</v>
      </c>
      <c r="H18" s="296">
        <f>-'Pacific Crest'!K66-'Pacific Crest'!K46</f>
        <v>2349.6676382090841</v>
      </c>
      <c r="I18" s="296">
        <f>-'Pacific Crest'!L66-'Pacific Crest'!L46</f>
        <v>2611.5983533490098</v>
      </c>
      <c r="J18" s="296">
        <f>-'Pacific Crest'!M66-'Pacific Crest'!M46</f>
        <v>2922.7085284491945</v>
      </c>
      <c r="K18" s="296">
        <f>-'Pacific Crest'!N66-'Pacific Crest'!N46</f>
        <v>3290.1939136460846</v>
      </c>
      <c r="L18" s="296">
        <f>-'Pacific Crest'!O66-'Pacific Crest'!O46</f>
        <v>3688.069792050379</v>
      </c>
      <c r="M18" s="296">
        <f>-'Pacific Crest'!P66-'Pacific Crest'!P46</f>
        <v>4090.440646575069</v>
      </c>
      <c r="N18" s="296">
        <f>-'Pacific Crest'!Q66-'Pacific Crest'!Q46</f>
        <v>4522.7577982736357</v>
      </c>
      <c r="O18" s="296">
        <f>-'Pacific Crest'!R66-'Pacific Crest'!R46</f>
        <v>4990.8453649067924</v>
      </c>
      <c r="P18" s="296">
        <f>-'Pacific Crest'!S66-'Pacific Crest'!S46</f>
        <v>2162.5461026665685</v>
      </c>
      <c r="Q18" s="296">
        <f>-'Pacific Crest'!T66-'Pacific Crest'!T46</f>
        <v>0</v>
      </c>
      <c r="R18" s="296">
        <f>-'Pacific Crest'!U66-'Pacific Crest'!U46</f>
        <v>0</v>
      </c>
      <c r="S18" s="296">
        <f>-'Pacific Crest'!V66-'Pacific Crest'!V46</f>
        <v>0</v>
      </c>
      <c r="T18" s="296">
        <f>-'Pacific Crest'!W66-'Pacific Crest'!W46</f>
        <v>0</v>
      </c>
      <c r="U18" s="296">
        <f>-'Pacific Crest'!X66-'Pacific Crest'!X46</f>
        <v>0</v>
      </c>
      <c r="V18" s="296">
        <f>-'Pacific Crest'!Y66-'Pacific Crest'!Y46</f>
        <v>0</v>
      </c>
      <c r="W18" s="27"/>
      <c r="X18" s="534"/>
      <c r="Y18" s="534"/>
      <c r="Z18" s="609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3"/>
      <c r="BI18" s="313"/>
      <c r="BJ18" s="313"/>
      <c r="BK18" s="313"/>
      <c r="BL18" s="313"/>
      <c r="BM18" s="313"/>
      <c r="BN18" s="313"/>
      <c r="BO18" s="313"/>
      <c r="BP18" s="313"/>
      <c r="BQ18" s="313"/>
      <c r="BR18" s="313"/>
      <c r="BS18" s="313"/>
      <c r="BT18" s="313"/>
      <c r="BU18" s="313"/>
      <c r="BV18" s="313"/>
      <c r="BW18" s="313"/>
      <c r="BX18" s="313"/>
      <c r="BY18" s="313"/>
      <c r="BZ18" s="313"/>
      <c r="CA18" s="313"/>
      <c r="CB18" s="313"/>
      <c r="CC18" s="313"/>
      <c r="CD18" s="313"/>
      <c r="CE18" s="313"/>
    </row>
    <row r="19" spans="1:83" outlineLevel="1">
      <c r="A19" s="1332" t="s">
        <v>163</v>
      </c>
      <c r="B19" s="296"/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97">
        <v>0</v>
      </c>
      <c r="I19" s="297">
        <v>0</v>
      </c>
      <c r="J19" s="297">
        <v>0</v>
      </c>
      <c r="K19" s="297">
        <v>0</v>
      </c>
      <c r="L19" s="297">
        <v>0</v>
      </c>
      <c r="M19" s="297">
        <v>0</v>
      </c>
      <c r="N19" s="297">
        <v>0</v>
      </c>
      <c r="O19" s="297">
        <v>0</v>
      </c>
      <c r="P19" s="297">
        <v>0</v>
      </c>
      <c r="Q19" s="297">
        <v>0</v>
      </c>
      <c r="R19" s="297">
        <v>0</v>
      </c>
      <c r="S19" s="297">
        <v>0</v>
      </c>
      <c r="T19" s="297">
        <v>0</v>
      </c>
      <c r="U19" s="297">
        <v>0</v>
      </c>
      <c r="V19" s="297">
        <v>0</v>
      </c>
      <c r="W19" s="27"/>
      <c r="X19" s="534"/>
      <c r="Y19" s="534"/>
      <c r="Z19" s="609"/>
      <c r="AA19" s="313"/>
      <c r="AB19" s="313"/>
      <c r="AC19" s="313"/>
      <c r="AD19" s="313"/>
      <c r="AE19" s="313"/>
      <c r="AF19" s="313"/>
      <c r="AG19" s="313"/>
      <c r="AH19" s="313"/>
      <c r="AI19" s="313"/>
      <c r="AJ19" s="313"/>
      <c r="AK19" s="313"/>
      <c r="AL19" s="313"/>
      <c r="AM19" s="313"/>
      <c r="AN19" s="313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3"/>
      <c r="BI19" s="313"/>
      <c r="BJ19" s="313"/>
      <c r="BK19" s="313"/>
      <c r="BL19" s="313"/>
      <c r="BM19" s="313"/>
      <c r="BN19" s="313"/>
      <c r="BO19" s="313"/>
      <c r="BP19" s="313"/>
      <c r="BQ19" s="313"/>
      <c r="BR19" s="313"/>
      <c r="BS19" s="313"/>
      <c r="BT19" s="313"/>
      <c r="BU19" s="313"/>
      <c r="BV19" s="313"/>
      <c r="BW19" s="313"/>
      <c r="BX19" s="313"/>
      <c r="BY19" s="313"/>
      <c r="BZ19" s="313"/>
      <c r="CA19" s="313"/>
      <c r="CB19" s="313"/>
      <c r="CC19" s="313"/>
      <c r="CD19" s="313"/>
      <c r="CE19" s="313"/>
    </row>
    <row r="20" spans="1:83">
      <c r="A20" s="4" t="s">
        <v>757</v>
      </c>
      <c r="B20" s="296"/>
      <c r="C20" s="296">
        <f>SUM(C14:C19)</f>
        <v>8062.5668474668546</v>
      </c>
      <c r="D20" s="296">
        <f t="shared" ref="D20:V20" si="1">SUM(D14:D19)</f>
        <v>8457.56313142613</v>
      </c>
      <c r="E20" s="296">
        <f t="shared" si="1"/>
        <v>9237.3088030214276</v>
      </c>
      <c r="F20" s="296">
        <f t="shared" si="1"/>
        <v>9887.9370832130353</v>
      </c>
      <c r="G20" s="296">
        <f t="shared" si="1"/>
        <v>11251.599384926201</v>
      </c>
      <c r="H20" s="296">
        <f t="shared" si="1"/>
        <v>12404.320409205047</v>
      </c>
      <c r="I20" s="296">
        <f t="shared" si="1"/>
        <v>13588.839976052976</v>
      </c>
      <c r="J20" s="296">
        <f t="shared" si="1"/>
        <v>14951.100334849516</v>
      </c>
      <c r="K20" s="296">
        <f t="shared" si="1"/>
        <v>15379.054796033201</v>
      </c>
      <c r="L20" s="296">
        <f t="shared" si="1"/>
        <v>16319.430512193556</v>
      </c>
      <c r="M20" s="296">
        <f t="shared" si="1"/>
        <v>17897.44613501092</v>
      </c>
      <c r="N20" s="296">
        <f t="shared" si="1"/>
        <v>19689.288125447863</v>
      </c>
      <c r="O20" s="296">
        <f t="shared" si="1"/>
        <v>12600.237150842702</v>
      </c>
      <c r="P20" s="296">
        <f t="shared" si="1"/>
        <v>9989.3407734678458</v>
      </c>
      <c r="Q20" s="296">
        <f t="shared" si="1"/>
        <v>8569.7651379924991</v>
      </c>
      <c r="R20" s="296">
        <f t="shared" si="1"/>
        <v>1233</v>
      </c>
      <c r="S20" s="296">
        <f t="shared" si="1"/>
        <v>0</v>
      </c>
      <c r="T20" s="296">
        <f t="shared" si="1"/>
        <v>0</v>
      </c>
      <c r="U20" s="296">
        <f t="shared" si="1"/>
        <v>0</v>
      </c>
      <c r="V20" s="296">
        <f t="shared" si="1"/>
        <v>0</v>
      </c>
      <c r="W20" s="27"/>
      <c r="X20" s="534">
        <f>SUM(C20:V20)</f>
        <v>189518.79860114979</v>
      </c>
      <c r="Y20" s="534"/>
      <c r="Z20" s="609"/>
      <c r="AA20" s="313"/>
      <c r="AB20" s="313"/>
      <c r="AC20" s="313"/>
      <c r="AD20" s="313"/>
      <c r="AE20" s="313"/>
      <c r="AF20" s="313"/>
      <c r="AG20" s="313"/>
      <c r="AH20" s="313"/>
      <c r="AI20" s="313"/>
      <c r="AJ20" s="313"/>
      <c r="AK20" s="313"/>
      <c r="AL20" s="313"/>
      <c r="AM20" s="313"/>
      <c r="AN20" s="313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3"/>
      <c r="BI20" s="313"/>
      <c r="BJ20" s="313"/>
      <c r="BK20" s="313"/>
      <c r="BL20" s="313"/>
      <c r="BM20" s="313"/>
      <c r="BN20" s="313"/>
      <c r="BO20" s="313"/>
      <c r="BP20" s="313"/>
      <c r="BQ20" s="313"/>
      <c r="BR20" s="313"/>
      <c r="BS20" s="313"/>
      <c r="BT20" s="313"/>
      <c r="BU20" s="313"/>
      <c r="BV20" s="313"/>
      <c r="BW20" s="313"/>
      <c r="BX20" s="313"/>
      <c r="BY20" s="313"/>
      <c r="BZ20" s="313"/>
      <c r="CA20" s="313"/>
      <c r="CB20" s="313"/>
      <c r="CC20" s="313"/>
      <c r="CD20" s="313"/>
      <c r="CE20" s="313"/>
    </row>
    <row r="21" spans="1:83">
      <c r="A21" s="14"/>
      <c r="B21" s="296"/>
      <c r="C21" s="315"/>
      <c r="D21" s="315"/>
      <c r="E21" s="315"/>
      <c r="F21" s="315"/>
      <c r="G21" s="315"/>
      <c r="H21" s="315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27"/>
      <c r="X21" s="534"/>
      <c r="Y21" s="534"/>
      <c r="Z21" s="535"/>
      <c r="AA21" s="313"/>
      <c r="AB21" s="313"/>
      <c r="AC21" s="313"/>
      <c r="AD21" s="313"/>
      <c r="AE21" s="313"/>
      <c r="AF21" s="313"/>
      <c r="AG21" s="313"/>
      <c r="AH21" s="313"/>
      <c r="AI21" s="313"/>
      <c r="AJ21" s="313"/>
      <c r="AK21" s="313"/>
      <c r="AL21" s="313"/>
      <c r="AM21" s="313"/>
      <c r="AN21" s="313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  <c r="BB21" s="313"/>
      <c r="BC21" s="313"/>
      <c r="BD21" s="313"/>
      <c r="BE21" s="313"/>
      <c r="BF21" s="313"/>
      <c r="BG21" s="313"/>
      <c r="BH21" s="313"/>
      <c r="BI21" s="313"/>
      <c r="BJ21" s="313"/>
      <c r="BK21" s="313"/>
      <c r="BL21" s="313"/>
      <c r="BM21" s="313"/>
      <c r="BN21" s="313"/>
      <c r="BO21" s="313"/>
      <c r="BP21" s="313"/>
      <c r="BQ21" s="313"/>
      <c r="BR21" s="313"/>
      <c r="BS21" s="313"/>
      <c r="BT21" s="313"/>
      <c r="BU21" s="313"/>
      <c r="BV21" s="313"/>
      <c r="BW21" s="313"/>
      <c r="BX21" s="313"/>
      <c r="BY21" s="313"/>
      <c r="BZ21" s="313"/>
      <c r="CA21" s="313"/>
      <c r="CB21" s="313"/>
      <c r="CC21" s="313"/>
      <c r="CD21" s="313"/>
      <c r="CE21" s="313"/>
    </row>
    <row r="22" spans="1:83" outlineLevel="1">
      <c r="B22" s="285" t="s">
        <v>205</v>
      </c>
      <c r="C22" s="296"/>
      <c r="D22" s="296"/>
      <c r="E22" s="296"/>
      <c r="F22" s="296"/>
      <c r="G22" s="296"/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4"/>
      <c r="X22" s="613"/>
      <c r="Y22" s="533"/>
      <c r="Z22" s="53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  <c r="BB22" s="313"/>
      <c r="BC22" s="313"/>
      <c r="BD22" s="313"/>
      <c r="BE22" s="313"/>
      <c r="BF22" s="313"/>
      <c r="BG22" s="313"/>
      <c r="BH22" s="313"/>
      <c r="BI22" s="313"/>
      <c r="BJ22" s="313"/>
      <c r="BK22" s="313"/>
      <c r="BL22" s="313"/>
      <c r="BM22" s="313"/>
      <c r="BN22" s="313"/>
      <c r="BO22" s="313"/>
      <c r="BP22" s="313"/>
      <c r="BQ22" s="313"/>
      <c r="BR22" s="313"/>
      <c r="BS22" s="313"/>
      <c r="BT22" s="313"/>
      <c r="BU22" s="313"/>
      <c r="BV22" s="313"/>
      <c r="BW22" s="313"/>
      <c r="BX22" s="313"/>
      <c r="BY22" s="313"/>
      <c r="BZ22" s="313"/>
      <c r="CA22" s="313"/>
      <c r="CB22" s="313"/>
      <c r="CC22" s="313"/>
      <c r="CD22" s="313"/>
      <c r="CE22" s="313"/>
    </row>
    <row r="23" spans="1:83" outlineLevel="1">
      <c r="A23" s="331" t="s">
        <v>206</v>
      </c>
      <c r="B23" s="286">
        <v>1</v>
      </c>
      <c r="C23" s="334">
        <f>$B$23*'Maine Hydro'!F66</f>
        <v>0</v>
      </c>
      <c r="D23" s="334">
        <f>$B$23*'Maine Hydro'!G66</f>
        <v>0</v>
      </c>
      <c r="E23" s="334">
        <f>$B$23*'Maine Hydro'!H66</f>
        <v>0</v>
      </c>
      <c r="F23" s="334">
        <f>$B$23*'Maine Hydro'!I66</f>
        <v>0</v>
      </c>
      <c r="G23" s="334">
        <f>$B$23*'Maine Hydro'!J66</f>
        <v>0</v>
      </c>
      <c r="H23" s="334">
        <f>$B$23*'Maine Hydro'!K66</f>
        <v>0</v>
      </c>
      <c r="I23" s="334">
        <f>$B$23*'Maine Hydro'!L66</f>
        <v>0</v>
      </c>
      <c r="J23" s="334">
        <f>$B$23*'Maine Hydro'!M66</f>
        <v>0</v>
      </c>
      <c r="K23" s="334">
        <f>$B$23*'Maine Hydro'!N66</f>
        <v>0</v>
      </c>
      <c r="L23" s="334">
        <f>$B$23*'Maine Hydro'!O66</f>
        <v>0</v>
      </c>
      <c r="M23" s="334">
        <f>$B$23*'Maine Hydro'!P66</f>
        <v>0</v>
      </c>
      <c r="N23" s="334">
        <f>$B$23*'Maine Hydro'!Q66</f>
        <v>0</v>
      </c>
      <c r="O23" s="334">
        <f>$B$23*'Maine Hydro'!R66</f>
        <v>0</v>
      </c>
      <c r="P23" s="334">
        <f>$B$23*'Maine Hydro'!S66</f>
        <v>0</v>
      </c>
      <c r="Q23" s="334">
        <f>$B$23*'Maine Hydro'!T66</f>
        <v>0</v>
      </c>
      <c r="R23" s="334">
        <f>$B$23*'Maine Hydro'!U66</f>
        <v>0</v>
      </c>
      <c r="S23" s="334">
        <f>$B$23*'Maine Hydro'!V66</f>
        <v>0</v>
      </c>
      <c r="T23" s="334">
        <f>$B$23*'Maine Hydro'!W66</f>
        <v>0</v>
      </c>
      <c r="U23" s="334">
        <f>$B$23*'Maine Hydro'!X66</f>
        <v>0</v>
      </c>
      <c r="V23" s="334">
        <f>$B$23*'Maine Hydro'!Y66</f>
        <v>0</v>
      </c>
      <c r="W23" s="35"/>
      <c r="X23" s="614">
        <f t="shared" ref="X23:X34" si="2">SUM(C23:V23)</f>
        <v>0</v>
      </c>
      <c r="Y23" s="525"/>
      <c r="Z23" s="527"/>
      <c r="AA23" s="284"/>
    </row>
    <row r="24" spans="1:83" outlineLevel="1">
      <c r="A24" s="331" t="s">
        <v>207</v>
      </c>
      <c r="B24" s="286">
        <v>1</v>
      </c>
      <c r="C24" s="334">
        <f>$B$24*'Maine Thermal'!F66</f>
        <v>0</v>
      </c>
      <c r="D24" s="334">
        <f>$B$24*'Maine Thermal'!G66</f>
        <v>0</v>
      </c>
      <c r="E24" s="334">
        <f>$B$24*'Maine Thermal'!H66</f>
        <v>0</v>
      </c>
      <c r="F24" s="334">
        <f>$B$24*'Maine Thermal'!I66</f>
        <v>0</v>
      </c>
      <c r="G24" s="334">
        <f>$B$24*'Maine Thermal'!J66</f>
        <v>0</v>
      </c>
      <c r="H24" s="334">
        <f>$B$24*'Maine Thermal'!K66</f>
        <v>0</v>
      </c>
      <c r="I24" s="334">
        <f>$B$24*'Maine Thermal'!L66</f>
        <v>0</v>
      </c>
      <c r="J24" s="334">
        <f>$B$24*'Maine Thermal'!M66</f>
        <v>0</v>
      </c>
      <c r="K24" s="334">
        <f>$B$24*'Maine Thermal'!N66</f>
        <v>0</v>
      </c>
      <c r="L24" s="334">
        <f>$B$24*'Maine Thermal'!O66</f>
        <v>0</v>
      </c>
      <c r="M24" s="334">
        <f>$B$24*'Maine Thermal'!P66</f>
        <v>0</v>
      </c>
      <c r="N24" s="334">
        <f>$B$24*'Maine Thermal'!Q66</f>
        <v>0</v>
      </c>
      <c r="O24" s="334">
        <f>$B$24*'Maine Thermal'!R66</f>
        <v>0</v>
      </c>
      <c r="P24" s="334">
        <f>$B$24*'Maine Thermal'!S66</f>
        <v>0</v>
      </c>
      <c r="Q24" s="334">
        <f>$B$24*'Maine Thermal'!T66</f>
        <v>0</v>
      </c>
      <c r="R24" s="334">
        <f>$B$24*'Maine Thermal'!U66</f>
        <v>0</v>
      </c>
      <c r="S24" s="334">
        <f>$B$24*'Maine Thermal'!V66</f>
        <v>0</v>
      </c>
      <c r="T24" s="334">
        <f>$B$24*'Maine Thermal'!W66</f>
        <v>0</v>
      </c>
      <c r="U24" s="334">
        <f>$B$24*'Maine Thermal'!X66</f>
        <v>0</v>
      </c>
      <c r="V24" s="334">
        <f>$B$24*'Maine Thermal'!Y66</f>
        <v>0</v>
      </c>
      <c r="W24" s="35"/>
      <c r="X24" s="614">
        <f t="shared" si="2"/>
        <v>0</v>
      </c>
      <c r="Y24" s="525"/>
      <c r="Z24" s="527"/>
      <c r="AA24" s="284"/>
    </row>
    <row r="25" spans="1:83" outlineLevel="1">
      <c r="A25" s="331" t="s">
        <v>97</v>
      </c>
      <c r="B25" s="286">
        <v>0.99</v>
      </c>
      <c r="C25" s="334">
        <f>$B$25*Lamar!F66</f>
        <v>0</v>
      </c>
      <c r="D25" s="334">
        <f>$B$25*Lamar!G66</f>
        <v>0</v>
      </c>
      <c r="E25" s="334">
        <f>$B$25*Lamar!H66</f>
        <v>0</v>
      </c>
      <c r="F25" s="334">
        <f>$B$25*Lamar!I66</f>
        <v>0</v>
      </c>
      <c r="G25" s="334">
        <f>$B$25*Lamar!J66</f>
        <v>0</v>
      </c>
      <c r="H25" s="334">
        <f>$B$25*Lamar!K66</f>
        <v>0</v>
      </c>
      <c r="I25" s="334">
        <f>$B$25*Lamar!L66</f>
        <v>0</v>
      </c>
      <c r="J25" s="334">
        <f>$B$25*Lamar!M66</f>
        <v>0</v>
      </c>
      <c r="K25" s="334">
        <f>$B$25*Lamar!N66</f>
        <v>0</v>
      </c>
      <c r="L25" s="334">
        <f>$B$25*Lamar!O66</f>
        <v>0</v>
      </c>
      <c r="M25" s="334">
        <f>$B$25*Lamar!P66</f>
        <v>0</v>
      </c>
      <c r="N25" s="334">
        <f>$B$25*Lamar!Q66</f>
        <v>0</v>
      </c>
      <c r="O25" s="334">
        <f>$B$25*Lamar!R66</f>
        <v>0</v>
      </c>
      <c r="P25" s="334">
        <f>$B$25*Lamar!S66</f>
        <v>0</v>
      </c>
      <c r="Q25" s="334">
        <f>$B$25*Lamar!T66</f>
        <v>0</v>
      </c>
      <c r="R25" s="334">
        <f>$B$25*Lamar!U66</f>
        <v>0</v>
      </c>
      <c r="S25" s="334">
        <f>$B$25*Lamar!V66</f>
        <v>0</v>
      </c>
      <c r="T25" s="334">
        <f>$B$25*Lamar!W66</f>
        <v>0</v>
      </c>
      <c r="U25" s="334">
        <f>$B$25*Lamar!X66</f>
        <v>0</v>
      </c>
      <c r="V25" s="334">
        <f>$B$25*Lamar!Y66</f>
        <v>0</v>
      </c>
      <c r="W25" s="35"/>
      <c r="X25" s="614">
        <f t="shared" si="2"/>
        <v>0</v>
      </c>
      <c r="Y25" s="525"/>
      <c r="Z25" s="527"/>
      <c r="AA25" s="284"/>
    </row>
    <row r="26" spans="1:83" outlineLevel="1">
      <c r="A26" s="331" t="s">
        <v>98</v>
      </c>
      <c r="B26" s="286">
        <v>1</v>
      </c>
      <c r="C26" s="334">
        <f>$B$26*'Marcus Hook 50'!F66</f>
        <v>0</v>
      </c>
      <c r="D26" s="334">
        <f>$B$26*'Marcus Hook 50'!G66</f>
        <v>0</v>
      </c>
      <c r="E26" s="334">
        <f>$B$26*'Marcus Hook 50'!H66</f>
        <v>0</v>
      </c>
      <c r="F26" s="334">
        <f>$B$26*'Marcus Hook 50'!I66</f>
        <v>0</v>
      </c>
      <c r="G26" s="334">
        <f>$B$26*'Marcus Hook 50'!J66</f>
        <v>0</v>
      </c>
      <c r="H26" s="334">
        <f>$B$26*'Marcus Hook 50'!K66</f>
        <v>0</v>
      </c>
      <c r="I26" s="334">
        <f>$B$26*'Marcus Hook 50'!L66</f>
        <v>0</v>
      </c>
      <c r="J26" s="334">
        <f>$B$26*'Marcus Hook 50'!M66</f>
        <v>0</v>
      </c>
      <c r="K26" s="334">
        <f>$B$26*'Marcus Hook 50'!N66</f>
        <v>0</v>
      </c>
      <c r="L26" s="334">
        <f>$B$26*'Marcus Hook 50'!O66</f>
        <v>0</v>
      </c>
      <c r="M26" s="334">
        <f>$B$26*'Marcus Hook 50'!P66</f>
        <v>0</v>
      </c>
      <c r="N26" s="334">
        <f>$B$26*'Marcus Hook 50'!Q66</f>
        <v>0</v>
      </c>
      <c r="O26" s="334">
        <f>$B$26*'Marcus Hook 50'!R66</f>
        <v>0</v>
      </c>
      <c r="P26" s="334">
        <f>$B$26*'Marcus Hook 50'!S66</f>
        <v>0</v>
      </c>
      <c r="Q26" s="334">
        <f>$B$26*'Marcus Hook 50'!T66</f>
        <v>0</v>
      </c>
      <c r="R26" s="334">
        <f>$B$26*'Marcus Hook 50'!U66</f>
        <v>0</v>
      </c>
      <c r="S26" s="334">
        <f>$B$26*'Marcus Hook 50'!V66</f>
        <v>0</v>
      </c>
      <c r="T26" s="334">
        <f>$B$26*'Marcus Hook 50'!W66</f>
        <v>0</v>
      </c>
      <c r="U26" s="334">
        <f>$B$26*'Marcus Hook 50'!X66</f>
        <v>0</v>
      </c>
      <c r="V26" s="334">
        <f>$B$26*'Marcus Hook 50'!Y66</f>
        <v>0</v>
      </c>
      <c r="W26" s="35"/>
      <c r="X26" s="614">
        <f t="shared" si="2"/>
        <v>0</v>
      </c>
      <c r="Y26" s="525"/>
      <c r="Z26" s="527"/>
      <c r="AA26" s="284"/>
    </row>
    <row r="27" spans="1:83" outlineLevel="1">
      <c r="A27" s="331" t="s">
        <v>100</v>
      </c>
      <c r="B27" s="286">
        <v>1</v>
      </c>
      <c r="C27" s="334">
        <f>$B$27*Doswell!F66</f>
        <v>0</v>
      </c>
      <c r="D27" s="334">
        <f>$B$27*Doswell!G66</f>
        <v>0</v>
      </c>
      <c r="E27" s="334">
        <f>$B$27*Doswell!H66</f>
        <v>0</v>
      </c>
      <c r="F27" s="334">
        <f>$B$27*Doswell!I66</f>
        <v>0</v>
      </c>
      <c r="G27" s="334">
        <f>$B$27*Doswell!J66</f>
        <v>0</v>
      </c>
      <c r="H27" s="334">
        <f>$B$27*Doswell!K66</f>
        <v>0</v>
      </c>
      <c r="I27" s="334">
        <f>$B$27*Doswell!L66</f>
        <v>0</v>
      </c>
      <c r="J27" s="334">
        <f>$B$27*Doswell!M66</f>
        <v>0</v>
      </c>
      <c r="K27" s="334">
        <f>$B$27*Doswell!N66</f>
        <v>0</v>
      </c>
      <c r="L27" s="334">
        <f>$B$27*Doswell!O66</f>
        <v>0</v>
      </c>
      <c r="M27" s="334">
        <f>$B$27*Doswell!P66</f>
        <v>0</v>
      </c>
      <c r="N27" s="334">
        <f>$B$27*Doswell!Q66</f>
        <v>0</v>
      </c>
      <c r="O27" s="334">
        <f>$B$27*Doswell!R66</f>
        <v>0</v>
      </c>
      <c r="P27" s="334">
        <f>$B$27*Doswell!S66</f>
        <v>0</v>
      </c>
      <c r="Q27" s="334">
        <f>$B$27*Doswell!T66</f>
        <v>0</v>
      </c>
      <c r="R27" s="334">
        <f>$B$27*Doswell!U66</f>
        <v>0</v>
      </c>
      <c r="S27" s="334">
        <f>$B$27*Doswell!V66</f>
        <v>0</v>
      </c>
      <c r="T27" s="334">
        <f>$B$27*Doswell!W66</f>
        <v>0</v>
      </c>
      <c r="U27" s="334">
        <f>$B$27*Doswell!X66</f>
        <v>0</v>
      </c>
      <c r="V27" s="334">
        <f>$B$27*Doswell!Y66</f>
        <v>0</v>
      </c>
      <c r="W27" s="35"/>
      <c r="X27" s="614">
        <f t="shared" si="2"/>
        <v>0</v>
      </c>
      <c r="Y27" s="525"/>
      <c r="Z27" s="527"/>
      <c r="AA27" s="284"/>
    </row>
    <row r="28" spans="1:83" outlineLevel="1">
      <c r="A28" s="331" t="s">
        <v>115</v>
      </c>
      <c r="B28" s="286">
        <v>1</v>
      </c>
      <c r="C28" s="334">
        <f>$B$28*Doswell!F66</f>
        <v>0</v>
      </c>
      <c r="D28" s="334">
        <f>$B$28*Doswell!G66</f>
        <v>0</v>
      </c>
      <c r="E28" s="334">
        <f>$B$28*Doswell!H66</f>
        <v>0</v>
      </c>
      <c r="F28" s="334">
        <f>$B$28*Doswell!I66</f>
        <v>0</v>
      </c>
      <c r="G28" s="334">
        <f>$B$28*Doswell!J66</f>
        <v>0</v>
      </c>
      <c r="H28" s="334">
        <f>$B$28*Doswell!K66</f>
        <v>0</v>
      </c>
      <c r="I28" s="334">
        <f>$B$28*Doswell!L66</f>
        <v>0</v>
      </c>
      <c r="J28" s="334">
        <f>$B$28*Doswell!M66</f>
        <v>0</v>
      </c>
      <c r="K28" s="334">
        <f>$B$28*Doswell!N66</f>
        <v>0</v>
      </c>
      <c r="L28" s="334">
        <f>$B$28*Doswell!O66</f>
        <v>0</v>
      </c>
      <c r="M28" s="334">
        <f>$B$28*Doswell!P66</f>
        <v>0</v>
      </c>
      <c r="N28" s="334">
        <f>$B$28*Doswell!Q66</f>
        <v>0</v>
      </c>
      <c r="O28" s="334">
        <f>$B$28*Doswell!R66</f>
        <v>0</v>
      </c>
      <c r="P28" s="334">
        <f>$B$28*Doswell!S66</f>
        <v>0</v>
      </c>
      <c r="Q28" s="334">
        <f>$B$28*Doswell!T66</f>
        <v>0</v>
      </c>
      <c r="R28" s="334">
        <f>$B$28*Doswell!U66</f>
        <v>0</v>
      </c>
      <c r="S28" s="334">
        <f>$B$28*Doswell!V66</f>
        <v>0</v>
      </c>
      <c r="T28" s="334">
        <f>$B$28*Doswell!W66</f>
        <v>0</v>
      </c>
      <c r="U28" s="334">
        <f>$B$28*Doswell!X66</f>
        <v>0</v>
      </c>
      <c r="V28" s="334">
        <f>$B$28*Doswell!Y66</f>
        <v>0</v>
      </c>
      <c r="W28" s="35"/>
      <c r="X28" s="614">
        <f t="shared" si="2"/>
        <v>0</v>
      </c>
      <c r="Y28" s="525"/>
      <c r="Z28" s="527"/>
      <c r="AA28" s="284"/>
    </row>
    <row r="29" spans="1:83" outlineLevel="1">
      <c r="A29" s="331" t="s">
        <v>101</v>
      </c>
      <c r="B29" s="287">
        <v>1</v>
      </c>
      <c r="C29" s="334">
        <f>'FPLE_Wind Annual Summary'!F220</f>
        <v>-15023.364944198722</v>
      </c>
      <c r="D29" s="334">
        <f>'FPLE_Wind Annual Summary'!G220</f>
        <v>-11717.821037378151</v>
      </c>
      <c r="E29" s="334">
        <f>'FPLE_Wind Annual Summary'!H220</f>
        <v>-11803.682237154811</v>
      </c>
      <c r="F29" s="334">
        <f>'FPLE_Wind Annual Summary'!I220</f>
        <v>-11694.618328276025</v>
      </c>
      <c r="G29" s="334">
        <f>'FPLE_Wind Annual Summary'!J220</f>
        <v>-12509.653516282293</v>
      </c>
      <c r="H29" s="334">
        <f>'FPLE_Wind Annual Summary'!K220</f>
        <v>-12736.410068652096</v>
      </c>
      <c r="I29" s="334">
        <f>'FPLE_Wind Annual Summary'!L220</f>
        <v>-12862.033652157646</v>
      </c>
      <c r="J29" s="334">
        <f>'FPLE_Wind Annual Summary'!M220</f>
        <v>-13053.555202903468</v>
      </c>
      <c r="K29" s="334">
        <f>'FPLE_Wind Annual Summary'!N220</f>
        <v>-12170.465940751514</v>
      </c>
      <c r="L29" s="334">
        <f>'FPLE_Wind Annual Summary'!O220</f>
        <v>-11754.816453552536</v>
      </c>
      <c r="M29" s="334">
        <f>'FPLE_Wind Annual Summary'!P220</f>
        <v>-11878.936060863834</v>
      </c>
      <c r="N29" s="334">
        <f>'FPLE_Wind Annual Summary'!Q220</f>
        <v>-12037.330621480542</v>
      </c>
      <c r="O29" s="334">
        <f>'FPLE_Wind Annual Summary'!R220</f>
        <v>-12138.051709042156</v>
      </c>
      <c r="P29" s="334">
        <f>'FPLE_Wind Annual Summary'!S220</f>
        <v>-10666.00222712868</v>
      </c>
      <c r="Q29" s="334">
        <f>'FPLE_Wind Annual Summary'!T220</f>
        <v>-9358.9964264357295</v>
      </c>
      <c r="R29" s="334">
        <f>'FPLE_Wind Annual Summary'!U220</f>
        <v>-4232.9567619638274</v>
      </c>
      <c r="S29" s="334">
        <f>'FPLE_Wind Annual Summary'!V220</f>
        <v>-2999.7688094744453</v>
      </c>
      <c r="T29" s="334">
        <f>'FPLE_Wind Annual Summary'!W220</f>
        <v>-3047.8999468153611</v>
      </c>
      <c r="U29" s="334">
        <f>'FPLE_Wind Annual Summary'!X220</f>
        <v>-3097.3787560018218</v>
      </c>
      <c r="V29" s="334">
        <f>'FPLE_Wind Annual Summary'!Y220</f>
        <v>-3148.2429718455041</v>
      </c>
      <c r="W29" s="35"/>
      <c r="X29" s="613">
        <f t="shared" si="2"/>
        <v>-197931.98567235921</v>
      </c>
      <c r="Y29" s="525"/>
      <c r="Z29" s="527"/>
      <c r="AA29" s="284"/>
    </row>
    <row r="30" spans="1:83" outlineLevel="1">
      <c r="A30" s="331" t="s">
        <v>208</v>
      </c>
      <c r="B30" s="286">
        <v>0.5</v>
      </c>
      <c r="C30" s="334">
        <f>$B$30*'Segs VIII'!F66</f>
        <v>-3428</v>
      </c>
      <c r="D30" s="334">
        <f>$B$30*'Segs VIII'!G66</f>
        <v>-3358</v>
      </c>
      <c r="E30" s="334">
        <f>$B$30*'Segs VIII'!H66</f>
        <v>-3419.5</v>
      </c>
      <c r="F30" s="334">
        <f>$B$30*'Segs VIII'!I66</f>
        <v>-3456.5</v>
      </c>
      <c r="G30" s="334">
        <f>$B$30*'Segs VIII'!J66</f>
        <v>-3227.5</v>
      </c>
      <c r="H30" s="334">
        <f>$B$30*'Segs VIII'!K66</f>
        <v>-3441</v>
      </c>
      <c r="I30" s="334">
        <f>$B$30*'Segs VIII'!L66</f>
        <v>-3503</v>
      </c>
      <c r="J30" s="334">
        <f>$B$30*'Segs VIII'!M66</f>
        <v>-3441.5</v>
      </c>
      <c r="K30" s="334">
        <f>$B$30*'Segs VIII'!N66</f>
        <v>-3427.5</v>
      </c>
      <c r="L30" s="334">
        <f>$B$30*'Segs VIII'!O66</f>
        <v>-3428</v>
      </c>
      <c r="M30" s="334">
        <f>$B$30*'Segs VIII'!P66</f>
        <v>-3418</v>
      </c>
      <c r="N30" s="334">
        <f>$B$30*'Segs VIII'!Q66</f>
        <v>-3203.5</v>
      </c>
      <c r="O30" s="334">
        <f>$B$30*'Segs VIII'!R66</f>
        <v>-3414.5</v>
      </c>
      <c r="P30" s="334">
        <f>$B$30*'Segs VIII'!S66</f>
        <v>-3398</v>
      </c>
      <c r="Q30" s="334">
        <f>$B$30*'Segs VIII'!T66</f>
        <v>-3395</v>
      </c>
      <c r="R30" s="334">
        <f>$B$30*'Segs VIII'!U66</f>
        <v>-3404.5</v>
      </c>
      <c r="S30" s="334">
        <f>$B$30*'Segs VIII'!V66</f>
        <v>-3416.5</v>
      </c>
      <c r="T30" s="334">
        <f>$B$30*'Segs VIII'!W66</f>
        <v>-3427.5</v>
      </c>
      <c r="U30" s="334">
        <f>$B$30*'Segs VIII'!X66</f>
        <v>0</v>
      </c>
      <c r="V30" s="334">
        <f>$B$30*'Segs VIII'!Y66</f>
        <v>0</v>
      </c>
      <c r="W30" s="35"/>
      <c r="X30" s="534">
        <f t="shared" si="2"/>
        <v>-61208</v>
      </c>
      <c r="Y30" s="525"/>
      <c r="Z30" s="527"/>
      <c r="AA30" s="284"/>
    </row>
    <row r="31" spans="1:83" outlineLevel="1">
      <c r="A31" s="331" t="s">
        <v>209</v>
      </c>
      <c r="B31" s="286">
        <v>0.5</v>
      </c>
      <c r="C31" s="334">
        <f>$B$31*('Segs IX'!F66+'Segs IX'!F67)</f>
        <v>-3921</v>
      </c>
      <c r="D31" s="334">
        <f>$B$31*('Segs IX'!G66+'Segs IX'!G67)</f>
        <v>-3840.5</v>
      </c>
      <c r="E31" s="334">
        <f>$B$31*('Segs IX'!H66+'Segs IX'!H67)</f>
        <v>-3908</v>
      </c>
      <c r="F31" s="334">
        <f>$B$31*('Segs IX'!I66+'Segs IX'!I67)</f>
        <v>-3948</v>
      </c>
      <c r="G31" s="334">
        <f>$B$31*('Segs IX'!J66+'Segs IX'!J67)</f>
        <v>-3688</v>
      </c>
      <c r="H31" s="334">
        <f>$B$31*('Segs IX'!K66+'Segs IX'!K67)</f>
        <v>-3927</v>
      </c>
      <c r="I31" s="334">
        <f>$B$31*('Segs IX'!L66+'Segs IX'!L67)</f>
        <v>-3995</v>
      </c>
      <c r="J31" s="334">
        <f>$B$31*('Segs IX'!M66+'Segs IX'!M67)</f>
        <v>-3922.5</v>
      </c>
      <c r="K31" s="334">
        <f>$B$31*('Segs IX'!N66+'Segs IX'!N67)</f>
        <v>-3904.5</v>
      </c>
      <c r="L31" s="334">
        <f>$B$31*('Segs IX'!O66+'Segs IX'!O67)</f>
        <v>-3902</v>
      </c>
      <c r="M31" s="334">
        <f>$B$31*('Segs IX'!P66+'Segs IX'!P67)</f>
        <v>-3887.5</v>
      </c>
      <c r="N31" s="334">
        <f>$B$31*('Segs IX'!Q66+'Segs IX'!Q67)</f>
        <v>-3642</v>
      </c>
      <c r="O31" s="334">
        <f>$B$31*('Segs IX'!R66+'Segs IX'!R67)</f>
        <v>-3877</v>
      </c>
      <c r="P31" s="334">
        <f>$B$31*('Segs IX'!S66+'Segs IX'!S67)</f>
        <v>-3855</v>
      </c>
      <c r="Q31" s="334">
        <f>$B$31*('Segs IX'!T66+'Segs IX'!T67)</f>
        <v>-3847.5</v>
      </c>
      <c r="R31" s="334">
        <f>$B$31*('Segs IX'!U66+'Segs IX'!U67)</f>
        <v>-3854</v>
      </c>
      <c r="S31" s="334">
        <f>$B$31*('Segs IX'!V66+'Segs IX'!V67)</f>
        <v>-3863</v>
      </c>
      <c r="T31" s="334">
        <f>$B$31*('Segs IX'!W66+'Segs IX'!W67)</f>
        <v>-3870.5</v>
      </c>
      <c r="U31" s="334">
        <f>$B$31*('Segs IX'!X66+'Segs IX'!X67)</f>
        <v>0</v>
      </c>
      <c r="V31" s="334">
        <f>$B$31*('Segs IX'!Y66+'Segs IX'!Y67)</f>
        <v>0</v>
      </c>
      <c r="W31" s="35"/>
      <c r="X31" s="534">
        <f t="shared" si="2"/>
        <v>-69653</v>
      </c>
      <c r="Y31" s="525"/>
      <c r="Z31" s="527"/>
      <c r="AA31" s="284"/>
    </row>
    <row r="32" spans="1:83" s="281" customFormat="1" outlineLevel="1">
      <c r="A32" s="331" t="s">
        <v>210</v>
      </c>
      <c r="B32" s="286">
        <v>0.5</v>
      </c>
      <c r="C32" s="335">
        <f>$B$32*'NELP - Bellingham &amp; Sayreville'!F66</f>
        <v>-38519.011800000007</v>
      </c>
      <c r="D32" s="335">
        <f>$B$32*'NELP - Bellingham &amp; Sayreville'!G66</f>
        <v>-43142.916899999997</v>
      </c>
      <c r="E32" s="335">
        <f>$B$32*'NELP - Bellingham &amp; Sayreville'!H66</f>
        <v>-42290.351500000019</v>
      </c>
      <c r="F32" s="335">
        <f>$B$32*'NELP - Bellingham &amp; Sayreville'!I66</f>
        <v>-43201.872699999993</v>
      </c>
      <c r="G32" s="335">
        <f>$B$32*'NELP - Bellingham &amp; Sayreville'!J66</f>
        <v>-49696.630487499999</v>
      </c>
      <c r="H32" s="335">
        <f>$B$32*'NELP - Bellingham &amp; Sayreville'!K66</f>
        <v>-52948.956887499997</v>
      </c>
      <c r="I32" s="335">
        <f>$B$32*'NELP - Bellingham &amp; Sayreville'!L66</f>
        <v>-54955.602587499998</v>
      </c>
      <c r="J32" s="335">
        <f>$B$32*'NELP - Bellingham &amp; Sayreville'!M66</f>
        <v>-50445.0261875</v>
      </c>
      <c r="K32" s="335">
        <f>$B$32*'NELP - Bellingham &amp; Sayreville'!N66</f>
        <v>-50565.360787499994</v>
      </c>
      <c r="L32" s="335">
        <f>$B$32*'NELP - Bellingham &amp; Sayreville'!O66</f>
        <v>-56329.248987500003</v>
      </c>
      <c r="M32" s="335">
        <f>$B$32*'NELP - Bellingham &amp; Sayreville'!P66</f>
        <v>-34977.525000000001</v>
      </c>
      <c r="N32" s="335">
        <f>$B$32*'NELP - Bellingham &amp; Sayreville'!Q66</f>
        <v>0</v>
      </c>
      <c r="O32" s="335">
        <f>$B$32*'NELP - Bellingham &amp; Sayreville'!R66</f>
        <v>0</v>
      </c>
      <c r="P32" s="335">
        <f>$B$32*'NELP - Bellingham &amp; Sayreville'!S66</f>
        <v>0</v>
      </c>
      <c r="Q32" s="335">
        <f>$B$32*'NELP - Bellingham &amp; Sayreville'!T66</f>
        <v>0</v>
      </c>
      <c r="R32" s="335">
        <f>$B$32*'NELP - Bellingham &amp; Sayreville'!U66</f>
        <v>0</v>
      </c>
      <c r="S32" s="335">
        <f>$B$32*'NELP - Bellingham &amp; Sayreville'!V66</f>
        <v>0</v>
      </c>
      <c r="T32" s="335">
        <f>$B$32*'NELP - Bellingham &amp; Sayreville'!W66</f>
        <v>0</v>
      </c>
      <c r="U32" s="335">
        <f>$B$32*'NELP - Bellingham &amp; Sayreville'!X66</f>
        <v>0</v>
      </c>
      <c r="V32" s="335">
        <f>$B$32*'NELP - Bellingham &amp; Sayreville'!Y66</f>
        <v>0</v>
      </c>
      <c r="W32" s="516"/>
      <c r="X32" s="534">
        <f t="shared" si="2"/>
        <v>-517072.50382500002</v>
      </c>
      <c r="Y32" s="545"/>
      <c r="Z32" s="546"/>
      <c r="AA32" s="280"/>
    </row>
    <row r="33" spans="1:83" s="281" customFormat="1" outlineLevel="1">
      <c r="A33" s="331" t="s">
        <v>104</v>
      </c>
      <c r="B33" s="286">
        <v>0.5</v>
      </c>
      <c r="C33" s="515">
        <f>$B$33*Cherokee!F66</f>
        <v>-3552</v>
      </c>
      <c r="D33" s="515">
        <f>$B$33*Cherokee!G66</f>
        <v>-3998.5</v>
      </c>
      <c r="E33" s="515">
        <f>$B$33*Cherokee!H66</f>
        <v>-3913</v>
      </c>
      <c r="F33" s="515">
        <f>$B$33*Cherokee!I66</f>
        <v>-3590.5</v>
      </c>
      <c r="G33" s="515">
        <f>$B$33*Cherokee!J66</f>
        <v>-4741.5</v>
      </c>
      <c r="H33" s="515">
        <f>$B$33*Cherokee!K66</f>
        <v>-5548.5</v>
      </c>
      <c r="I33" s="515">
        <f>$B$33*Cherokee!L66</f>
        <v>-5781</v>
      </c>
      <c r="J33" s="515">
        <f>$B$33*Cherokee!M66</f>
        <v>-6220.5</v>
      </c>
      <c r="K33" s="515">
        <f>$B$33*Cherokee!N66</f>
        <v>-6584.5</v>
      </c>
      <c r="L33" s="515">
        <f>$B$33*Cherokee!O66</f>
        <v>-5667</v>
      </c>
      <c r="M33" s="515">
        <f>$B$33*Cherokee!P66</f>
        <v>-6504.5</v>
      </c>
      <c r="N33" s="515">
        <f>$B$33*Cherokee!Q66</f>
        <v>-4790</v>
      </c>
      <c r="O33" s="515">
        <f>$B$33*Cherokee!R66</f>
        <v>0</v>
      </c>
      <c r="P33" s="515">
        <f>$B$33*Cherokee!S66</f>
        <v>0</v>
      </c>
      <c r="Q33" s="515">
        <f>$B$33*Cherokee!T66</f>
        <v>0</v>
      </c>
      <c r="R33" s="515">
        <f>$B$33*Cherokee!U66</f>
        <v>0</v>
      </c>
      <c r="S33" s="515">
        <f>$B$33*Cherokee!V66</f>
        <v>0</v>
      </c>
      <c r="T33" s="515">
        <f>$B$33*Cherokee!W66</f>
        <v>0</v>
      </c>
      <c r="U33" s="515">
        <f>$B$33*Cherokee!X66</f>
        <v>0</v>
      </c>
      <c r="V33" s="515">
        <f>$B$33*Cherokee!Y66</f>
        <v>0</v>
      </c>
      <c r="W33" s="516"/>
      <c r="X33" s="534">
        <f t="shared" si="2"/>
        <v>-60891.5</v>
      </c>
      <c r="Y33" s="545"/>
      <c r="Z33" s="546"/>
      <c r="AA33" s="280"/>
    </row>
    <row r="34" spans="1:83">
      <c r="A34" s="4" t="s">
        <v>233</v>
      </c>
      <c r="B34" s="24"/>
      <c r="C34" s="334">
        <f t="shared" ref="C34:V34" si="3">SUM(C23:C33)</f>
        <v>-64443.376744198729</v>
      </c>
      <c r="D34" s="334">
        <f t="shared" si="3"/>
        <v>-66057.737937378144</v>
      </c>
      <c r="E34" s="334">
        <f t="shared" si="3"/>
        <v>-65334.53373715483</v>
      </c>
      <c r="F34" s="334">
        <f t="shared" si="3"/>
        <v>-65891.49102827601</v>
      </c>
      <c r="G34" s="334">
        <f t="shared" si="3"/>
        <v>-73863.28400378229</v>
      </c>
      <c r="H34" s="334">
        <f t="shared" si="3"/>
        <v>-78601.866956152095</v>
      </c>
      <c r="I34" s="334">
        <f t="shared" si="3"/>
        <v>-81096.636239657644</v>
      </c>
      <c r="J34" s="334">
        <f t="shared" si="3"/>
        <v>-77083.081390403473</v>
      </c>
      <c r="K34" s="334">
        <f t="shared" si="3"/>
        <v>-76652.326728251501</v>
      </c>
      <c r="L34" s="334">
        <f t="shared" si="3"/>
        <v>-81081.065441052546</v>
      </c>
      <c r="M34" s="334">
        <f t="shared" si="3"/>
        <v>-60666.461060863832</v>
      </c>
      <c r="N34" s="334">
        <f t="shared" si="3"/>
        <v>-23672.830621480542</v>
      </c>
      <c r="O34" s="334">
        <f t="shared" si="3"/>
        <v>-19429.551709042156</v>
      </c>
      <c r="P34" s="334">
        <f t="shared" si="3"/>
        <v>-17919.00222712868</v>
      </c>
      <c r="Q34" s="334">
        <f t="shared" si="3"/>
        <v>-16601.49642643573</v>
      </c>
      <c r="R34" s="334">
        <f t="shared" si="3"/>
        <v>-11491.456761963827</v>
      </c>
      <c r="S34" s="334">
        <f t="shared" si="3"/>
        <v>-10279.268809474444</v>
      </c>
      <c r="T34" s="334">
        <f t="shared" si="3"/>
        <v>-10345.899946815362</v>
      </c>
      <c r="U34" s="334">
        <f t="shared" si="3"/>
        <v>-3097.3787560018218</v>
      </c>
      <c r="V34" s="334">
        <f t="shared" si="3"/>
        <v>-3148.2429718455041</v>
      </c>
      <c r="W34" s="35"/>
      <c r="X34" s="534">
        <f t="shared" si="2"/>
        <v>-906756.98949735926</v>
      </c>
      <c r="Y34" s="534">
        <f>SUM('Maine Hydro'!AB66,'Maine Thermal'!AB66,Lamar!AB66,'Marcus Hook 50'!AB66,Doswell!AB66,'Doswell CT'!AB66,'Segs VIII'!AB66,'Segs IX'!AB66,'NELP - Bellingham &amp; Sayreville'!AB66,Cherokee!AB66,'Cerro Gordo'!AB66,'Southwest Mesa'!AB66,Vansycle!AB66,Cameron!AB66,'Pacific Crest'!AB66,'Sky River'!AB66,Ridgetop!AB66,'Green Ridge'!AB66,'Mojave 16-18'!AB66,Morwind!AB66,VG!AB66,'WPP 92'!AB66,'WPP 91-2'!AB66,'WPP 89'!AB66,'WPP 91'!AB66,'WPP 90'!AB66)+'Segs IX'!AB67</f>
        <v>-906756.98949735926</v>
      </c>
      <c r="Z34" s="609">
        <f>X34-Y34</f>
        <v>0</v>
      </c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13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  <c r="BB34" s="313"/>
      <c r="BC34" s="313"/>
      <c r="BD34" s="313"/>
      <c r="BE34" s="313"/>
      <c r="BF34" s="313"/>
      <c r="BG34" s="313"/>
      <c r="BH34" s="313"/>
      <c r="BI34" s="313"/>
      <c r="BJ34" s="313"/>
      <c r="BK34" s="313"/>
      <c r="BL34" s="313"/>
      <c r="BM34" s="313"/>
      <c r="BN34" s="313"/>
      <c r="BO34" s="313"/>
      <c r="BP34" s="313"/>
      <c r="BQ34" s="313"/>
      <c r="BR34" s="313"/>
      <c r="BS34" s="313"/>
      <c r="BT34" s="313"/>
      <c r="BU34" s="313"/>
      <c r="BV34" s="313"/>
      <c r="BW34" s="313"/>
      <c r="BX34" s="313"/>
      <c r="BY34" s="313"/>
      <c r="BZ34" s="313"/>
      <c r="CA34" s="313"/>
      <c r="CB34" s="313"/>
      <c r="CC34" s="313"/>
      <c r="CD34" s="313"/>
      <c r="CE34" s="313"/>
    </row>
    <row r="35" spans="1:83" s="281" customFormat="1">
      <c r="A35" s="277"/>
      <c r="B35" s="286"/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516"/>
      <c r="X35" s="544"/>
      <c r="Y35" s="545"/>
      <c r="Z35" s="546"/>
      <c r="AA35" s="280"/>
    </row>
    <row r="36" spans="1:83" s="281" customFormat="1">
      <c r="A36" s="4" t="s">
        <v>234</v>
      </c>
      <c r="B36" s="286"/>
      <c r="C36" s="335">
        <f>-(FPLE_Debt!E21+FPLE_Debt!E58)</f>
        <v>-165002.84841195869</v>
      </c>
      <c r="D36" s="335">
        <f>-(FPLE_Debt!F21+FPLE_Debt!F58)</f>
        <v>-155901.68788042275</v>
      </c>
      <c r="E36" s="335">
        <f>-(FPLE_Debt!G21+FPLE_Debt!G58)</f>
        <v>-161516.66089484852</v>
      </c>
      <c r="F36" s="335">
        <f>-(FPLE_Debt!H21+FPLE_Debt!H58)</f>
        <v>-164749.56861660938</v>
      </c>
      <c r="G36" s="335">
        <f>-(FPLE_Debt!I21+FPLE_Debt!I58)</f>
        <v>-160638.62610770183</v>
      </c>
      <c r="H36" s="335">
        <f>-(FPLE_Debt!J21+FPLE_Debt!J58)</f>
        <v>-167759.17780859256</v>
      </c>
      <c r="I36" s="335">
        <f>-(FPLE_Debt!K21+FPLE_Debt!K58)</f>
        <v>-156775.74873788538</v>
      </c>
      <c r="J36" s="335">
        <f>-(FPLE_Debt!L21+FPLE_Debt!L58)</f>
        <v>-152379.95281901601</v>
      </c>
      <c r="K36" s="335">
        <f>-(FPLE_Debt!M21+FPLE_Debt!M58)</f>
        <v>-155109.67133239095</v>
      </c>
      <c r="L36" s="335">
        <f>-(FPLE_Debt!N21+FPLE_Debt!N58)</f>
        <v>-168935.82919655566</v>
      </c>
      <c r="M36" s="335">
        <f>-(FPLE_Debt!O21+FPLE_Debt!O58)</f>
        <v>-162974.73523187463</v>
      </c>
      <c r="N36" s="335">
        <f>-(FPLE_Debt!P21+FPLE_Debt!P58)</f>
        <v>-162441.52521923865</v>
      </c>
      <c r="O36" s="335">
        <f>-(FPLE_Debt!Q21+FPLE_Debt!Q58)</f>
        <v>-179150.72235760966</v>
      </c>
      <c r="P36" s="335">
        <f>-(FPLE_Debt!R21+FPLE_Debt!R58)</f>
        <v>-195562.71786285925</v>
      </c>
      <c r="Q36" s="335">
        <f>-(FPLE_Debt!S21+FPLE_Debt!S58)</f>
        <v>-191664.34972125466</v>
      </c>
      <c r="R36" s="335">
        <f>-(FPLE_Debt!T21+FPLE_Debt!T58)</f>
        <v>-198244.93866634159</v>
      </c>
      <c r="S36" s="335">
        <f>-(FPLE_Debt!U21+FPLE_Debt!U58)</f>
        <v>-168381.01800392233</v>
      </c>
      <c r="T36" s="335">
        <f>-(FPLE_Debt!V21+FPLE_Debt!V58)</f>
        <v>-165926.54104297378</v>
      </c>
      <c r="U36" s="335">
        <f>-(FPLE_Debt!W21+FPLE_Debt!W58)</f>
        <v>-181045.10083693371</v>
      </c>
      <c r="V36" s="335">
        <f>-(FPLE_Debt!X21+FPLE_Debt!X58)</f>
        <v>-171065.836983569</v>
      </c>
      <c r="W36" s="516"/>
      <c r="X36" s="534">
        <f>SUM(C36:V36)</f>
        <v>-3385227.257732559</v>
      </c>
      <c r="Y36" s="534">
        <f>-(FPLE_Debt!Z24+FPLE_Debt!Z27+FPLE_Debt!Z61+FPLE_Debt!Z64)</f>
        <v>-3385227.257732559</v>
      </c>
      <c r="Z36" s="609">
        <f>X36-Y36</f>
        <v>0</v>
      </c>
      <c r="AA36" s="280"/>
    </row>
    <row r="37" spans="1:83" s="281" customFormat="1">
      <c r="A37" s="277"/>
      <c r="B37" s="286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517"/>
      <c r="X37" s="544"/>
      <c r="Y37" s="534"/>
      <c r="Z37" s="546"/>
      <c r="AA37" s="280"/>
    </row>
    <row r="38" spans="1:83" s="281" customFormat="1">
      <c r="A38" s="4" t="s">
        <v>227</v>
      </c>
      <c r="B38" s="286"/>
      <c r="C38" s="335">
        <f>'NELP - Bellingham &amp; Sayreville'!F65*0.5</f>
        <v>-53.357142857123108</v>
      </c>
      <c r="D38" s="335">
        <f>'NELP - Bellingham &amp; Sayreville'!G65*0.5</f>
        <v>-53.357142857152212</v>
      </c>
      <c r="E38" s="335">
        <f>'NELP - Bellingham &amp; Sayreville'!H65*0.5</f>
        <v>-53.357142857181316</v>
      </c>
      <c r="F38" s="335">
        <f>'NELP - Bellingham &amp; Sayreville'!I65*0.5</f>
        <v>-53.357142857130384</v>
      </c>
      <c r="G38" s="335">
        <f>'NELP - Bellingham &amp; Sayreville'!J65*0.5</f>
        <v>-50.077380952367093</v>
      </c>
      <c r="H38" s="335">
        <f>'NELP - Bellingham &amp; Sayreville'!K65*0.5</f>
        <v>-50.000000000014552</v>
      </c>
      <c r="I38" s="335">
        <f>'NELP - Bellingham &amp; Sayreville'!L65*0.5</f>
        <v>-50.000000000014552</v>
      </c>
      <c r="J38" s="335">
        <f>'NELP - Bellingham &amp; Sayreville'!M65*0.5</f>
        <v>-50</v>
      </c>
      <c r="K38" s="335">
        <f>'NELP - Bellingham &amp; Sayreville'!N65*0.5</f>
        <v>-49.999999999985448</v>
      </c>
      <c r="L38" s="335">
        <f>'NELP - Bellingham &amp; Sayreville'!O65*0.5</f>
        <v>-50</v>
      </c>
      <c r="M38" s="335">
        <f>'NELP - Bellingham &amp; Sayreville'!P65*0.5</f>
        <v>-50</v>
      </c>
      <c r="N38" s="335">
        <f>'NELP - Bellingham &amp; Sayreville'!Q65*0.5</f>
        <v>-50</v>
      </c>
      <c r="O38" s="335">
        <f>'NELP - Bellingham &amp; Sayreville'!R65*0.5</f>
        <v>-50</v>
      </c>
      <c r="P38" s="335">
        <f>'NELP - Bellingham &amp; Sayreville'!S65*0.5</f>
        <v>-50</v>
      </c>
      <c r="Q38" s="335">
        <f>'NELP - Bellingham &amp; Sayreville'!T65*0.5</f>
        <v>-50</v>
      </c>
      <c r="R38" s="335">
        <f>'NELP - Bellingham &amp; Sayreville'!U65*0.5</f>
        <v>-50</v>
      </c>
      <c r="S38" s="335">
        <f>'NELP - Bellingham &amp; Sayreville'!V65*0.5</f>
        <v>-50</v>
      </c>
      <c r="T38" s="335">
        <f>'NELP - Bellingham &amp; Sayreville'!W65*0.5</f>
        <v>-50</v>
      </c>
      <c r="U38" s="335">
        <f>'NELP - Bellingham &amp; Sayreville'!X65*0.5</f>
        <v>-50</v>
      </c>
      <c r="V38" s="335">
        <f>'NELP - Bellingham &amp; Sayreville'!Y65*0.5</f>
        <v>-50</v>
      </c>
      <c r="W38" s="516"/>
      <c r="X38" s="534">
        <f>SUM(C38:V38)</f>
        <v>-1013.5059523809687</v>
      </c>
      <c r="Y38" s="534">
        <f>SUM('Maine Hydro'!AB65,'Maine Thermal'!AB65,Lamar!AB65,'Marcus Hook 50'!AB65,Doswell!AB65,'Doswell CT'!AB65,'Segs VIII'!AB65,'Segs IX'!AB65,'NELP - Bellingham &amp; Sayreville'!AB65,Cherokee!AB65,'Cerro Gordo'!AB65,'Southwest Mesa'!AB65,Vansycle!AB65,Cameron!AB65,'Pacific Crest'!AB65,'Sky River'!AB65,Ridgetop!AB65,'Green Ridge'!AB65,'Mojave 16-18'!AB65,Morwind!AB65,VG!AB65,'WPP 92'!AB65,'WPP 91-2'!AB65,'WPP 89'!AB65,'WPP 91'!AB65,'WPP 90'!AB65)</f>
        <v>-1013.5059523809687</v>
      </c>
      <c r="Z38" s="609">
        <f>X38-Y38</f>
        <v>0</v>
      </c>
      <c r="AA38" s="280"/>
    </row>
    <row r="39" spans="1:83">
      <c r="A39" s="1"/>
      <c r="B39" s="1"/>
      <c r="C39" s="282"/>
      <c r="D39" s="282"/>
      <c r="E39" s="282"/>
      <c r="F39" s="282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  <c r="T39" s="282"/>
      <c r="U39" s="282"/>
      <c r="V39" s="282"/>
      <c r="W39" s="518"/>
      <c r="X39" s="533"/>
      <c r="Y39" s="534"/>
      <c r="Z39" s="526"/>
      <c r="AA39" s="275"/>
    </row>
    <row r="40" spans="1:83">
      <c r="A40" s="509" t="s">
        <v>213</v>
      </c>
      <c r="B40" s="315"/>
      <c r="C40" s="553">
        <f t="shared" ref="C40:V40" si="4">C10+C12+C20+C34+C36+C38</f>
        <v>175297.95656972105</v>
      </c>
      <c r="D40" s="553">
        <f t="shared" si="4"/>
        <v>145803.59839637479</v>
      </c>
      <c r="E40" s="553">
        <f t="shared" si="4"/>
        <v>149249.02537135445</v>
      </c>
      <c r="F40" s="553">
        <f t="shared" si="4"/>
        <v>169950.27598629668</v>
      </c>
      <c r="G40" s="553">
        <f t="shared" si="4"/>
        <v>169083.85265962585</v>
      </c>
      <c r="H40" s="553">
        <f t="shared" si="4"/>
        <v>177210.66669117782</v>
      </c>
      <c r="I40" s="553">
        <f t="shared" si="4"/>
        <v>173877.77440460562</v>
      </c>
      <c r="J40" s="553">
        <f t="shared" si="4"/>
        <v>167928.60543675016</v>
      </c>
      <c r="K40" s="553">
        <f t="shared" si="4"/>
        <v>168057.79401811928</v>
      </c>
      <c r="L40" s="553">
        <f t="shared" si="4"/>
        <v>187283.5671338418</v>
      </c>
      <c r="M40" s="553">
        <f t="shared" si="4"/>
        <v>197536.90869817347</v>
      </c>
      <c r="N40" s="553">
        <f t="shared" si="4"/>
        <v>198564.95858671324</v>
      </c>
      <c r="O40" s="553">
        <f t="shared" si="4"/>
        <v>204957.24674135074</v>
      </c>
      <c r="P40" s="553">
        <f t="shared" si="4"/>
        <v>223634.39188436617</v>
      </c>
      <c r="Q40" s="553">
        <f t="shared" si="4"/>
        <v>215975.02408085682</v>
      </c>
      <c r="R40" s="553">
        <f t="shared" si="4"/>
        <v>226635.48793225485</v>
      </c>
      <c r="S40" s="553">
        <f t="shared" si="4"/>
        <v>199748.84370416831</v>
      </c>
      <c r="T40" s="553">
        <f t="shared" si="4"/>
        <v>193313.46457699526</v>
      </c>
      <c r="U40" s="553">
        <f t="shared" si="4"/>
        <v>216486.23738724028</v>
      </c>
      <c r="V40" s="553">
        <f t="shared" si="4"/>
        <v>207553.32656602425</v>
      </c>
      <c r="W40" s="27"/>
      <c r="X40" s="534">
        <f>SUM(C40:V40)</f>
        <v>3768149.006826011</v>
      </c>
      <c r="Y40" s="534">
        <f>SUM('Maine Hydro'!AB69,'Maine Thermal'!AB69,Lamar!AB69,'Marcus Hook 50'!AB69,Doswell!AB69,'Doswell CT'!AB69,'Segs VIII'!AB69,'Segs IX'!AB69,'NELP - Bellingham &amp; Sayreville'!AB69,Cherokee!AB69,'Cerro Gordo'!AB69,'Southwest Mesa'!AB69,Vansycle!AB69,Cameron!AB69,'Pacific Crest'!AB69,'Sky River'!AB69,Ridgetop!AB69,'Green Ridge'!AB69,'Mojave 16-18'!AB69,Morwind!AB69,VG!AB69,'WPP 92'!AB69,'WPP 91-2'!AB69,'WPP 89'!AB69,'WPP 91'!AB69,'WPP 90'!AB69)+Y12+Y36+X20</f>
        <v>3768149.0068260115</v>
      </c>
      <c r="Z40" s="609">
        <f>X40-Y40</f>
        <v>0</v>
      </c>
      <c r="AA40" s="313"/>
      <c r="AB40" s="313"/>
      <c r="AC40" s="313"/>
      <c r="AD40" s="313"/>
      <c r="AE40" s="313"/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3"/>
      <c r="BW40" s="313"/>
      <c r="BX40" s="313"/>
      <c r="BY40" s="313"/>
      <c r="BZ40" s="313"/>
      <c r="CA40" s="313"/>
      <c r="CB40" s="313"/>
      <c r="CC40" s="313"/>
      <c r="CD40" s="313"/>
      <c r="CE40" s="313"/>
    </row>
    <row r="41" spans="1:83">
      <c r="A41" s="14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4"/>
      <c r="X41" s="534"/>
      <c r="Y41" s="534"/>
      <c r="Z41" s="536"/>
      <c r="AA41" s="313"/>
      <c r="AB41" s="313"/>
      <c r="AC41" s="313"/>
      <c r="AD41" s="313"/>
      <c r="AE41" s="313"/>
      <c r="AF41" s="313"/>
      <c r="AG41" s="313"/>
      <c r="AH41" s="313"/>
      <c r="AI41" s="313"/>
      <c r="AJ41" s="313"/>
      <c r="AK41" s="313"/>
      <c r="AL41" s="313"/>
      <c r="AM41" s="313"/>
      <c r="AN41" s="313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13"/>
      <c r="BI41" s="313"/>
      <c r="BJ41" s="313"/>
      <c r="BK41" s="313"/>
      <c r="BL41" s="313"/>
      <c r="BM41" s="313"/>
      <c r="BN41" s="313"/>
      <c r="BO41" s="313"/>
      <c r="BP41" s="313"/>
      <c r="BQ41" s="313"/>
      <c r="BR41" s="313"/>
      <c r="BS41" s="313"/>
      <c r="BT41" s="313"/>
      <c r="BU41" s="313"/>
      <c r="BV41" s="313"/>
      <c r="BW41" s="313"/>
      <c r="BX41" s="313"/>
      <c r="BY41" s="313"/>
      <c r="BZ41" s="313"/>
      <c r="CA41" s="313"/>
      <c r="CB41" s="313"/>
      <c r="CC41" s="313"/>
      <c r="CD41" s="313"/>
      <c r="CE41" s="313"/>
    </row>
    <row r="42" spans="1:83">
      <c r="A42" s="4" t="s">
        <v>229</v>
      </c>
      <c r="B42" s="296"/>
      <c r="C42" s="296">
        <f>-FPLE_Tax!C37</f>
        <v>0</v>
      </c>
      <c r="D42" s="296">
        <f>-FPLE_Tax!D37</f>
        <v>0</v>
      </c>
      <c r="E42" s="296">
        <f>-FPLE_Tax!E37</f>
        <v>0</v>
      </c>
      <c r="F42" s="296">
        <f>-FPLE_Tax!F37</f>
        <v>0</v>
      </c>
      <c r="G42" s="296">
        <f>-FPLE_Tax!G37</f>
        <v>0</v>
      </c>
      <c r="H42" s="296">
        <f>-FPLE_Tax!H37</f>
        <v>0</v>
      </c>
      <c r="I42" s="296">
        <f>-FPLE_Tax!I37</f>
        <v>0</v>
      </c>
      <c r="J42" s="296">
        <f>-FPLE_Tax!J37</f>
        <v>-1311.0763481092699</v>
      </c>
      <c r="K42" s="296">
        <f>-FPLE_Tax!K37</f>
        <v>-7232.7639285830437</v>
      </c>
      <c r="L42" s="296">
        <f>-FPLE_Tax!L37</f>
        <v>-9657.1041894435675</v>
      </c>
      <c r="M42" s="296">
        <f>-FPLE_Tax!M37</f>
        <v>-9257.3344951694053</v>
      </c>
      <c r="N42" s="296">
        <f>-FPLE_Tax!N37</f>
        <v>-7632.908731931956</v>
      </c>
      <c r="O42" s="296">
        <f>-FPLE_Tax!O37</f>
        <v>-9373.6119453572483</v>
      </c>
      <c r="P42" s="296">
        <f>-FPLE_Tax!P37</f>
        <v>-11754.073662601048</v>
      </c>
      <c r="Q42" s="296">
        <f>-FPLE_Tax!Q37</f>
        <v>-11708.941343211593</v>
      </c>
      <c r="R42" s="296">
        <f>-FPLE_Tax!R37</f>
        <v>-14367.635619992338</v>
      </c>
      <c r="S42" s="296">
        <f>-FPLE_Tax!S37</f>
        <v>-12988.184024585549</v>
      </c>
      <c r="T42" s="296">
        <f>-FPLE_Tax!T37</f>
        <v>-13991.296500319742</v>
      </c>
      <c r="U42" s="296">
        <f>-FPLE_Tax!U37</f>
        <v>-16443.26569960927</v>
      </c>
      <c r="V42" s="296">
        <f>-FPLE_Tax!V37</f>
        <v>-16127.644892033688</v>
      </c>
      <c r="W42" s="24"/>
      <c r="X42" s="534"/>
      <c r="Y42" s="534"/>
      <c r="Z42" s="609"/>
      <c r="AA42" s="313"/>
      <c r="AB42" s="313"/>
      <c r="AC42" s="313"/>
      <c r="AD42" s="313"/>
      <c r="AE42" s="313"/>
      <c r="AF42" s="313"/>
      <c r="AG42" s="313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3"/>
      <c r="BT42" s="313"/>
      <c r="BU42" s="313"/>
      <c r="BV42" s="313"/>
      <c r="BW42" s="313"/>
      <c r="BX42" s="313"/>
      <c r="BY42" s="313"/>
      <c r="BZ42" s="313"/>
      <c r="CA42" s="313"/>
      <c r="CB42" s="313"/>
      <c r="CC42" s="313"/>
      <c r="CD42" s="313"/>
      <c r="CE42" s="313"/>
    </row>
    <row r="43" spans="1:83">
      <c r="A43" s="4" t="s">
        <v>230</v>
      </c>
      <c r="B43" s="296"/>
      <c r="C43" s="296">
        <f>-FPLE_Tax!C47</f>
        <v>0</v>
      </c>
      <c r="D43" s="296">
        <f>-FPLE_Tax!D47</f>
        <v>0</v>
      </c>
      <c r="E43" s="296">
        <f>-FPLE_Tax!E47</f>
        <v>0</v>
      </c>
      <c r="F43" s="296">
        <f>-FPLE_Tax!F47</f>
        <v>0</v>
      </c>
      <c r="G43" s="296">
        <f>-FPLE_Tax!G47</f>
        <v>0</v>
      </c>
      <c r="H43" s="296">
        <f>-FPLE_Tax!H47</f>
        <v>0</v>
      </c>
      <c r="I43" s="296">
        <f>-FPLE_Tax!I47</f>
        <v>0</v>
      </c>
      <c r="J43" s="296">
        <f>-FPLE_Tax!J47</f>
        <v>0</v>
      </c>
      <c r="K43" s="296">
        <f>-FPLE_Tax!K47</f>
        <v>0</v>
      </c>
      <c r="L43" s="296">
        <f>-FPLE_Tax!L47</f>
        <v>0</v>
      </c>
      <c r="M43" s="296">
        <f>-FPLE_Tax!M47</f>
        <v>-54883.185390989755</v>
      </c>
      <c r="N43" s="296">
        <f>-FPLE_Tax!N47</f>
        <v>-46942.388701381489</v>
      </c>
      <c r="O43" s="296">
        <f>-FPLE_Tax!O47</f>
        <v>-57647.713463947031</v>
      </c>
      <c r="P43" s="296">
        <f>-FPLE_Tax!P47</f>
        <v>-72287.553024996392</v>
      </c>
      <c r="Q43" s="296">
        <f>-FPLE_Tax!Q47</f>
        <v>-72009.989260751245</v>
      </c>
      <c r="R43" s="296">
        <f>-FPLE_Tax!R47</f>
        <v>-88360.95906295281</v>
      </c>
      <c r="S43" s="296">
        <f>-FPLE_Tax!S47</f>
        <v>-79877.331751201069</v>
      </c>
      <c r="T43" s="296">
        <f>-FPLE_Tax!T47</f>
        <v>-86046.473476966363</v>
      </c>
      <c r="U43" s="296">
        <f>-FPLE_Tax!U47</f>
        <v>-101126.08405259694</v>
      </c>
      <c r="V43" s="296">
        <f>-FPLE_Tax!V47</f>
        <v>-99185.016086007105</v>
      </c>
      <c r="W43" s="24"/>
      <c r="X43" s="534"/>
      <c r="Y43" s="534"/>
      <c r="Z43" s="609"/>
      <c r="AA43" s="313"/>
      <c r="AB43" s="313"/>
      <c r="AC43" s="313"/>
      <c r="AD43" s="313"/>
      <c r="AE43" s="313"/>
      <c r="AF43" s="313"/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/>
      <c r="BH43" s="313"/>
      <c r="BI43" s="313"/>
      <c r="BJ43" s="313"/>
      <c r="BK43" s="313"/>
      <c r="BL43" s="313"/>
      <c r="BM43" s="313"/>
      <c r="BN43" s="313"/>
      <c r="BO43" s="313"/>
      <c r="BP43" s="313"/>
      <c r="BQ43" s="313"/>
      <c r="BR43" s="313"/>
      <c r="BS43" s="313"/>
      <c r="BT43" s="313"/>
      <c r="BU43" s="313"/>
      <c r="BV43" s="313"/>
      <c r="BW43" s="313"/>
      <c r="BX43" s="313"/>
      <c r="BY43" s="313"/>
      <c r="BZ43" s="313"/>
      <c r="CA43" s="313"/>
      <c r="CB43" s="313"/>
      <c r="CC43" s="313"/>
      <c r="CD43" s="313"/>
      <c r="CE43" s="313"/>
    </row>
    <row r="44" spans="1:83">
      <c r="A44" s="15"/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321"/>
      <c r="T44" s="321"/>
      <c r="U44" s="321"/>
      <c r="V44" s="321"/>
      <c r="W44" s="300"/>
      <c r="X44" s="538"/>
      <c r="Y44" s="534"/>
      <c r="Z44" s="536"/>
      <c r="AA44" s="313"/>
      <c r="AB44" s="313"/>
      <c r="AC44" s="313"/>
      <c r="AD44" s="313"/>
      <c r="AE44" s="313"/>
      <c r="AF44" s="313"/>
      <c r="AG44" s="313"/>
      <c r="AH44" s="313"/>
      <c r="AI44" s="313"/>
      <c r="AJ44" s="313"/>
      <c r="AK44" s="313"/>
      <c r="AL44" s="313"/>
      <c r="AM44" s="313"/>
      <c r="AN44" s="313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/>
      <c r="BF44" s="313"/>
      <c r="BG44" s="313"/>
      <c r="BH44" s="313"/>
      <c r="BI44" s="313"/>
      <c r="BJ44" s="313"/>
      <c r="BK44" s="313"/>
      <c r="BL44" s="313"/>
      <c r="BM44" s="313"/>
      <c r="BN44" s="313"/>
      <c r="BO44" s="313"/>
      <c r="BP44" s="313"/>
      <c r="BQ44" s="313"/>
      <c r="BR44" s="313"/>
      <c r="BS44" s="313"/>
      <c r="BT44" s="313"/>
      <c r="BU44" s="313"/>
      <c r="BV44" s="313"/>
      <c r="BW44" s="313"/>
      <c r="BX44" s="313"/>
      <c r="BY44" s="313"/>
      <c r="BZ44" s="313"/>
      <c r="CA44" s="313"/>
      <c r="CB44" s="313"/>
      <c r="CC44" s="313"/>
      <c r="CD44" s="313"/>
      <c r="CE44" s="313"/>
    </row>
    <row r="45" spans="1:83" s="299" customFormat="1" ht="16.5" thickBot="1">
      <c r="A45" s="714" t="s">
        <v>214</v>
      </c>
      <c r="B45" s="323"/>
      <c r="C45" s="327">
        <f>C40+C42+C43</f>
        <v>175297.95656972105</v>
      </c>
      <c r="D45" s="327">
        <f>D40+D42+D43</f>
        <v>145803.59839637479</v>
      </c>
      <c r="E45" s="327">
        <f t="shared" ref="E45:V45" si="5">E40+E42+E43</f>
        <v>149249.02537135445</v>
      </c>
      <c r="F45" s="327">
        <f t="shared" si="5"/>
        <v>169950.27598629668</v>
      </c>
      <c r="G45" s="327">
        <f t="shared" si="5"/>
        <v>169083.85265962585</v>
      </c>
      <c r="H45" s="327">
        <f t="shared" si="5"/>
        <v>177210.66669117782</v>
      </c>
      <c r="I45" s="327">
        <f t="shared" si="5"/>
        <v>173877.77440460562</v>
      </c>
      <c r="J45" s="327">
        <f t="shared" si="5"/>
        <v>166617.52908864091</v>
      </c>
      <c r="K45" s="327">
        <f t="shared" si="5"/>
        <v>160825.03008953625</v>
      </c>
      <c r="L45" s="327">
        <f t="shared" si="5"/>
        <v>177626.46294439823</v>
      </c>
      <c r="M45" s="327">
        <f t="shared" si="5"/>
        <v>133396.38881201431</v>
      </c>
      <c r="N45" s="327">
        <f t="shared" si="5"/>
        <v>143989.66115339979</v>
      </c>
      <c r="O45" s="327">
        <f t="shared" si="5"/>
        <v>137935.92133204645</v>
      </c>
      <c r="P45" s="327">
        <f t="shared" si="5"/>
        <v>139592.76519676871</v>
      </c>
      <c r="Q45" s="327">
        <f t="shared" si="5"/>
        <v>132256.09347689396</v>
      </c>
      <c r="R45" s="327">
        <f t="shared" si="5"/>
        <v>123906.89324930971</v>
      </c>
      <c r="S45" s="327">
        <f t="shared" si="5"/>
        <v>106883.32792838168</v>
      </c>
      <c r="T45" s="327">
        <f t="shared" si="5"/>
        <v>93275.694599709168</v>
      </c>
      <c r="U45" s="327">
        <f t="shared" si="5"/>
        <v>98916.887635034072</v>
      </c>
      <c r="V45" s="327">
        <f t="shared" si="5"/>
        <v>92240.665587983458</v>
      </c>
      <c r="W45" s="519"/>
      <c r="X45" s="534"/>
      <c r="Y45" s="534"/>
      <c r="Z45" s="609"/>
      <c r="AA45" s="313"/>
      <c r="AB45" s="313"/>
      <c r="AC45" s="314"/>
      <c r="AD45" s="314"/>
      <c r="AE45" s="314"/>
      <c r="AF45" s="314"/>
      <c r="AG45" s="314"/>
      <c r="AH45" s="314"/>
      <c r="AI45" s="314"/>
      <c r="AJ45" s="314"/>
      <c r="AK45" s="314"/>
      <c r="AL45" s="314"/>
      <c r="AM45" s="314"/>
      <c r="AN45" s="314"/>
      <c r="AO45" s="314"/>
      <c r="AP45" s="314"/>
      <c r="AQ45" s="314"/>
      <c r="AR45" s="314"/>
      <c r="AS45" s="314"/>
      <c r="AT45" s="314"/>
      <c r="AU45" s="314"/>
      <c r="AV45" s="314"/>
      <c r="AW45" s="314"/>
      <c r="AX45" s="314"/>
      <c r="AY45" s="314"/>
      <c r="AZ45" s="314"/>
      <c r="BA45" s="314"/>
      <c r="BB45" s="314"/>
      <c r="BC45" s="314"/>
      <c r="BD45" s="314"/>
      <c r="BE45" s="314"/>
      <c r="BF45" s="314"/>
      <c r="BG45" s="314"/>
      <c r="BH45" s="314"/>
      <c r="BI45" s="314"/>
      <c r="BJ45" s="314"/>
      <c r="BK45" s="314"/>
      <c r="BL45" s="314"/>
      <c r="BM45" s="314"/>
      <c r="BN45" s="314"/>
      <c r="BO45" s="314"/>
      <c r="BP45" s="314"/>
      <c r="BQ45" s="314"/>
      <c r="BR45" s="314"/>
      <c r="BS45" s="314"/>
      <c r="BT45" s="314"/>
      <c r="BU45" s="314"/>
      <c r="BV45" s="314"/>
      <c r="BW45" s="314"/>
      <c r="BX45" s="314"/>
      <c r="BY45" s="314"/>
      <c r="BZ45" s="314"/>
      <c r="CA45" s="314"/>
      <c r="CB45" s="314"/>
      <c r="CC45" s="314"/>
      <c r="CD45" s="314"/>
      <c r="CE45" s="314"/>
    </row>
    <row r="46" spans="1:83" ht="13.5" thickTop="1">
      <c r="A46" s="15"/>
      <c r="B46" s="321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55"/>
      <c r="X46" s="538"/>
      <c r="Y46" s="538"/>
      <c r="Z46" s="536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  <c r="AM46" s="313"/>
      <c r="AN46" s="313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3"/>
      <c r="BW46" s="313"/>
      <c r="BX46" s="313"/>
      <c r="BY46" s="313"/>
      <c r="BZ46" s="313"/>
      <c r="CA46" s="313"/>
      <c r="CB46" s="313"/>
      <c r="CC46" s="313"/>
      <c r="CD46" s="313"/>
      <c r="CE46" s="313"/>
    </row>
    <row r="47" spans="1:83">
      <c r="A47" s="15"/>
      <c r="B47" s="321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55"/>
      <c r="X47" s="537"/>
      <c r="Y47" s="537"/>
      <c r="Z47" s="539"/>
      <c r="AA47" s="313"/>
      <c r="AB47" s="313"/>
      <c r="AC47" s="313"/>
      <c r="AD47" s="313"/>
      <c r="AE47" s="313"/>
      <c r="AF47" s="313"/>
      <c r="AG47" s="313"/>
      <c r="AH47" s="313"/>
      <c r="AI47" s="313"/>
      <c r="AJ47" s="313"/>
      <c r="AK47" s="313"/>
      <c r="AL47" s="313"/>
      <c r="AM47" s="313"/>
      <c r="AN47" s="313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3"/>
      <c r="BW47" s="313"/>
      <c r="BX47" s="313"/>
      <c r="BY47" s="313"/>
      <c r="BZ47" s="313"/>
      <c r="CA47" s="313"/>
      <c r="CB47" s="313"/>
      <c r="CC47" s="313"/>
      <c r="CD47" s="313"/>
      <c r="CE47" s="313"/>
    </row>
    <row r="48" spans="1:83">
      <c r="A48" s="15"/>
      <c r="B48" s="321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55"/>
      <c r="X48" s="537"/>
      <c r="Y48" s="537"/>
      <c r="Z48" s="539"/>
      <c r="AA48" s="313"/>
      <c r="AB48" s="313"/>
      <c r="AC48" s="313"/>
      <c r="AD48" s="313"/>
      <c r="AE48" s="313"/>
      <c r="AF48" s="313"/>
      <c r="AG48" s="313"/>
      <c r="AH48" s="313"/>
      <c r="AI48" s="313"/>
      <c r="AJ48" s="313"/>
      <c r="AK48" s="313"/>
      <c r="AL48" s="313"/>
      <c r="AM48" s="313"/>
      <c r="AN48" s="313"/>
      <c r="AO48" s="313"/>
      <c r="AP48" s="313"/>
      <c r="AQ48" s="313"/>
      <c r="AR48" s="313"/>
      <c r="AS48" s="313"/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3"/>
      <c r="BW48" s="313"/>
      <c r="BX48" s="313"/>
      <c r="BY48" s="313"/>
      <c r="BZ48" s="313"/>
      <c r="CA48" s="313"/>
      <c r="CB48" s="313"/>
      <c r="CC48" s="313"/>
      <c r="CD48" s="313"/>
      <c r="CE48" s="313"/>
    </row>
    <row r="49" spans="1:26">
      <c r="A49" s="15"/>
      <c r="B49" s="301"/>
      <c r="C49" s="301"/>
      <c r="D49" s="301"/>
      <c r="E49" s="301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300"/>
      <c r="X49" s="540"/>
      <c r="Y49" s="537"/>
    </row>
    <row r="50" spans="1:26" ht="18.75">
      <c r="A50" s="288" t="s">
        <v>215</v>
      </c>
    </row>
    <row r="51" spans="1:26" ht="12" customHeight="1">
      <c r="A51" s="288"/>
    </row>
    <row r="52" spans="1:26" ht="13.5" thickBot="1">
      <c r="A52" s="99" t="s">
        <v>5</v>
      </c>
      <c r="B52" s="290" t="s">
        <v>211</v>
      </c>
      <c r="C52" s="9">
        <v>2001</v>
      </c>
      <c r="D52" s="9">
        <f t="shared" ref="D52:V52" si="6">C52+1</f>
        <v>2002</v>
      </c>
      <c r="E52" s="9">
        <f t="shared" si="6"/>
        <v>2003</v>
      </c>
      <c r="F52" s="9">
        <f t="shared" si="6"/>
        <v>2004</v>
      </c>
      <c r="G52" s="9">
        <f t="shared" si="6"/>
        <v>2005</v>
      </c>
      <c r="H52" s="9">
        <f t="shared" si="6"/>
        <v>2006</v>
      </c>
      <c r="I52" s="9">
        <f t="shared" si="6"/>
        <v>2007</v>
      </c>
      <c r="J52" s="9">
        <f t="shared" si="6"/>
        <v>2008</v>
      </c>
      <c r="K52" s="9">
        <f t="shared" si="6"/>
        <v>2009</v>
      </c>
      <c r="L52" s="9">
        <f t="shared" si="6"/>
        <v>2010</v>
      </c>
      <c r="M52" s="9">
        <f t="shared" si="6"/>
        <v>2011</v>
      </c>
      <c r="N52" s="9">
        <f t="shared" si="6"/>
        <v>2012</v>
      </c>
      <c r="O52" s="9">
        <f t="shared" si="6"/>
        <v>2013</v>
      </c>
      <c r="P52" s="9">
        <f t="shared" si="6"/>
        <v>2014</v>
      </c>
      <c r="Q52" s="9">
        <f t="shared" si="6"/>
        <v>2015</v>
      </c>
      <c r="R52" s="9">
        <f t="shared" si="6"/>
        <v>2016</v>
      </c>
      <c r="S52" s="9">
        <f t="shared" si="6"/>
        <v>2017</v>
      </c>
      <c r="T52" s="9">
        <f t="shared" si="6"/>
        <v>2018</v>
      </c>
      <c r="U52" s="9">
        <f t="shared" si="6"/>
        <v>2019</v>
      </c>
      <c r="V52" s="9">
        <f t="shared" si="6"/>
        <v>2020</v>
      </c>
      <c r="W52" s="11"/>
      <c r="Y52" s="521"/>
    </row>
    <row r="53" spans="1:26">
      <c r="V53" s="8"/>
      <c r="Y53" s="521"/>
    </row>
    <row r="54" spans="1:26">
      <c r="A54" s="271" t="s">
        <v>216</v>
      </c>
      <c r="B54" s="513">
        <f>-'NewCo_Summary Output'!D14</f>
        <v>-1541643.5370956324</v>
      </c>
      <c r="C54" s="295">
        <v>0</v>
      </c>
      <c r="D54" s="295">
        <v>0</v>
      </c>
      <c r="E54" s="295">
        <v>0</v>
      </c>
      <c r="F54" s="295">
        <v>0</v>
      </c>
      <c r="G54" s="295">
        <v>0</v>
      </c>
      <c r="H54" s="295">
        <v>0</v>
      </c>
      <c r="I54" s="295">
        <v>0</v>
      </c>
      <c r="J54" s="295">
        <v>0</v>
      </c>
      <c r="K54" s="295">
        <v>0</v>
      </c>
      <c r="L54" s="295">
        <v>0</v>
      </c>
      <c r="M54" s="295">
        <v>0</v>
      </c>
      <c r="N54" s="295">
        <v>0</v>
      </c>
      <c r="O54" s="295">
        <v>0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4">
        <v>0</v>
      </c>
      <c r="W54" s="24"/>
      <c r="X54" s="534"/>
    </row>
    <row r="55" spans="1:26">
      <c r="A55" s="271" t="s">
        <v>217</v>
      </c>
      <c r="C55" s="296">
        <f>C45</f>
        <v>175297.95656972105</v>
      </c>
      <c r="D55" s="296">
        <f t="shared" ref="D55:V55" si="7">D45</f>
        <v>145803.59839637479</v>
      </c>
      <c r="E55" s="296">
        <f t="shared" si="7"/>
        <v>149249.02537135445</v>
      </c>
      <c r="F55" s="296">
        <f t="shared" si="7"/>
        <v>169950.27598629668</v>
      </c>
      <c r="G55" s="296">
        <f t="shared" si="7"/>
        <v>169083.85265962585</v>
      </c>
      <c r="H55" s="296">
        <f t="shared" si="7"/>
        <v>177210.66669117782</v>
      </c>
      <c r="I55" s="296">
        <f t="shared" si="7"/>
        <v>173877.77440460562</v>
      </c>
      <c r="J55" s="296">
        <f t="shared" si="7"/>
        <v>166617.52908864091</v>
      </c>
      <c r="K55" s="296">
        <f t="shared" si="7"/>
        <v>160825.03008953625</v>
      </c>
      <c r="L55" s="296">
        <f t="shared" si="7"/>
        <v>177626.46294439823</v>
      </c>
      <c r="M55" s="296">
        <f t="shared" si="7"/>
        <v>133396.38881201431</v>
      </c>
      <c r="N55" s="296">
        <f t="shared" si="7"/>
        <v>143989.66115339979</v>
      </c>
      <c r="O55" s="296">
        <f t="shared" si="7"/>
        <v>137935.92133204645</v>
      </c>
      <c r="P55" s="296">
        <f t="shared" si="7"/>
        <v>139592.76519676871</v>
      </c>
      <c r="Q55" s="296">
        <f t="shared" si="7"/>
        <v>132256.09347689396</v>
      </c>
      <c r="R55" s="296">
        <f t="shared" si="7"/>
        <v>123906.89324930971</v>
      </c>
      <c r="S55" s="296">
        <f t="shared" si="7"/>
        <v>106883.32792838168</v>
      </c>
      <c r="T55" s="296">
        <f t="shared" si="7"/>
        <v>93275.694599709168</v>
      </c>
      <c r="U55" s="296">
        <f t="shared" si="7"/>
        <v>98916.887635034072</v>
      </c>
      <c r="V55" s="296">
        <f t="shared" si="7"/>
        <v>92240.665587983458</v>
      </c>
      <c r="W55" s="24"/>
      <c r="X55" s="534"/>
      <c r="Z55" s="609"/>
    </row>
    <row r="56" spans="1:26">
      <c r="A56" s="271" t="s">
        <v>218</v>
      </c>
      <c r="B56" s="297">
        <v>0</v>
      </c>
      <c r="C56" s="297">
        <f>'Maine Hydro'!F90+'Maine Thermal'!F90+Lamar!F90*0.99+'Marcus Hook 50'!F90+Doswell!F90+'Doswell CT'!F90+'Segs VIII'!F90*0.5+'Segs IX'!F90*0.5+'NELP - Bellingham &amp; Sayreville'!F90*0.5+Cherokee!F90*0.5+'Cerro Gordo'!F91+'Southwest Mesa'!F91+Vansycle!F91+Cameron!F91*0.5+'Pacific Crest'!F91*0.5+'Sky River'!F91*0.5+Ridgetop!F91*0.5+'Green Ridge'!F91*0.5+'Mojave 16-18'!F91*0.5+Morwind!F91*0.5+VG!F91*0.5+'WPP 92'!F91*0.5+'WPP 91-2'!F91*0.5+'WPP 89'!F91*0.5+'WPP 91'!F91*0.5+'WPP 90'!F91*0.5</f>
        <v>0</v>
      </c>
      <c r="D56" s="297">
        <f>'Maine Hydro'!G90+'Maine Thermal'!G90+Lamar!G90*0.99+'Marcus Hook 50'!G90+Doswell!G90+'Doswell CT'!G90+'Segs VIII'!G90*0.5+'Segs IX'!G90*0.5+'NELP - Bellingham &amp; Sayreville'!G90*0.5+Cherokee!G90*0.5+'Cerro Gordo'!G91+'Southwest Mesa'!G91+Vansycle!G91+Cameron!G91*0.5+'Pacific Crest'!G91*0.5+'Sky River'!G91*0.5+Ridgetop!G91*0.5+'Green Ridge'!G91*0.5+'Mojave 16-18'!G91*0.5+Morwind!G91*0.5+VG!G91*0.5+'WPP 92'!G91*0.5+'WPP 91-2'!G91*0.5+'WPP 89'!G91*0.5+'WPP 91'!G91*0.5+'WPP 90'!G91*0.5</f>
        <v>0</v>
      </c>
      <c r="E56" s="297">
        <f>'Maine Hydro'!H90+'Maine Thermal'!H90+Lamar!H90*0.99+'Marcus Hook 50'!H90+Doswell!H90+'Doswell CT'!H90+'Segs VIII'!H90*0.5+'Segs IX'!H90*0.5+'NELP - Bellingham &amp; Sayreville'!H90*0.5+Cherokee!H90*0.5+'Cerro Gordo'!H91+'Southwest Mesa'!H91+Vansycle!H91+Cameron!H91*0.5+'Pacific Crest'!H91*0.5+'Sky River'!H91*0.5+Ridgetop!H91*0.5+'Green Ridge'!H91*0.5+'Mojave 16-18'!H91*0.5+Morwind!H91*0.5+VG!H91*0.5+'WPP 92'!H91*0.5+'WPP 91-2'!H91*0.5+'WPP 89'!H91*0.5+'WPP 91'!H91*0.5+'WPP 90'!H91*0.5</f>
        <v>0</v>
      </c>
      <c r="F56" s="297">
        <f>'Maine Hydro'!I90+'Maine Thermal'!I90+Lamar!I90*0.99+'Marcus Hook 50'!I90+Doswell!I90+'Doswell CT'!I90+'Segs VIII'!I90*0.5+'Segs IX'!I90*0.5+'NELP - Bellingham &amp; Sayreville'!I90*0.5+Cherokee!I90*0.5+'Cerro Gordo'!I91+'Southwest Mesa'!I91+Vansycle!I91+Cameron!I91*0.5+'Pacific Crest'!I91*0.5+'Sky River'!I91*0.5+Ridgetop!I91*0.5+'Green Ridge'!I91*0.5+'Mojave 16-18'!I91*0.5+Morwind!I91*0.5+VG!I91*0.5+'WPP 92'!I91*0.5+'WPP 91-2'!I91*0.5+'WPP 89'!I91*0.5+'WPP 91'!I91*0.5+'WPP 90'!I91*0.5</f>
        <v>0</v>
      </c>
      <c r="G56" s="297">
        <f>'Maine Hydro'!J90+'Maine Thermal'!J90+Lamar!J90*0.99+'Marcus Hook 50'!J90+Doswell!J90+'Doswell CT'!J90+'Segs VIII'!J90*0.5+'Segs IX'!J90*0.5+'NELP - Bellingham &amp; Sayreville'!J90*0.5+Cherokee!J90*0.5+'Cerro Gordo'!J91+'Southwest Mesa'!J91+Vansycle!J91+Cameron!J91*0.5+'Pacific Crest'!J91*0.5+'Sky River'!J91*0.5+Ridgetop!J91*0.5+'Green Ridge'!J91*0.5+'Mojave 16-18'!J91*0.5+Morwind!J91*0.5+VG!J91*0.5+'WPP 92'!J91*0.5+'WPP 91-2'!J91*0.5+'WPP 89'!J91*0.5+'WPP 91'!J91*0.5+'WPP 90'!J91*0.5</f>
        <v>0</v>
      </c>
      <c r="H56" s="297">
        <f>'Maine Hydro'!K90+'Maine Thermal'!K90+Lamar!K90*0.99+'Marcus Hook 50'!K90+Doswell!K90+'Doswell CT'!K90+'Segs VIII'!K90*0.5+'Segs IX'!K90*0.5+'NELP - Bellingham &amp; Sayreville'!K90*0.5+Cherokee!K90*0.5+'Cerro Gordo'!K91+'Southwest Mesa'!K91+Vansycle!K91+Cameron!K91*0.5+'Pacific Crest'!K91*0.5+'Sky River'!K91*0.5+Ridgetop!K91*0.5+'Green Ridge'!K91*0.5+'Mojave 16-18'!K91*0.5+Morwind!K91*0.5+VG!K91*0.5+'WPP 92'!K91*0.5+'WPP 91-2'!K91*0.5+'WPP 89'!K91*0.5+'WPP 91'!K91*0.5+'WPP 90'!K91*0.5</f>
        <v>0</v>
      </c>
      <c r="I56" s="297">
        <f>'Maine Hydro'!L90+'Maine Thermal'!L90+Lamar!L90*0.99+'Marcus Hook 50'!L90+Doswell!L90+'Doswell CT'!L90+'Segs VIII'!L90*0.5+'Segs IX'!L90*0.5+'NELP - Bellingham &amp; Sayreville'!L90*0.5+Cherokee!L90*0.5+'Cerro Gordo'!L91+'Southwest Mesa'!L91+Vansycle!L91+Cameron!L91*0.5+'Pacific Crest'!L91*0.5+'Sky River'!L91*0.5+Ridgetop!L91*0.5+'Green Ridge'!L91*0.5+'Mojave 16-18'!L91*0.5+Morwind!L91*0.5+VG!L91*0.5+'WPP 92'!L91*0.5+'WPP 91-2'!L91*0.5+'WPP 89'!L91*0.5+'WPP 91'!L91*0.5+'WPP 90'!L91*0.5</f>
        <v>0</v>
      </c>
      <c r="J56" s="297">
        <f>'Maine Hydro'!M90+'Maine Thermal'!M90+Lamar!M90*0.99+'Marcus Hook 50'!M90+Doswell!M90+'Doswell CT'!M90+'Segs VIII'!M90*0.5+'Segs IX'!M90*0.5+'NELP - Bellingham &amp; Sayreville'!M90*0.5+Cherokee!M90*0.5+'Cerro Gordo'!M91+'Southwest Mesa'!M91+Vansycle!M91+Cameron!M91*0.5+'Pacific Crest'!M91*0.5+'Sky River'!M91*0.5+Ridgetop!M91*0.5+'Green Ridge'!M91*0.5+'Mojave 16-18'!M91*0.5+Morwind!M91*0.5+VG!M91*0.5+'WPP 92'!M91*0.5+'WPP 91-2'!M91*0.5+'WPP 89'!M91*0.5+'WPP 91'!M91*0.5+'WPP 90'!M91*0.5</f>
        <v>0</v>
      </c>
      <c r="K56" s="297">
        <f>'Maine Hydro'!N90+'Maine Thermal'!N90+Lamar!N90*0.99+'Marcus Hook 50'!N90+Doswell!N90+'Doswell CT'!N90+'Segs VIII'!N90*0.5+'Segs IX'!N90*0.5+'NELP - Bellingham &amp; Sayreville'!N90*0.5+Cherokee!N90*0.5+'Cerro Gordo'!N91+'Southwest Mesa'!N91+Vansycle!N91+Cameron!N91*0.5+'Pacific Crest'!N91*0.5+'Sky River'!N91*0.5+Ridgetop!N91*0.5+'Green Ridge'!N91*0.5+'Mojave 16-18'!N91*0.5+Morwind!N91*0.5+VG!N91*0.5+'WPP 92'!N91*0.5+'WPP 91-2'!N91*0.5+'WPP 89'!N91*0.5+'WPP 91'!N91*0.5+'WPP 90'!N91*0.5</f>
        <v>0</v>
      </c>
      <c r="L56" s="297">
        <f>'Maine Hydro'!O90+'Maine Thermal'!O90+Lamar!O90*0.99+'Marcus Hook 50'!O90+Doswell!O90+'Doswell CT'!O90+'Segs VIII'!O90*0.5+'Segs IX'!O90*0.5+'NELP - Bellingham &amp; Sayreville'!O90*0.5+Cherokee!O90*0.5+'Cerro Gordo'!O91+'Southwest Mesa'!O91+Vansycle!O91+Cameron!O91*0.5+'Pacific Crest'!O91*0.5+'Sky River'!O91*0.5+Ridgetop!O91*0.5+'Green Ridge'!O91*0.5+'Mojave 16-18'!O91*0.5+Morwind!O91*0.5+VG!O91*0.5+'WPP 92'!O91*0.5+'WPP 91-2'!O91*0.5+'WPP 89'!O91*0.5+'WPP 91'!O91*0.5+'WPP 90'!O91*0.5</f>
        <v>0</v>
      </c>
      <c r="M56" s="297">
        <f>'Maine Hydro'!P90+'Maine Thermal'!P90+Lamar!P90*0.99+'Marcus Hook 50'!P90+Doswell!P90+'Doswell CT'!P90+'Segs VIII'!P90*0.5+'Segs IX'!P90*0.5+'NELP - Bellingham &amp; Sayreville'!P90*0.5+Cherokee!P90*0.5+'Cerro Gordo'!P91+'Southwest Mesa'!P91+Vansycle!P91+Cameron!P91*0.5+'Pacific Crest'!P91*0.5+'Sky River'!P91*0.5+Ridgetop!P91*0.5+'Green Ridge'!P91*0.5+'Mojave 16-18'!P91*0.5+Morwind!P91*0.5+VG!P91*0.5+'WPP 92'!P91*0.5+'WPP 91-2'!P91*0.5+'WPP 89'!P91*0.5+'WPP 91'!P91*0.5+'WPP 90'!P91*0.5</f>
        <v>0</v>
      </c>
      <c r="N56" s="297">
        <f>'Maine Hydro'!Q90+'Maine Thermal'!Q90+Lamar!Q90*0.99+'Marcus Hook 50'!Q90+Doswell!Q90+'Doswell CT'!Q90+'Segs VIII'!Q90*0.5+'Segs IX'!Q90*0.5+'NELP - Bellingham &amp; Sayreville'!Q90*0.5+Cherokee!Q90*0.5+'Cerro Gordo'!Q91+'Southwest Mesa'!Q91+Vansycle!Q91+Cameron!Q91*0.5+'Pacific Crest'!Q91*0.5+'Sky River'!Q91*0.5+Ridgetop!Q91*0.5+'Green Ridge'!Q91*0.5+'Mojave 16-18'!Q91*0.5+Morwind!Q91*0.5+VG!Q91*0.5+'WPP 92'!Q91*0.5+'WPP 91-2'!Q91*0.5+'WPP 89'!Q91*0.5+'WPP 91'!Q91*0.5+'WPP 90'!Q91*0.5</f>
        <v>0</v>
      </c>
      <c r="O56" s="297">
        <f>'Maine Hydro'!R90+'Maine Thermal'!R90+Lamar!R90*0.99+'Marcus Hook 50'!R90+Doswell!R90+'Doswell CT'!R90+'Segs VIII'!R90*0.5+'Segs IX'!R90*0.5+'NELP - Bellingham &amp; Sayreville'!R90*0.5+Cherokee!R90*0.5+'Cerro Gordo'!R91+'Southwest Mesa'!R91+Vansycle!R91+Cameron!R91*0.5+'Pacific Crest'!R91*0.5+'Sky River'!R91*0.5+Ridgetop!R91*0.5+'Green Ridge'!R91*0.5+'Mojave 16-18'!R91*0.5+Morwind!R91*0.5+VG!R91*0.5+'WPP 92'!R91*0.5+'WPP 91-2'!R91*0.5+'WPP 89'!R91*0.5+'WPP 91'!R91*0.5+'WPP 90'!R91*0.5</f>
        <v>19665.234229755741</v>
      </c>
      <c r="P56" s="297">
        <f>'Maine Hydro'!S90+'Maine Thermal'!S90+Lamar!S90*0.99+'Marcus Hook 50'!S90+Doswell!S90+'Doswell CT'!S90+'Segs VIII'!S90*0.5+'Segs IX'!S90*0.5+'NELP - Bellingham &amp; Sayreville'!S90*0.5+Cherokee!S90*0.5+'Cerro Gordo'!S91+'Southwest Mesa'!S91+Vansycle!S91+Cameron!S91*0.5+'Pacific Crest'!S91*0.5+'Sky River'!S91*0.5+Ridgetop!S91*0.5+'Green Ridge'!S91*0.5+'Mojave 16-18'!S91*0.5+Morwind!S91*0.5+VG!S91*0.5+'WPP 92'!S91*0.5+'WPP 91-2'!S91*0.5+'WPP 89'!S91*0.5+'WPP 91'!S91*0.5+'WPP 90'!S91*0.5</f>
        <v>9346.5079512580996</v>
      </c>
      <c r="Q56" s="297">
        <f>'Maine Hydro'!T90+'Maine Thermal'!T90+Lamar!T90*0.99+'Marcus Hook 50'!T90+Doswell!T90+'Doswell CT'!T90+'Segs VIII'!T90*0.5+'Segs IX'!T90*0.5+'NELP - Bellingham &amp; Sayreville'!T90*0.5+Cherokee!T90*0.5+'Cerro Gordo'!T91+'Southwest Mesa'!T91+Vansycle!T91+Cameron!T91*0.5+'Pacific Crest'!T91*0.5+'Sky River'!T91*0.5+Ridgetop!T91*0.5+'Green Ridge'!T91*0.5+'Mojave 16-18'!T91*0.5+Morwind!T91*0.5+VG!T91*0.5+'WPP 92'!T91*0.5+'WPP 91-2'!T91*0.5+'WPP 89'!T91*0.5+'WPP 91'!T91*0.5+'WPP 90'!T91*0.5</f>
        <v>2557.2262404999292</v>
      </c>
      <c r="R56" s="297">
        <f>'Maine Hydro'!U90+'Maine Thermal'!U90+Lamar!U90*0.99+'Marcus Hook 50'!U90+Doswell!U90+'Doswell CT'!U90+'Segs VIII'!U90*0.5+'Segs IX'!U90*0.5+'NELP - Bellingham &amp; Sayreville'!U90*0.5+Cherokee!U90*0.5+'Cerro Gordo'!U91+'Southwest Mesa'!U91+Vansycle!U91+Cameron!U91*0.5+'Pacific Crest'!U91*0.5+'Sky River'!U91*0.5+Ridgetop!U91*0.5+'Green Ridge'!U91*0.5+'Mojave 16-18'!U91*0.5+Morwind!U91*0.5+VG!U91*0.5+'WPP 92'!U91*0.5+'WPP 91-2'!U91*0.5+'WPP 89'!U91*0.5+'WPP 91'!U91*0.5+'WPP 90'!U91*0.5</f>
        <v>13131.612343206551</v>
      </c>
      <c r="S56" s="297">
        <f>'Maine Hydro'!V90+'Maine Thermal'!V90+Lamar!V90*0.99+'Marcus Hook 50'!V90+Doswell!V90+'Doswell CT'!V90+'Segs VIII'!V90*0.5+'Segs IX'!V90*0.5+'NELP - Bellingham &amp; Sayreville'!V90*0.5+Cherokee!V90*0.5+'Cerro Gordo'!V91+'Southwest Mesa'!V91+Vansycle!V91+Cameron!V91*0.5+'Pacific Crest'!V91*0.5+'Sky River'!V91*0.5+Ridgetop!V91*0.5+'Green Ridge'!V91*0.5+'Mojave 16-18'!V91*0.5+Morwind!V91*0.5+VG!V91*0.5+'WPP 92'!V91*0.5+'WPP 91-2'!V91*0.5+'WPP 89'!V91*0.5+'WPP 91'!V91*0.5+'WPP 90'!V91*0.5</f>
        <v>80289.635164363019</v>
      </c>
      <c r="T56" s="297">
        <f>'Maine Hydro'!W90+'Maine Thermal'!W90+Lamar!W90*0.99+'Marcus Hook 50'!W90+Doswell!W90+'Doswell CT'!W90+'Segs VIII'!W90*0.5+'Segs IX'!W90*0.5+'NELP - Bellingham &amp; Sayreville'!W90*0.5+Cherokee!W90*0.5+'Cerro Gordo'!W91+'Southwest Mesa'!W91+Vansycle!W91+Cameron!W91*0.5+'Pacific Crest'!W91*0.5+'Sky River'!W91*0.5+Ridgetop!W91*0.5+'Green Ridge'!W91*0.5+'Mojave 16-18'!W91*0.5+Morwind!W91*0.5+VG!W91*0.5+'WPP 92'!W91*0.5+'WPP 91-2'!W91*0.5+'WPP 89'!W91*0.5+'WPP 91'!W91*0.5+'WPP 90'!W91*0.5</f>
        <v>22885.61247276621</v>
      </c>
      <c r="U56" s="297">
        <f>'Maine Hydro'!X90+'Maine Thermal'!X90+Lamar!X90*0.99+'Marcus Hook 50'!X90+Doswell!X90+'Doswell CT'!X90+'Segs VIII'!X90*0.5+'Segs IX'!X90*0.5+'NELP - Bellingham &amp; Sayreville'!X90*0.5+Cherokee!X90*0.5+'Cerro Gordo'!X91+'Southwest Mesa'!X91+Vansycle!X91+Cameron!X91*0.5+'Pacific Crest'!X91*0.5+'Sky River'!X91*0.5+Ridgetop!X91*0.5+'Green Ridge'!X91*0.5+'Mojave 16-18'!X91*0.5+Morwind!X91*0.5+VG!X91*0.5+'WPP 92'!X91*0.5+'WPP 91-2'!X91*0.5+'WPP 89'!X91*0.5+'WPP 91'!X91*0.5+'WPP 90'!X91*0.5</f>
        <v>59602.105063733914</v>
      </c>
      <c r="V56" s="297">
        <f>'Maine Hydro'!Y90+'Maine Thermal'!Y90+Lamar!Y90*0.99+'Marcus Hook 50'!Y90+Doswell!Y90+'Doswell CT'!Y90+'Segs VIII'!Y90*0.5+'Segs IX'!Y90*0.5+'NELP - Bellingham &amp; Sayreville'!Y90*0.5+Cherokee!Y90*0.5+'Cerro Gordo'!Y91+'Southwest Mesa'!Y91+Vansycle!Y91+Cameron!Y91*0.5+'Pacific Crest'!Y91*0.5+'Sky River'!Y91*0.5+Ridgetop!Y91*0.5+'Green Ridge'!Y91*0.5+'Mojave 16-18'!Y91*0.5+Morwind!Y91*0.5+VG!Y91*0.5+'WPP 92'!Y91*0.5+'WPP 91-2'!Y91*0.5+'WPP 89'!Y91*0.5+'WPP 91'!Y91*0.5+'WPP 90'!Y91*0.5</f>
        <v>1231574.2899770441</v>
      </c>
      <c r="W56" s="24"/>
      <c r="X56" s="534">
        <f>SUM(C56:V56)</f>
        <v>1439052.2234426276</v>
      </c>
      <c r="Y56" s="534">
        <f>SUM('Maine Hydro'!AB90,'Maine Thermal'!AB90,Lamar!AB90,'Marcus Hook 50'!AB90,Doswell!AB90,'Doswell CT'!AB90,'Segs VIII'!AB90,'Segs IX'!AB90,'NELP - Bellingham &amp; Sayreville'!AB90,Cherokee!AB90,'Cerro Gordo'!AB91,'Southwest Mesa'!AB91,Vansycle!AB91,Cameron!AB91,'Pacific Crest'!AB91,'Sky River'!AB91,Ridgetop!AB91,'Green Ridge'!AB91,'Mojave 16-18'!AB91,Morwind!AB91,VG!AB91,'WPP 92'!AB91,'WPP 91-2'!AB91,'WPP 89'!AB91,'WPP 91'!AB91,'WPP 90'!AB91)</f>
        <v>1439052.2234426278</v>
      </c>
      <c r="Z56" s="609">
        <f>X56-Y56</f>
        <v>0</v>
      </c>
    </row>
    <row r="57" spans="1:26">
      <c r="A57" s="271" t="s">
        <v>219</v>
      </c>
      <c r="B57" s="295">
        <f>SUM(B54:B56)</f>
        <v>-1541643.5370956324</v>
      </c>
      <c r="C57" s="295">
        <f t="shared" ref="C57:V57" si="8">SUM(C54:C56)</f>
        <v>175297.95656972105</v>
      </c>
      <c r="D57" s="295">
        <f t="shared" si="8"/>
        <v>145803.59839637479</v>
      </c>
      <c r="E57" s="295">
        <f t="shared" si="8"/>
        <v>149249.02537135445</v>
      </c>
      <c r="F57" s="295">
        <f t="shared" si="8"/>
        <v>169950.27598629668</v>
      </c>
      <c r="G57" s="295">
        <f t="shared" si="8"/>
        <v>169083.85265962585</v>
      </c>
      <c r="H57" s="295">
        <f t="shared" si="8"/>
        <v>177210.66669117782</v>
      </c>
      <c r="I57" s="295">
        <f t="shared" si="8"/>
        <v>173877.77440460562</v>
      </c>
      <c r="J57" s="295">
        <f t="shared" si="8"/>
        <v>166617.52908864091</v>
      </c>
      <c r="K57" s="295">
        <f t="shared" si="8"/>
        <v>160825.03008953625</v>
      </c>
      <c r="L57" s="295">
        <f t="shared" si="8"/>
        <v>177626.46294439823</v>
      </c>
      <c r="M57" s="295">
        <f t="shared" si="8"/>
        <v>133396.38881201431</v>
      </c>
      <c r="N57" s="295">
        <f t="shared" si="8"/>
        <v>143989.66115339979</v>
      </c>
      <c r="O57" s="295">
        <f t="shared" si="8"/>
        <v>157601.15556180218</v>
      </c>
      <c r="P57" s="295">
        <f t="shared" si="8"/>
        <v>148939.27314802681</v>
      </c>
      <c r="Q57" s="295">
        <f t="shared" si="8"/>
        <v>134813.3197173939</v>
      </c>
      <c r="R57" s="295">
        <f t="shared" si="8"/>
        <v>137038.50559251627</v>
      </c>
      <c r="S57" s="295">
        <f t="shared" si="8"/>
        <v>187172.9630927447</v>
      </c>
      <c r="T57" s="295">
        <f t="shared" si="8"/>
        <v>116161.30707247538</v>
      </c>
      <c r="U57" s="295">
        <f t="shared" si="8"/>
        <v>158518.99269876798</v>
      </c>
      <c r="V57" s="295">
        <f t="shared" si="8"/>
        <v>1323814.9555650277</v>
      </c>
      <c r="W57" s="24"/>
      <c r="X57" s="534"/>
      <c r="Z57" s="609"/>
    </row>
    <row r="58" spans="1:26">
      <c r="A58" s="271" t="s">
        <v>220</v>
      </c>
      <c r="B58" s="615">
        <f>[14]!_xludf.xirr(B57:V57,B8:V8)</f>
        <v>9.95901048183441E-2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4"/>
      <c r="W58" s="24"/>
    </row>
    <row r="60" spans="1:26">
      <c r="C60" s="302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2"/>
      <c r="T60" s="302"/>
      <c r="U60" s="302"/>
      <c r="V60" s="302"/>
      <c r="W60" s="63"/>
    </row>
    <row r="61" spans="1:26" customFormat="1">
      <c r="W61" s="98"/>
      <c r="X61" s="541"/>
      <c r="Y61" s="542"/>
      <c r="Z61" s="542"/>
    </row>
    <row r="62" spans="1:26" customFormat="1">
      <c r="W62" s="98"/>
      <c r="X62" s="541"/>
      <c r="Y62" s="542"/>
      <c r="Z62" s="542"/>
    </row>
    <row r="63" spans="1:26" customFormat="1">
      <c r="W63" s="98"/>
      <c r="X63" s="541"/>
      <c r="Y63" s="542"/>
      <c r="Z63" s="542"/>
    </row>
    <row r="64" spans="1:26" customFormat="1">
      <c r="W64" s="98"/>
      <c r="X64" s="541"/>
      <c r="Y64" s="542"/>
      <c r="Z64" s="542"/>
    </row>
    <row r="65" spans="23:26" customFormat="1">
      <c r="W65" s="98"/>
      <c r="X65" s="541"/>
      <c r="Y65" s="542"/>
      <c r="Z65" s="542"/>
    </row>
    <row r="66" spans="23:26">
      <c r="Y66" s="542"/>
    </row>
    <row r="67" spans="23:26">
      <c r="Y67" s="542"/>
    </row>
    <row r="68" spans="23:26">
      <c r="Y68" s="542"/>
    </row>
    <row r="69" spans="23:26">
      <c r="Y69" s="542"/>
    </row>
    <row r="70" spans="23:26">
      <c r="Y70" s="542"/>
    </row>
    <row r="71" spans="23:26">
      <c r="Y71" s="542"/>
    </row>
    <row r="72" spans="23:26">
      <c r="Y72" s="542"/>
    </row>
    <row r="73" spans="23:26">
      <c r="Y73" s="542"/>
    </row>
    <row r="74" spans="23:26">
      <c r="Y74" s="542"/>
    </row>
    <row r="75" spans="23:26">
      <c r="Y75" s="542"/>
    </row>
    <row r="76" spans="23:26">
      <c r="Y76" s="542"/>
    </row>
    <row r="77" spans="23:26">
      <c r="Y77" s="542"/>
    </row>
    <row r="78" spans="23:26">
      <c r="Y78" s="542"/>
    </row>
    <row r="79" spans="23:26">
      <c r="Y79" s="542"/>
    </row>
    <row r="80" spans="23:26">
      <c r="Y80" s="542"/>
    </row>
    <row r="81" spans="25:25">
      <c r="Y81" s="542"/>
    </row>
    <row r="82" spans="25:25">
      <c r="Y82" s="542"/>
    </row>
    <row r="83" spans="25:25">
      <c r="Y83" s="542"/>
    </row>
    <row r="84" spans="25:25">
      <c r="Y84" s="542"/>
    </row>
    <row r="85" spans="25:25">
      <c r="Y85" s="542"/>
    </row>
    <row r="86" spans="25:25">
      <c r="Y86" s="542"/>
    </row>
    <row r="87" spans="25:25">
      <c r="Y87" s="542"/>
    </row>
    <row r="88" spans="25:25">
      <c r="Y88" s="542"/>
    </row>
    <row r="89" spans="25:25">
      <c r="Y89" s="542"/>
    </row>
    <row r="90" spans="25:25">
      <c r="Y90" s="542"/>
    </row>
    <row r="91" spans="25:25">
      <c r="Y91" s="542"/>
    </row>
    <row r="92" spans="25:25">
      <c r="Y92" s="542"/>
    </row>
    <row r="93" spans="25:25">
      <c r="Y93" s="542"/>
    </row>
    <row r="94" spans="25:25">
      <c r="Y94" s="542"/>
    </row>
    <row r="95" spans="25:25">
      <c r="Y95" s="542"/>
    </row>
    <row r="96" spans="25:25">
      <c r="Y96" s="542"/>
    </row>
    <row r="97" spans="25:25">
      <c r="Y97" s="542"/>
    </row>
    <row r="98" spans="25:25">
      <c r="Y98" s="542"/>
    </row>
    <row r="99" spans="25:25">
      <c r="Y99" s="542"/>
    </row>
    <row r="100" spans="25:25">
      <c r="Y100" s="542"/>
    </row>
    <row r="101" spans="25:25">
      <c r="Y101" s="542"/>
    </row>
    <row r="102" spans="25:25">
      <c r="Y102" s="542"/>
    </row>
    <row r="103" spans="25:25">
      <c r="Y103" s="542"/>
    </row>
    <row r="104" spans="25:25">
      <c r="Y104" s="542"/>
    </row>
    <row r="105" spans="25:25">
      <c r="Y105" s="542"/>
    </row>
    <row r="106" spans="25:25">
      <c r="Y106" s="542"/>
    </row>
    <row r="107" spans="25:25">
      <c r="Y107" s="542"/>
    </row>
    <row r="108" spans="25:25">
      <c r="Y108" s="542"/>
    </row>
    <row r="109" spans="25:25">
      <c r="Y109" s="542"/>
    </row>
    <row r="110" spans="25:25">
      <c r="Y110" s="542"/>
    </row>
    <row r="111" spans="25:25">
      <c r="Y111" s="542"/>
    </row>
    <row r="112" spans="25:25">
      <c r="Y112" s="542"/>
    </row>
    <row r="113" spans="25:25">
      <c r="Y113" s="542"/>
    </row>
    <row r="114" spans="25:25">
      <c r="Y114" s="542"/>
    </row>
    <row r="115" spans="25:25">
      <c r="Y115" s="542"/>
    </row>
    <row r="116" spans="25:25">
      <c r="Y116" s="542"/>
    </row>
    <row r="117" spans="25:25">
      <c r="Y117" s="542"/>
    </row>
    <row r="118" spans="25:25">
      <c r="Y118" s="542"/>
    </row>
    <row r="119" spans="25:25">
      <c r="Y119" s="542"/>
    </row>
    <row r="120" spans="25:25">
      <c r="Y120" s="542"/>
    </row>
    <row r="121" spans="25:25">
      <c r="Y121" s="542"/>
    </row>
    <row r="122" spans="25:25">
      <c r="Y122" s="542"/>
    </row>
    <row r="123" spans="25:25">
      <c r="Y123" s="542"/>
    </row>
    <row r="124" spans="25:25">
      <c r="Y124" s="542"/>
    </row>
    <row r="125" spans="25:25">
      <c r="Y125" s="542"/>
    </row>
    <row r="126" spans="25:25">
      <c r="Y126" s="542"/>
    </row>
    <row r="127" spans="25:25">
      <c r="Y127" s="542"/>
    </row>
    <row r="128" spans="25:25">
      <c r="Y128" s="542"/>
    </row>
    <row r="129" spans="25:25">
      <c r="Y129" s="542"/>
    </row>
    <row r="130" spans="25:25">
      <c r="Y130" s="542"/>
    </row>
    <row r="131" spans="25:25">
      <c r="Y131" s="542"/>
    </row>
    <row r="132" spans="25:25">
      <c r="Y132" s="542"/>
    </row>
    <row r="133" spans="25:25">
      <c r="Y133" s="542"/>
    </row>
    <row r="134" spans="25:25">
      <c r="Y134" s="542"/>
    </row>
    <row r="135" spans="25:25">
      <c r="Y135" s="542"/>
    </row>
    <row r="136" spans="25:25">
      <c r="Y136" s="542"/>
    </row>
    <row r="137" spans="25:25">
      <c r="Y137" s="542"/>
    </row>
    <row r="138" spans="25:25">
      <c r="Y138" s="542"/>
    </row>
    <row r="139" spans="25:25">
      <c r="Y139" s="542"/>
    </row>
    <row r="140" spans="25:25">
      <c r="Y140" s="542"/>
    </row>
    <row r="141" spans="25:25">
      <c r="Y141" s="542"/>
    </row>
    <row r="142" spans="25:25">
      <c r="Y142" s="542"/>
    </row>
    <row r="143" spans="25:25">
      <c r="Y143" s="542"/>
    </row>
    <row r="144" spans="25:25">
      <c r="Y144" s="542"/>
    </row>
    <row r="145" spans="25:25">
      <c r="Y145" s="542"/>
    </row>
    <row r="146" spans="25:25">
      <c r="Y146" s="542"/>
    </row>
    <row r="147" spans="25:25">
      <c r="Y147" s="542"/>
    </row>
    <row r="148" spans="25:25">
      <c r="Y148" s="542"/>
    </row>
    <row r="149" spans="25:25">
      <c r="Y149" s="542"/>
    </row>
    <row r="150" spans="25:25">
      <c r="Y150" s="542"/>
    </row>
    <row r="151" spans="25:25">
      <c r="Y151" s="542"/>
    </row>
    <row r="152" spans="25:25">
      <c r="Y152" s="542"/>
    </row>
    <row r="153" spans="25:25">
      <c r="Y153" s="542"/>
    </row>
    <row r="154" spans="25:25">
      <c r="Y154" s="542"/>
    </row>
    <row r="155" spans="25:25">
      <c r="Y155" s="542"/>
    </row>
    <row r="156" spans="25:25">
      <c r="Y156" s="542"/>
    </row>
    <row r="157" spans="25:25">
      <c r="Y157" s="542"/>
    </row>
    <row r="158" spans="25:25">
      <c r="Y158" s="542"/>
    </row>
    <row r="159" spans="25:25">
      <c r="Y159" s="542"/>
    </row>
    <row r="160" spans="25:25">
      <c r="Y160" s="542"/>
    </row>
    <row r="161" spans="25:25">
      <c r="Y161" s="542"/>
    </row>
    <row r="162" spans="25:25">
      <c r="Y162" s="542"/>
    </row>
    <row r="163" spans="25:25">
      <c r="Y163" s="542"/>
    </row>
    <row r="164" spans="25:25">
      <c r="Y164" s="542"/>
    </row>
    <row r="165" spans="25:25">
      <c r="Y165" s="542"/>
    </row>
    <row r="166" spans="25:25">
      <c r="Y166" s="542"/>
    </row>
    <row r="167" spans="25:25">
      <c r="Y167" s="542"/>
    </row>
    <row r="168" spans="25:25">
      <c r="Y168" s="542"/>
    </row>
    <row r="169" spans="25:25">
      <c r="Y169" s="542"/>
    </row>
    <row r="170" spans="25:25">
      <c r="Y170" s="542"/>
    </row>
    <row r="171" spans="25:25">
      <c r="Y171" s="542"/>
    </row>
    <row r="172" spans="25:25">
      <c r="Y172" s="542"/>
    </row>
    <row r="173" spans="25:25">
      <c r="Y173" s="542"/>
    </row>
    <row r="174" spans="25:25">
      <c r="Y174" s="542"/>
    </row>
    <row r="175" spans="25:25">
      <c r="Y175" s="542"/>
    </row>
    <row r="176" spans="25:25">
      <c r="Y176" s="542"/>
    </row>
    <row r="177" spans="25:25">
      <c r="Y177" s="542"/>
    </row>
    <row r="178" spans="25:25">
      <c r="Y178" s="542"/>
    </row>
    <row r="179" spans="25:25">
      <c r="Y179" s="542"/>
    </row>
    <row r="180" spans="25:25">
      <c r="Y180" s="542"/>
    </row>
    <row r="181" spans="25:25">
      <c r="Y181" s="542"/>
    </row>
    <row r="182" spans="25:25">
      <c r="Y182" s="542"/>
    </row>
    <row r="183" spans="25:25">
      <c r="Y183" s="542"/>
    </row>
    <row r="184" spans="25:25">
      <c r="Y184" s="542"/>
    </row>
    <row r="185" spans="25:25">
      <c r="Y185" s="542"/>
    </row>
    <row r="186" spans="25:25">
      <c r="Y186" s="542"/>
    </row>
    <row r="187" spans="25:25">
      <c r="Y187" s="542"/>
    </row>
    <row r="188" spans="25:25">
      <c r="Y188" s="542"/>
    </row>
    <row r="189" spans="25:25">
      <c r="Y189" s="542"/>
    </row>
    <row r="190" spans="25:25">
      <c r="Y190" s="542"/>
    </row>
    <row r="191" spans="25:25">
      <c r="Y191" s="542"/>
    </row>
    <row r="192" spans="25:25">
      <c r="Y192" s="542"/>
    </row>
    <row r="193" spans="25:25">
      <c r="Y193" s="542"/>
    </row>
    <row r="194" spans="25:25">
      <c r="Y194" s="542"/>
    </row>
    <row r="195" spans="25:25">
      <c r="Y195" s="542"/>
    </row>
    <row r="196" spans="25:25">
      <c r="Y196" s="542"/>
    </row>
    <row r="197" spans="25:25">
      <c r="Y197" s="542"/>
    </row>
    <row r="198" spans="25:25">
      <c r="Y198" s="542"/>
    </row>
    <row r="199" spans="25:25">
      <c r="Y199" s="542"/>
    </row>
    <row r="200" spans="25:25">
      <c r="Y200" s="542"/>
    </row>
    <row r="201" spans="25:25">
      <c r="Y201" s="542"/>
    </row>
    <row r="202" spans="25:25">
      <c r="Y202" s="542"/>
    </row>
    <row r="203" spans="25:25">
      <c r="Y203" s="542"/>
    </row>
    <row r="204" spans="25:25">
      <c r="Y204" s="542"/>
    </row>
    <row r="205" spans="25:25">
      <c r="Y205" s="542"/>
    </row>
    <row r="206" spans="25:25">
      <c r="Y206" s="542"/>
    </row>
    <row r="207" spans="25:25">
      <c r="Y207" s="542"/>
    </row>
    <row r="208" spans="25:25">
      <c r="Y208" s="542"/>
    </row>
    <row r="209" spans="25:25">
      <c r="Y209" s="542"/>
    </row>
    <row r="210" spans="25:25">
      <c r="Y210" s="542"/>
    </row>
    <row r="211" spans="25:25">
      <c r="Y211" s="542"/>
    </row>
    <row r="212" spans="25:25">
      <c r="Y212" s="542"/>
    </row>
    <row r="213" spans="25:25">
      <c r="Y213" s="542"/>
    </row>
    <row r="214" spans="25:25">
      <c r="Y214" s="542"/>
    </row>
    <row r="215" spans="25:25">
      <c r="Y215" s="542"/>
    </row>
    <row r="216" spans="25:25">
      <c r="Y216" s="542"/>
    </row>
    <row r="217" spans="25:25">
      <c r="Y217" s="542"/>
    </row>
    <row r="218" spans="25:25">
      <c r="Y218" s="542"/>
    </row>
    <row r="219" spans="25:25">
      <c r="Y219" s="542"/>
    </row>
    <row r="220" spans="25:25">
      <c r="Y220" s="542"/>
    </row>
    <row r="221" spans="25:25">
      <c r="Y221" s="542"/>
    </row>
    <row r="222" spans="25:25">
      <c r="Y222" s="542"/>
    </row>
    <row r="223" spans="25:25">
      <c r="Y223" s="542"/>
    </row>
    <row r="224" spans="25:25">
      <c r="Y224" s="542"/>
    </row>
    <row r="225" spans="25:25">
      <c r="Y225" s="542"/>
    </row>
    <row r="226" spans="25:25">
      <c r="Y226" s="542"/>
    </row>
    <row r="227" spans="25:25">
      <c r="Y227" s="542"/>
    </row>
    <row r="228" spans="25:25">
      <c r="Y228" s="542"/>
    </row>
    <row r="229" spans="25:25">
      <c r="Y229" s="542"/>
    </row>
    <row r="230" spans="25:25">
      <c r="Y230" s="542"/>
    </row>
    <row r="231" spans="25:25">
      <c r="Y231" s="542"/>
    </row>
    <row r="232" spans="25:25">
      <c r="Y232" s="542"/>
    </row>
    <row r="233" spans="25:25">
      <c r="Y233" s="542"/>
    </row>
    <row r="234" spans="25:25">
      <c r="Y234" s="542"/>
    </row>
    <row r="235" spans="25:25">
      <c r="Y235" s="542"/>
    </row>
    <row r="236" spans="25:25">
      <c r="Y236" s="542"/>
    </row>
    <row r="237" spans="25:25">
      <c r="Y237" s="542"/>
    </row>
    <row r="238" spans="25:25">
      <c r="Y238" s="542"/>
    </row>
    <row r="239" spans="25:25">
      <c r="Y239" s="542"/>
    </row>
    <row r="240" spans="25:25">
      <c r="Y240" s="542"/>
    </row>
    <row r="241" spans="25:25">
      <c r="Y241" s="542"/>
    </row>
    <row r="242" spans="25:25">
      <c r="Y242" s="542"/>
    </row>
    <row r="243" spans="25:25">
      <c r="Y243" s="542"/>
    </row>
    <row r="244" spans="25:25">
      <c r="Y244" s="542"/>
    </row>
    <row r="245" spans="25:25">
      <c r="Y245" s="542"/>
    </row>
    <row r="246" spans="25:25">
      <c r="Y246" s="542"/>
    </row>
  </sheetData>
  <mergeCells count="1">
    <mergeCell ref="Y7:Z7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2:Z71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1" width="10.7109375" style="271" customWidth="1"/>
    <col min="22" max="23" width="10.7109375" style="7" customWidth="1"/>
    <col min="24" max="25" width="12.85546875" style="7" bestFit="1" customWidth="1"/>
    <col min="26" max="26" width="10.7109375" style="7" customWidth="1"/>
    <col min="27" max="16384" width="9.140625" style="7"/>
  </cols>
  <sheetData>
    <row r="2" spans="1:26" ht="18.75">
      <c r="A2" s="303" t="s">
        <v>639</v>
      </c>
      <c r="B2" s="738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6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6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6" ht="14.25" thickBot="1">
      <c r="A5" s="99" t="s">
        <v>5</v>
      </c>
      <c r="B5" s="320"/>
      <c r="C5" s="9">
        <v>2001</v>
      </c>
      <c r="D5" s="9">
        <v>2002</v>
      </c>
      <c r="E5" s="9">
        <v>2003</v>
      </c>
      <c r="F5" s="9">
        <v>2004</v>
      </c>
      <c r="G5" s="9">
        <v>2005</v>
      </c>
      <c r="H5" s="9">
        <v>2006</v>
      </c>
      <c r="I5" s="9">
        <v>2007</v>
      </c>
      <c r="J5" s="9">
        <v>2008</v>
      </c>
      <c r="K5" s="9">
        <v>2009</v>
      </c>
      <c r="L5" s="9">
        <v>2010</v>
      </c>
      <c r="M5" s="9">
        <v>2011</v>
      </c>
      <c r="N5" s="9">
        <v>2012</v>
      </c>
      <c r="O5" s="9">
        <v>2013</v>
      </c>
      <c r="P5" s="9">
        <v>2014</v>
      </c>
      <c r="Q5" s="9">
        <v>2015</v>
      </c>
      <c r="R5" s="9">
        <v>2016</v>
      </c>
      <c r="S5" s="9">
        <v>2017</v>
      </c>
      <c r="T5" s="9">
        <v>2018</v>
      </c>
      <c r="U5" s="9">
        <v>2019</v>
      </c>
      <c r="V5" s="9">
        <v>2020</v>
      </c>
      <c r="X5" s="523" t="s">
        <v>128</v>
      </c>
      <c r="Y5" s="1360" t="s">
        <v>212</v>
      </c>
      <c r="Z5" s="1360"/>
    </row>
    <row r="6" spans="1:26" ht="13.5">
      <c r="A6" s="291"/>
      <c r="B6" s="31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X6" s="523"/>
      <c r="Y6" s="523"/>
      <c r="Z6" s="523"/>
    </row>
    <row r="7" spans="1:26" ht="12.75" customHeight="1" outlineLevel="1">
      <c r="A7" s="291"/>
      <c r="B7" s="285" t="s">
        <v>205</v>
      </c>
      <c r="C7" s="312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32"/>
      <c r="Y7" s="532"/>
      <c r="Z7" s="616"/>
    </row>
    <row r="8" spans="1:26" s="271" customFormat="1" ht="12.75" customHeight="1" outlineLevel="1">
      <c r="A8" s="331" t="s">
        <v>206</v>
      </c>
      <c r="B8" s="286">
        <v>1</v>
      </c>
      <c r="C8" s="283">
        <f>$B$8*'Maine Hydro'!F123</f>
        <v>44562.11915004094</v>
      </c>
      <c r="D8" s="283">
        <f>$B$8*'Maine Hydro'!G123</f>
        <v>25627.084094750706</v>
      </c>
      <c r="E8" s="283">
        <f>$B$8*'Maine Hydro'!H123</f>
        <v>25831.597672457989</v>
      </c>
      <c r="F8" s="283">
        <f>$B$8*'Maine Hydro'!I123</f>
        <v>29171.914403622377</v>
      </c>
      <c r="G8" s="283">
        <f>$B$8*'Maine Hydro'!J123</f>
        <v>33474.657428877559</v>
      </c>
      <c r="H8" s="283">
        <f>$B$8*'Maine Hydro'!K123</f>
        <v>37657.813960159612</v>
      </c>
      <c r="I8" s="283">
        <f>$B$8*'Maine Hydro'!L123</f>
        <v>41714.429619127011</v>
      </c>
      <c r="J8" s="283">
        <f>$B$8*'Maine Hydro'!M123</f>
        <v>45653.548918122382</v>
      </c>
      <c r="K8" s="283">
        <f>$B$8*'Maine Hydro'!N123</f>
        <v>48475.01209810537</v>
      </c>
      <c r="L8" s="283">
        <f>$B$8*'Maine Hydro'!O123</f>
        <v>51073.023507112986</v>
      </c>
      <c r="M8" s="283">
        <f>$B$8*'Maine Hydro'!P123</f>
        <v>53968.833938219024</v>
      </c>
      <c r="N8" s="283">
        <f>$B$8*'Maine Hydro'!Q123</f>
        <v>56861.948960961847</v>
      </c>
      <c r="O8" s="283">
        <f>$B$8*'Maine Hydro'!R123</f>
        <v>59737.833483609393</v>
      </c>
      <c r="P8" s="283">
        <f>$B$8*'Maine Hydro'!S123</f>
        <v>62610.909303751425</v>
      </c>
      <c r="Q8" s="283">
        <f>$B$8*'Maine Hydro'!T123</f>
        <v>65450.403602736413</v>
      </c>
      <c r="R8" s="283">
        <f>$B$8*'Maine Hydro'!U123</f>
        <v>67882.610472339074</v>
      </c>
      <c r="S8" s="283">
        <f>$B$8*'Maine Hydro'!V123</f>
        <v>70296.909536969528</v>
      </c>
      <c r="T8" s="283">
        <f>$B$8*'Maine Hydro'!W123</f>
        <v>72707.666110740538</v>
      </c>
      <c r="U8" s="283">
        <f>$B$8*'Maine Hydro'!X123</f>
        <v>75100.275448390967</v>
      </c>
      <c r="V8" s="283">
        <f>$B$8*'Maine Hydro'!Y123</f>
        <v>77489.089086565757</v>
      </c>
      <c r="W8" s="8"/>
      <c r="X8" s="525"/>
      <c r="Y8" s="527"/>
      <c r="Z8" s="609"/>
    </row>
    <row r="9" spans="1:26" s="271" customFormat="1" ht="12.75" customHeight="1" outlineLevel="1">
      <c r="A9" s="331" t="s">
        <v>207</v>
      </c>
      <c r="B9" s="286">
        <v>1</v>
      </c>
      <c r="C9" s="283">
        <f>$B$9*'Maine Thermal'!F123</f>
        <v>22128.53881988626</v>
      </c>
      <c r="D9" s="283">
        <f>$B$9*'Maine Thermal'!G123</f>
        <v>11290.63421826074</v>
      </c>
      <c r="E9" s="283">
        <f>$B$9*'Maine Thermal'!H123</f>
        <v>7613.2439759045974</v>
      </c>
      <c r="F9" s="283">
        <f>$B$9*'Maine Thermal'!I123</f>
        <v>9749.515808902981</v>
      </c>
      <c r="G9" s="283">
        <f>$B$9*'Maine Thermal'!J123</f>
        <v>10737.931564272547</v>
      </c>
      <c r="H9" s="283">
        <f>$B$9*'Maine Thermal'!K123</f>
        <v>14897.072657650986</v>
      </c>
      <c r="I9" s="283">
        <f>$B$9*'Maine Thermal'!L123</f>
        <v>16413.357812526832</v>
      </c>
      <c r="J9" s="283">
        <f>$B$9*'Maine Thermal'!M123</f>
        <v>21313.264216421878</v>
      </c>
      <c r="K9" s="283">
        <f>$B$9*'Maine Thermal'!N123</f>
        <v>23197.489974499753</v>
      </c>
      <c r="L9" s="283">
        <f>$B$9*'Maine Thermal'!O123</f>
        <v>24985.831871646413</v>
      </c>
      <c r="M9" s="283">
        <f>$B$9*'Maine Thermal'!P123</f>
        <v>33316.251332875428</v>
      </c>
      <c r="N9" s="283">
        <f>$B$9*'Maine Thermal'!Q123</f>
        <v>38081.395861790283</v>
      </c>
      <c r="O9" s="283">
        <f>$B$9*'Maine Thermal'!R123</f>
        <v>42542.385303287272</v>
      </c>
      <c r="P9" s="283">
        <f>$B$9*'Maine Thermal'!S123</f>
        <v>49342.866077198938</v>
      </c>
      <c r="Q9" s="283">
        <f>$B$9*'Maine Thermal'!T123</f>
        <v>56942.643705740207</v>
      </c>
      <c r="R9" s="283">
        <f>$B$9*'Maine Thermal'!U123</f>
        <v>56991.13899810861</v>
      </c>
      <c r="S9" s="283">
        <f>$B$9*'Maine Thermal'!V123</f>
        <v>54331.215952744766</v>
      </c>
      <c r="T9" s="283">
        <f>$B$9*'Maine Thermal'!W123</f>
        <v>56265.333790815421</v>
      </c>
      <c r="U9" s="283">
        <f>$B$9*'Maine Thermal'!X123</f>
        <v>55700.266384586386</v>
      </c>
      <c r="V9" s="283">
        <f>$B$9*'Maine Thermal'!Y123</f>
        <v>53826.507912296351</v>
      </c>
      <c r="W9" s="8"/>
      <c r="X9" s="525"/>
      <c r="Y9" s="527"/>
      <c r="Z9" s="609"/>
    </row>
    <row r="10" spans="1:26" s="271" customFormat="1" ht="12.75" customHeight="1" outlineLevel="1">
      <c r="A10" s="331" t="s">
        <v>97</v>
      </c>
      <c r="B10" s="286">
        <v>0.99</v>
      </c>
      <c r="C10" s="283">
        <f>$B$10*Lamar!F123</f>
        <v>60398.687102654098</v>
      </c>
      <c r="D10" s="283">
        <f>$B$10*Lamar!G123</f>
        <v>23314.205786489361</v>
      </c>
      <c r="E10" s="283">
        <f>$B$10*Lamar!H123</f>
        <v>28790.307753665733</v>
      </c>
      <c r="F10" s="283">
        <f>$B$10*Lamar!I123</f>
        <v>44833.557715264738</v>
      </c>
      <c r="G10" s="283">
        <f>$B$10*Lamar!J123</f>
        <v>50107.411888469505</v>
      </c>
      <c r="H10" s="283">
        <f>$B$10*Lamar!K123</f>
        <v>54794.089043852473</v>
      </c>
      <c r="I10" s="283">
        <f>$B$10*Lamar!L123</f>
        <v>69589.408729273884</v>
      </c>
      <c r="J10" s="283">
        <f>$B$10*Lamar!M123</f>
        <v>54890.854230522447</v>
      </c>
      <c r="K10" s="283">
        <f>$B$10*Lamar!N123</f>
        <v>44561.424781810354</v>
      </c>
      <c r="L10" s="283">
        <f>$B$10*Lamar!O123</f>
        <v>69363.740858921796</v>
      </c>
      <c r="M10" s="283">
        <f>$B$10*Lamar!P123</f>
        <v>57142.817553185792</v>
      </c>
      <c r="N10" s="283">
        <f>$B$10*Lamar!Q123</f>
        <v>53107.47491769003</v>
      </c>
      <c r="O10" s="283">
        <f>$B$10*Lamar!R123</f>
        <v>76253.9777749723</v>
      </c>
      <c r="P10" s="283">
        <f>$B$10*Lamar!S123</f>
        <v>90372.251336645422</v>
      </c>
      <c r="Q10" s="283">
        <f>$B$10*Lamar!T123</f>
        <v>64718.927300384239</v>
      </c>
      <c r="R10" s="283">
        <f>$B$10*Lamar!U123</f>
        <v>81156.975823122237</v>
      </c>
      <c r="S10" s="283">
        <f>$B$10*Lamar!V123</f>
        <v>66105.22028715082</v>
      </c>
      <c r="T10" s="283">
        <f>$B$10*Lamar!W123</f>
        <v>46697.818213436243</v>
      </c>
      <c r="U10" s="283">
        <f>$B$10*Lamar!X123</f>
        <v>86696.974036176456</v>
      </c>
      <c r="V10" s="283">
        <f>$B$10*Lamar!Y123</f>
        <v>81594.564720474504</v>
      </c>
      <c r="W10" s="8"/>
      <c r="X10" s="525"/>
      <c r="Y10" s="527"/>
      <c r="Z10" s="609"/>
    </row>
    <row r="11" spans="1:26" s="271" customFormat="1" ht="12.75" customHeight="1" outlineLevel="1">
      <c r="A11" s="331" t="s">
        <v>98</v>
      </c>
      <c r="B11" s="286">
        <v>1</v>
      </c>
      <c r="C11" s="283">
        <f>$B$11*'Marcus Hook 50'!F123</f>
        <v>3152.6690740225858</v>
      </c>
      <c r="D11" s="283">
        <f>$B$11*'Marcus Hook 50'!G123</f>
        <v>1380.1882694317449</v>
      </c>
      <c r="E11" s="283">
        <f>$B$11*'Marcus Hook 50'!H123</f>
        <v>1389.2243182663481</v>
      </c>
      <c r="F11" s="283">
        <f>$B$11*'Marcus Hook 50'!I123</f>
        <v>2185.6684242600036</v>
      </c>
      <c r="G11" s="283">
        <f>$B$11*'Marcus Hook 50'!J123</f>
        <v>3427.7336488401752</v>
      </c>
      <c r="H11" s="283">
        <f>$B$11*'Marcus Hook 50'!K123</f>
        <v>3522.4174251911409</v>
      </c>
      <c r="I11" s="283">
        <f>$B$11*'Marcus Hook 50'!L123</f>
        <v>3703.7300707273425</v>
      </c>
      <c r="J11" s="283">
        <f>$B$11*'Marcus Hook 50'!M123</f>
        <v>4498.6688623139789</v>
      </c>
      <c r="K11" s="283">
        <f>$B$11*'Marcus Hook 50'!N123</f>
        <v>4611.5181272171967</v>
      </c>
      <c r="L11" s="283">
        <f>$B$11*'Marcus Hook 50'!O123</f>
        <v>4772.3152614543296</v>
      </c>
      <c r="M11" s="283">
        <f>$B$11*'Marcus Hook 50'!P123</f>
        <v>4640.605047457314</v>
      </c>
      <c r="N11" s="283">
        <f>$B$11*'Marcus Hook 50'!Q123</f>
        <v>4842.1947893016513</v>
      </c>
      <c r="O11" s="283">
        <f>$B$11*'Marcus Hook 50'!R123</f>
        <v>4919.2709611400542</v>
      </c>
      <c r="P11" s="283">
        <f>$B$11*'Marcus Hook 50'!S123</f>
        <v>1562.640680394873</v>
      </c>
      <c r="Q11" s="283">
        <f>$B$11*'Marcus Hook 50'!T123</f>
        <v>1632.4902289660738</v>
      </c>
      <c r="R11" s="283">
        <f>$B$11*'Marcus Hook 50'!U123</f>
        <v>1703.6265262556731</v>
      </c>
      <c r="S11" s="283">
        <f>$B$11*'Marcus Hook 50'!V123</f>
        <v>1774.235650202698</v>
      </c>
      <c r="T11" s="283">
        <f>$B$11*'Marcus Hook 50'!W123</f>
        <v>1850.1243101293962</v>
      </c>
      <c r="U11" s="283">
        <f>$B$11*'Marcus Hook 50'!X123</f>
        <v>0</v>
      </c>
      <c r="V11" s="283">
        <f>$B$11*'Marcus Hook 50'!Y123</f>
        <v>0</v>
      </c>
      <c r="W11" s="8"/>
      <c r="X11" s="525"/>
      <c r="Y11" s="527"/>
      <c r="Z11" s="609"/>
    </row>
    <row r="12" spans="1:26" s="271" customFormat="1" ht="12.75" customHeight="1" outlineLevel="1">
      <c r="A12" s="331" t="s">
        <v>100</v>
      </c>
      <c r="B12" s="286">
        <v>1</v>
      </c>
      <c r="C12" s="283">
        <f>$B$12*Doswell!F123</f>
        <v>58411.425244148413</v>
      </c>
      <c r="D12" s="283">
        <f>$B$12*Doswell!G123</f>
        <v>48780.192284861347</v>
      </c>
      <c r="E12" s="283">
        <f>$B$12*Doswell!H123</f>
        <v>52838.533726303765</v>
      </c>
      <c r="F12" s="283">
        <f>$B$12*Doswell!I123</f>
        <v>58069.720738570424</v>
      </c>
      <c r="G12" s="283">
        <f>$B$12*Doswell!J123</f>
        <v>52796.01762081265</v>
      </c>
      <c r="H12" s="283">
        <f>$B$12*Doswell!K123</f>
        <v>54179.169264409313</v>
      </c>
      <c r="I12" s="283">
        <f>$B$12*Doswell!L123</f>
        <v>20218.447573665369</v>
      </c>
      <c r="J12" s="283">
        <f>$B$12*Doswell!M123</f>
        <v>20995.930686116888</v>
      </c>
      <c r="K12" s="283">
        <f>$B$12*Doswell!N123</f>
        <v>20753.964162664211</v>
      </c>
      <c r="L12" s="283">
        <f>$B$12*Doswell!O123</f>
        <v>20305.645880075652</v>
      </c>
      <c r="M12" s="283">
        <f>$B$12*Doswell!P123</f>
        <v>19835.356944787971</v>
      </c>
      <c r="N12" s="283">
        <f>$B$12*Doswell!Q123</f>
        <v>19360.6395403473</v>
      </c>
      <c r="O12" s="283">
        <f>$B$12*Doswell!R123</f>
        <v>18868.965093796782</v>
      </c>
      <c r="P12" s="283">
        <f>$B$12*Doswell!S123</f>
        <v>18372.401696834175</v>
      </c>
      <c r="Q12" s="283">
        <f>$B$12*Doswell!T123</f>
        <v>17856.312150366735</v>
      </c>
      <c r="R12" s="283">
        <f>$B$12*Doswell!U123</f>
        <v>17333.513944719845</v>
      </c>
      <c r="S12" s="283">
        <f>$B$12*Doswell!V123</f>
        <v>-14548.628050998295</v>
      </c>
      <c r="T12" s="283">
        <f>$B$12*Doswell!W123</f>
        <v>0</v>
      </c>
      <c r="U12" s="283">
        <f>$B$12*Doswell!X123</f>
        <v>0</v>
      </c>
      <c r="V12" s="283">
        <f>$B$12*Doswell!Y123</f>
        <v>0</v>
      </c>
      <c r="W12" s="8"/>
      <c r="X12" s="525"/>
      <c r="Y12" s="527"/>
      <c r="Z12" s="609"/>
    </row>
    <row r="13" spans="1:26" s="271" customFormat="1" ht="12.75" customHeight="1" outlineLevel="1">
      <c r="A13" s="331" t="s">
        <v>115</v>
      </c>
      <c r="B13" s="286">
        <v>1</v>
      </c>
      <c r="C13" s="283">
        <f>$B$13*'Doswell CT'!F123</f>
        <v>1447.6704670851709</v>
      </c>
      <c r="D13" s="283">
        <f>$B$13*'Doswell CT'!G123</f>
        <v>1730.3691819055211</v>
      </c>
      <c r="E13" s="283">
        <f>$B$13*'Doswell CT'!H123</f>
        <v>2371.3094187777024</v>
      </c>
      <c r="F13" s="283">
        <f>$B$13*'Doswell CT'!I123</f>
        <v>2840.3946076114271</v>
      </c>
      <c r="G13" s="283">
        <f>$B$13*'Doswell CT'!J123</f>
        <v>3207.1089580885764</v>
      </c>
      <c r="H13" s="283">
        <f>$B$13*'Doswell CT'!K123</f>
        <v>7949.6444571540314</v>
      </c>
      <c r="I13" s="283">
        <f>$B$13*'Doswell CT'!L123</f>
        <v>8859.025579840818</v>
      </c>
      <c r="J13" s="283">
        <f>$B$13*'Doswell CT'!M123</f>
        <v>8692.8638729532213</v>
      </c>
      <c r="K13" s="283">
        <f>$B$13*'Doswell CT'!N123</f>
        <v>6647.9524518195185</v>
      </c>
      <c r="L13" s="283">
        <f>$B$13*'Doswell CT'!O123</f>
        <v>10239.601902010865</v>
      </c>
      <c r="M13" s="283">
        <f>$B$13*'Doswell CT'!P123</f>
        <v>10564.414648559348</v>
      </c>
      <c r="N13" s="283">
        <f>$B$13*'Doswell CT'!Q123</f>
        <v>10963.612946156158</v>
      </c>
      <c r="O13" s="283">
        <f>$B$13*'Doswell CT'!R123</f>
        <v>11161.431903619177</v>
      </c>
      <c r="P13" s="283">
        <f>$B$13*'Doswell CT'!S123</f>
        <v>11773.686838159741</v>
      </c>
      <c r="Q13" s="283">
        <f>$B$13*'Doswell CT'!T123</f>
        <v>12549.850681807922</v>
      </c>
      <c r="R13" s="283">
        <f>$B$13*'Doswell CT'!U123</f>
        <v>13813.083833574332</v>
      </c>
      <c r="S13" s="283">
        <f>$B$13*'Doswell CT'!V123</f>
        <v>12833.405961492113</v>
      </c>
      <c r="T13" s="283">
        <f>$B$13*'Doswell CT'!W123</f>
        <v>16714.462221352376</v>
      </c>
      <c r="U13" s="283">
        <f>$B$13*'Doswell CT'!X123</f>
        <v>16742.705514962145</v>
      </c>
      <c r="V13" s="283">
        <f>$B$13*'Doswell CT'!Y123</f>
        <v>16872.488352970107</v>
      </c>
      <c r="W13" s="8"/>
      <c r="X13" s="525"/>
      <c r="Y13" s="527"/>
      <c r="Z13" s="609"/>
    </row>
    <row r="14" spans="1:26" s="271" customFormat="1" ht="12.75" customHeight="1" outlineLevel="1">
      <c r="A14" s="331" t="s">
        <v>101</v>
      </c>
      <c r="B14" s="287">
        <v>1</v>
      </c>
      <c r="C14" s="283">
        <f>'FPLE_Wind Annual Summary'!F242</f>
        <v>-55581.408408812094</v>
      </c>
      <c r="D14" s="283">
        <f>'FPLE_Wind Annual Summary'!G242</f>
        <v>-111807.62818858378</v>
      </c>
      <c r="E14" s="283">
        <f>'FPLE_Wind Annual Summary'!H242</f>
        <v>-57204.35796052654</v>
      </c>
      <c r="F14" s="283">
        <f>'FPLE_Wind Annual Summary'!I242</f>
        <v>-24466.432151720859</v>
      </c>
      <c r="G14" s="283">
        <f>'FPLE_Wind Annual Summary'!J242</f>
        <v>-22317.663066032284</v>
      </c>
      <c r="H14" s="283">
        <f>'FPLE_Wind Annual Summary'!K242</f>
        <v>2993.6779061949342</v>
      </c>
      <c r="I14" s="283">
        <f>'FPLE_Wind Annual Summary'!L242</f>
        <v>28236.546390751359</v>
      </c>
      <c r="J14" s="283">
        <f>'FPLE_Wind Annual Summary'!M242</f>
        <v>29194.271375763587</v>
      </c>
      <c r="K14" s="283">
        <f>'FPLE_Wind Annual Summary'!N242</f>
        <v>29964.405350908928</v>
      </c>
      <c r="L14" s="283">
        <f>'FPLE_Wind Annual Summary'!O242</f>
        <v>30933.347666591377</v>
      </c>
      <c r="M14" s="283">
        <f>'FPLE_Wind Annual Summary'!P242</f>
        <v>31427.068040878687</v>
      </c>
      <c r="N14" s="283">
        <f>'FPLE_Wind Annual Summary'!Q242</f>
        <v>32504.000552087648</v>
      </c>
      <c r="O14" s="283">
        <f>'FPLE_Wind Annual Summary'!R242</f>
        <v>33083.49866576754</v>
      </c>
      <c r="P14" s="283">
        <f>'FPLE_Wind Annual Summary'!S242</f>
        <v>31321.489656925278</v>
      </c>
      <c r="Q14" s="283">
        <f>'FPLE_Wind Annual Summary'!T242</f>
        <v>29485.404892447543</v>
      </c>
      <c r="R14" s="283">
        <f>'FPLE_Wind Annual Summary'!U242</f>
        <v>28299.462632396247</v>
      </c>
      <c r="S14" s="283">
        <f>'FPLE_Wind Annual Summary'!V242</f>
        <v>27339.039194677982</v>
      </c>
      <c r="T14" s="283">
        <f>'FPLE_Wind Annual Summary'!W242</f>
        <v>26422.170921231143</v>
      </c>
      <c r="U14" s="283">
        <f>'FPLE_Wind Annual Summary'!X242</f>
        <v>19096.255047830804</v>
      </c>
      <c r="V14" s="283">
        <f>'FPLE_Wind Annual Summary'!Y242</f>
        <v>13111.245162709522</v>
      </c>
      <c r="W14" s="8"/>
      <c r="X14" s="525"/>
      <c r="Y14" s="527"/>
      <c r="Z14" s="609"/>
    </row>
    <row r="15" spans="1:26" s="271" customFormat="1" ht="12.75" customHeight="1" outlineLevel="1">
      <c r="A15" s="331" t="s">
        <v>208</v>
      </c>
      <c r="B15" s="286">
        <v>0.5</v>
      </c>
      <c r="C15" s="283">
        <f>$B$15*'Segs VIII'!F123</f>
        <v>-7924.4072328241564</v>
      </c>
      <c r="D15" s="283">
        <f>$B$15*'Segs VIII'!G123</f>
        <v>-15807.45157251865</v>
      </c>
      <c r="E15" s="283">
        <f>$B$15*'Segs VIII'!H123</f>
        <v>-7708.6709435111898</v>
      </c>
      <c r="F15" s="283">
        <f>$B$15*'Segs VIII'!I123</f>
        <v>-2769.9025661067135</v>
      </c>
      <c r="G15" s="283">
        <f>$B$15*'Segs VIII'!J123</f>
        <v>-2522.9025661067135</v>
      </c>
      <c r="H15" s="283">
        <f>$B$15*'Segs VIII'!K123</f>
        <v>1227.2987169466433</v>
      </c>
      <c r="I15" s="283">
        <f>$B$15*'Segs VIII'!L123</f>
        <v>5071.5</v>
      </c>
      <c r="J15" s="283">
        <f>$B$15*'Segs VIII'!M123</f>
        <v>5037.5</v>
      </c>
      <c r="K15" s="283">
        <f>$B$15*'Segs VIII'!N123</f>
        <v>5107.5</v>
      </c>
      <c r="L15" s="283">
        <f>$B$15*'Segs VIII'!O123</f>
        <v>5204</v>
      </c>
      <c r="M15" s="283">
        <f>$B$15*'Segs VIII'!P123</f>
        <v>5289</v>
      </c>
      <c r="N15" s="283">
        <f>$B$15*'Segs VIII'!Q123</f>
        <v>5352</v>
      </c>
      <c r="O15" s="283">
        <f>$B$15*'Segs VIII'!R123</f>
        <v>5515</v>
      </c>
      <c r="P15" s="283">
        <f>$B$15*'Segs VIII'!S123</f>
        <v>5643.5</v>
      </c>
      <c r="Q15" s="283">
        <f>$B$15*'Segs VIII'!T123</f>
        <v>5781</v>
      </c>
      <c r="R15" s="283">
        <f>$B$15*'Segs VIII'!U123</f>
        <v>5955.5</v>
      </c>
      <c r="S15" s="283">
        <f>$B$15*'Segs VIII'!V123</f>
        <v>6149.5</v>
      </c>
      <c r="T15" s="283">
        <f>$B$15*'Segs VIII'!W123</f>
        <v>6351.5</v>
      </c>
      <c r="U15" s="283">
        <f>$B$15*'Segs VIII'!X123</f>
        <v>6517</v>
      </c>
      <c r="V15" s="283">
        <f>$B$15*'Segs VIII'!Y123</f>
        <v>6624</v>
      </c>
      <c r="W15" s="8"/>
      <c r="X15" s="525"/>
      <c r="Y15" s="527"/>
      <c r="Z15" s="609"/>
    </row>
    <row r="16" spans="1:26" s="271" customFormat="1" ht="12.75" customHeight="1" outlineLevel="1">
      <c r="A16" s="331" t="s">
        <v>209</v>
      </c>
      <c r="B16" s="286">
        <v>0.5</v>
      </c>
      <c r="C16" s="283">
        <f>$B$16*'Segs IX'!F123</f>
        <v>-8992.2507848830664</v>
      </c>
      <c r="D16" s="283">
        <f>$B$16*'Segs IX'!G123</f>
        <v>-17812.901255812907</v>
      </c>
      <c r="E16" s="283">
        <f>$B$16*'Segs IX'!H123</f>
        <v>-8694.9407534877446</v>
      </c>
      <c r="F16" s="283">
        <f>$B$16*'Segs IX'!I123</f>
        <v>-3140.6644520926457</v>
      </c>
      <c r="G16" s="283">
        <f>$B$16*'Segs IX'!J123</f>
        <v>-2867.6644520926457</v>
      </c>
      <c r="H16" s="283">
        <f>$B$16*'Segs IX'!K123</f>
        <v>1358.1677739536772</v>
      </c>
      <c r="I16" s="283">
        <f>$B$16*'Segs IX'!L123</f>
        <v>5682</v>
      </c>
      <c r="J16" s="283">
        <f>$B$16*'Segs IX'!M123</f>
        <v>5678</v>
      </c>
      <c r="K16" s="283">
        <f>$B$16*'Segs IX'!N123</f>
        <v>5779</v>
      </c>
      <c r="L16" s="283">
        <f>$B$16*'Segs IX'!O123</f>
        <v>5907.5</v>
      </c>
      <c r="M16" s="283">
        <f>$B$16*'Segs IX'!P123</f>
        <v>6026.5</v>
      </c>
      <c r="N16" s="283">
        <f>$B$16*'Segs IX'!Q123</f>
        <v>6124</v>
      </c>
      <c r="O16" s="283">
        <f>$B$16*'Segs IX'!R123</f>
        <v>6323</v>
      </c>
      <c r="P16" s="283">
        <f>$B$16*'Segs IX'!S123</f>
        <v>6491.5</v>
      </c>
      <c r="Q16" s="283">
        <f>$B$16*'Segs IX'!T123</f>
        <v>6670</v>
      </c>
      <c r="R16" s="283">
        <f>$B$16*'Segs IX'!U123</f>
        <v>6889</v>
      </c>
      <c r="S16" s="283">
        <f>$B$16*'Segs IX'!V123</f>
        <v>7128.5</v>
      </c>
      <c r="T16" s="283">
        <f>$B$16*'Segs IX'!W123</f>
        <v>7379</v>
      </c>
      <c r="U16" s="283">
        <f>$B$16*'Segs IX'!X123</f>
        <v>7589.5</v>
      </c>
      <c r="V16" s="283">
        <f>$B$16*'Segs IX'!Y123</f>
        <v>7718.5</v>
      </c>
      <c r="W16" s="8"/>
      <c r="X16" s="525"/>
      <c r="Y16" s="527"/>
      <c r="Z16" s="609"/>
    </row>
    <row r="17" spans="1:26" s="281" customFormat="1" ht="12.75" customHeight="1" outlineLevel="1">
      <c r="A17" s="331" t="s">
        <v>210</v>
      </c>
      <c r="B17" s="286">
        <v>0.5</v>
      </c>
      <c r="C17" s="278">
        <f>$B$17*'NELP - Bellingham &amp; Sayreville'!F123</f>
        <v>12934.542789321906</v>
      </c>
      <c r="D17" s="278">
        <f>$B$17*'NELP - Bellingham &amp; Sayreville'!G123</f>
        <v>-13768.919094837165</v>
      </c>
      <c r="E17" s="278">
        <f>$B$17*'NELP - Bellingham &amp; Sayreville'!H123</f>
        <v>1826.8522710539655</v>
      </c>
      <c r="F17" s="278">
        <f>$B$17*'NELP - Bellingham &amp; Sayreville'!I123</f>
        <v>11235.896768114129</v>
      </c>
      <c r="G17" s="278">
        <f>$B$17*'NELP - Bellingham &amp; Sayreville'!J123</f>
        <v>15617.652032851041</v>
      </c>
      <c r="H17" s="278">
        <f>$B$17*'NELP - Bellingham &amp; Sayreville'!K123</f>
        <v>25840.287250927435</v>
      </c>
      <c r="I17" s="278">
        <f>$B$17*'NELP - Bellingham &amp; Sayreville'!L123</f>
        <v>35073.482746118672</v>
      </c>
      <c r="J17" s="278">
        <f>$B$17*'NELP - Bellingham &amp; Sayreville'!M123</f>
        <v>31187.851145745488</v>
      </c>
      <c r="K17" s="278">
        <f>$B$17*'NELP - Bellingham &amp; Sayreville'!N123</f>
        <v>45104.694574317924</v>
      </c>
      <c r="L17" s="278">
        <f>$B$17*'NELP - Bellingham &amp; Sayreville'!O123</f>
        <v>55517.090199218874</v>
      </c>
      <c r="M17" s="278">
        <f>$B$17*'NELP - Bellingham &amp; Sayreville'!P123</f>
        <v>43843.046832454369</v>
      </c>
      <c r="N17" s="278">
        <f>$B$17*'NELP - Bellingham &amp; Sayreville'!Q123</f>
        <v>5145.2712843004447</v>
      </c>
      <c r="O17" s="278">
        <f>$B$17*'NELP - Bellingham &amp; Sayreville'!R123</f>
        <v>6981.440679266223</v>
      </c>
      <c r="P17" s="278">
        <f>$B$17*'NELP - Bellingham &amp; Sayreville'!S123</f>
        <v>23965.726008114118</v>
      </c>
      <c r="Q17" s="278">
        <f>$B$17*'NELP - Bellingham &amp; Sayreville'!T123</f>
        <v>32907.288085121079</v>
      </c>
      <c r="R17" s="278">
        <f>$B$17*'NELP - Bellingham &amp; Sayreville'!U123</f>
        <v>51692.49957132736</v>
      </c>
      <c r="S17" s="278">
        <f>$B$17*'NELP - Bellingham &amp; Sayreville'!V123</f>
        <v>61558.458807947012</v>
      </c>
      <c r="T17" s="278">
        <f>$B$17*'NELP - Bellingham &amp; Sayreville'!W123</f>
        <v>66175.878309589782</v>
      </c>
      <c r="U17" s="278">
        <f>$B$17*'NELP - Bellingham &amp; Sayreville'!X123</f>
        <v>69519.851386753944</v>
      </c>
      <c r="V17" s="278">
        <f>$B$17*'NELP - Bellingham &amp; Sayreville'!Y123</f>
        <v>60944.84516512863</v>
      </c>
      <c r="W17" s="279"/>
      <c r="X17" s="545"/>
      <c r="Y17" s="546"/>
      <c r="Z17" s="609"/>
    </row>
    <row r="18" spans="1:26" s="281" customFormat="1" ht="12.75" customHeight="1" outlineLevel="1">
      <c r="A18" s="331" t="s">
        <v>104</v>
      </c>
      <c r="B18" s="286">
        <v>0.5</v>
      </c>
      <c r="C18" s="511">
        <f>$B$18*Cherokee!F123</f>
        <v>-398.53439687530499</v>
      </c>
      <c r="D18" s="511">
        <f>$B$18*Cherokee!G123</f>
        <v>-1073.9542376114205</v>
      </c>
      <c r="E18" s="511">
        <f>$B$18*Cherokee!H123</f>
        <v>-895.12938744970734</v>
      </c>
      <c r="F18" s="511">
        <f>$B$18*Cherokee!I123</f>
        <v>-416.76905797300287</v>
      </c>
      <c r="G18" s="511">
        <f>$B$18*Cherokee!J123</f>
        <v>831.11853082490188</v>
      </c>
      <c r="H18" s="511">
        <f>$B$18*Cherokee!K123</f>
        <v>2250.0329841746279</v>
      </c>
      <c r="I18" s="511">
        <f>$B$18*Cherokee!L123</f>
        <v>3439.9673719405782</v>
      </c>
      <c r="J18" s="511">
        <f>$B$18*Cherokee!M123</f>
        <v>5672.4212834046939</v>
      </c>
      <c r="K18" s="511">
        <f>$B$18*Cherokee!N123</f>
        <v>7408.2533105303664</v>
      </c>
      <c r="L18" s="511">
        <f>$B$18*Cherokee!O123</f>
        <v>5882.1405689473795</v>
      </c>
      <c r="M18" s="511">
        <f>$B$18*Cherokee!P123</f>
        <v>6965.5082096309525</v>
      </c>
      <c r="N18" s="511">
        <f>$B$18*Cherokee!Q123</f>
        <v>6998.3505660299779</v>
      </c>
      <c r="O18" s="511">
        <f>$B$18*Cherokee!R123</f>
        <v>2375.1724066552019</v>
      </c>
      <c r="P18" s="511">
        <f>$B$18*Cherokee!S123</f>
        <v>2990.9680469947129</v>
      </c>
      <c r="Q18" s="511">
        <f>$B$18*Cherokee!T123</f>
        <v>1879.7422372392325</v>
      </c>
      <c r="R18" s="511">
        <f>$B$18*Cherokee!U123</f>
        <v>2241.4892741904264</v>
      </c>
      <c r="S18" s="511">
        <f>$B$18*Cherokee!V123</f>
        <v>1905.2138889788553</v>
      </c>
      <c r="T18" s="511">
        <f>$B$18*Cherokee!W123</f>
        <v>1294.9103589648407</v>
      </c>
      <c r="U18" s="511">
        <f>$B$18*Cherokee!X123</f>
        <v>0</v>
      </c>
      <c r="V18" s="511">
        <f>$B$18*Cherokee!Y123</f>
        <v>0</v>
      </c>
      <c r="W18" s="279"/>
      <c r="X18" s="545"/>
      <c r="Y18" s="546"/>
      <c r="Z18" s="609"/>
    </row>
    <row r="19" spans="1:26">
      <c r="A19" s="598" t="s">
        <v>256</v>
      </c>
      <c r="B19" s="296"/>
      <c r="C19" s="296">
        <f t="shared" ref="C19:V19" si="0">SUM(C8:C18)</f>
        <v>130139.05182376473</v>
      </c>
      <c r="D19" s="296">
        <f t="shared" si="0"/>
        <v>-48148.180513664505</v>
      </c>
      <c r="E19" s="296">
        <f t="shared" si="0"/>
        <v>46157.970091454918</v>
      </c>
      <c r="F19" s="296">
        <f t="shared" si="0"/>
        <v>127292.90023845286</v>
      </c>
      <c r="G19" s="296">
        <f t="shared" si="0"/>
        <v>142491.40158880531</v>
      </c>
      <c r="H19" s="296">
        <f t="shared" si="0"/>
        <v>206669.67144061491</v>
      </c>
      <c r="I19" s="296">
        <f t="shared" si="0"/>
        <v>238001.8958939719</v>
      </c>
      <c r="J19" s="296">
        <f t="shared" si="0"/>
        <v>232815.17459136457</v>
      </c>
      <c r="K19" s="296">
        <f t="shared" si="0"/>
        <v>241611.21483187363</v>
      </c>
      <c r="L19" s="296">
        <f t="shared" si="0"/>
        <v>284184.23771597963</v>
      </c>
      <c r="M19" s="296">
        <f t="shared" si="0"/>
        <v>273019.40254804894</v>
      </c>
      <c r="N19" s="296">
        <f t="shared" si="0"/>
        <v>239340.88941866535</v>
      </c>
      <c r="O19" s="296">
        <f t="shared" si="0"/>
        <v>267761.97627211397</v>
      </c>
      <c r="P19" s="296">
        <f t="shared" si="0"/>
        <v>304447.93964501866</v>
      </c>
      <c r="Q19" s="296">
        <f t="shared" si="0"/>
        <v>295874.06288480951</v>
      </c>
      <c r="R19" s="296">
        <f t="shared" si="0"/>
        <v>333958.90107603383</v>
      </c>
      <c r="S19" s="296">
        <f t="shared" si="0"/>
        <v>294873.07122916554</v>
      </c>
      <c r="T19" s="296">
        <f t="shared" si="0"/>
        <v>301858.86423625972</v>
      </c>
      <c r="U19" s="296">
        <f t="shared" si="0"/>
        <v>336962.82781870069</v>
      </c>
      <c r="V19" s="296">
        <f t="shared" si="0"/>
        <v>318181.24040014489</v>
      </c>
      <c r="W19" s="317"/>
      <c r="X19" s="525">
        <f>SUM(C19:V19)</f>
        <v>4567494.5132315792</v>
      </c>
      <c r="Y19" s="525">
        <f>SUM('Maine Hydro'!AB123,'Maine Thermal'!AB123,Lamar!AB123,'Marcus Hook 50'!AB123,Doswell!AB123,'Doswell CT'!AB123,'Segs VIII'!AB123,'Segs IX'!AB123,'NELP - Bellingham &amp; Sayreville'!AB123,Cherokee!AB123,'Cerro Gordo'!AB124,'Southwest Mesa'!AB124,Vansycle!AB124,Cameron!AB124,'Pacific Crest'!AB124,'Sky River'!AB124,Ridgetop!AB124,'Green Ridge'!AB124,'Mojave 16-18'!AB124,Morwind!AB124,VG!AB124,'WPP 92'!AB124,'WPP 91-2'!AB124,'WPP 89'!AB124,'WPP 91'!AB124,'WPP 90'!AB124)</f>
        <v>4567494.5132315764</v>
      </c>
      <c r="Z19" s="617">
        <f>X19-Y19</f>
        <v>0</v>
      </c>
    </row>
    <row r="20" spans="1:26">
      <c r="A20" s="598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317"/>
      <c r="X20" s="525"/>
      <c r="Y20" s="525"/>
      <c r="Z20" s="617"/>
    </row>
    <row r="21" spans="1:26">
      <c r="A21" s="598" t="s">
        <v>572</v>
      </c>
      <c r="B21" s="296"/>
      <c r="C21" s="335">
        <f>-SUM('Maine Hydro'!F115,'Maine Thermal'!F115,Lamar!F115,'Marcus Hook 50'!F115,Doswell!F115,'Doswell CT'!F115,'Segs VIII'!F115,'Segs IX'!F115,'NELP - Bellingham &amp; Sayreville'!F115,Cherokee!F115,'Cerro Gordo'!F116,'Southwest Mesa'!F116,Vansycle!F116,Cameron!F116,'Pacific Crest'!F116,'Sky River'!F116,Ridgetop!F116,'Green Ridge'!F116,'Mojave 16-18'!F116,Morwind!F116,VG!F116,'WPP 92'!F116,'WPP 91-2'!F116,'WPP 89'!F116,'WPP 91'!F116,'WPP 90'!F116)</f>
        <v>-28299.016261719644</v>
      </c>
      <c r="D21" s="335">
        <f>-SUM('Maine Hydro'!G115,'Maine Thermal'!G115,Lamar!G115,'Marcus Hook 50'!G115,Doswell!G115,'Doswell CT'!G115,'Segs VIII'!G115,'Segs IX'!G115,'NELP - Bellingham &amp; Sayreville'!G115,Cherokee!G115,'Cerro Gordo'!G116,'Southwest Mesa'!G116,Vansycle!G116,Cameron!G116,'Pacific Crest'!G116,'Sky River'!G116,Ridgetop!G116,'Green Ridge'!G116,'Mojave 16-18'!G116,Morwind!G116,VG!G116,'WPP 92'!G116,'WPP 91-2'!G116,'WPP 89'!G116,'WPP 91'!G116,'WPP 90'!G116)</f>
        <v>-48647.393075631888</v>
      </c>
      <c r="E21" s="335">
        <f>-SUM('Maine Hydro'!H115,'Maine Thermal'!H115,Lamar!H115,'Marcus Hook 50'!H115,Doswell!H115,'Doswell CT'!H115,'Segs VIII'!H115,'Segs IX'!H115,'NELP - Bellingham &amp; Sayreville'!H115,Cherokee!H115,'Cerro Gordo'!H116,'Southwest Mesa'!H116,Vansycle!H116,Cameron!H116,'Pacific Crest'!H116,'Sky River'!H116,Ridgetop!H116,'Green Ridge'!H116,'Mojave 16-18'!H116,Morwind!H116,VG!H116,'WPP 92'!H116,'WPP 91-2'!H116,'WPP 89'!H116,'WPP 91'!H116,'WPP 90'!H116)</f>
        <v>-35652.930703520942</v>
      </c>
      <c r="F21" s="335">
        <f>-SUM('Maine Hydro'!I115,'Maine Thermal'!I115,Lamar!I115,'Marcus Hook 50'!I115,Doswell!I115,'Doswell CT'!I115,'Segs VIII'!I115,'Segs IX'!I115,'NELP - Bellingham &amp; Sayreville'!I115,Cherokee!I115,'Cerro Gordo'!I116,'Southwest Mesa'!I116,Vansycle!I116,Cameron!I116,'Pacific Crest'!I116,'Sky River'!I116,Ridgetop!I116,'Green Ridge'!I116,'Mojave 16-18'!I116,Morwind!I116,VG!I116,'WPP 92'!I116,'WPP 91-2'!I116,'WPP 89'!I116,'WPP 91'!I116,'WPP 90'!I116)</f>
        <v>-27338.353530579861</v>
      </c>
      <c r="G21" s="335">
        <f>-SUM('Maine Hydro'!J115,'Maine Thermal'!J115,Lamar!J115,'Marcus Hook 50'!J115,Doswell!J115,'Doswell CT'!J115,'Segs VIII'!J115,'Segs IX'!J115,'NELP - Bellingham &amp; Sayreville'!J115,Cherokee!J115,'Cerro Gordo'!J116,'Southwest Mesa'!J116,Vansycle!J116,Cameron!J116,'Pacific Crest'!J116,'Sky River'!J116,Ridgetop!J116,'Green Ridge'!J116,'Mojave 16-18'!J116,Morwind!J116,VG!J116,'WPP 92'!J116,'WPP 91-2'!J116,'WPP 89'!J116,'WPP 91'!J116,'WPP 90'!J116)</f>
        <v>-25957.146962477233</v>
      </c>
      <c r="H21" s="335">
        <f>-SUM('Maine Hydro'!K115,'Maine Thermal'!K115,Lamar!K115,'Marcus Hook 50'!K115,Doswell!K115,'Doswell CT'!K115,'Segs VIII'!K115,'Segs IX'!K115,'NELP - Bellingham &amp; Sayreville'!K115,Cherokee!K115,'Cerro Gordo'!K116,'Southwest Mesa'!K116,Vansycle!K116,Cameron!K116,'Pacific Crest'!K116,'Sky River'!K116,Ridgetop!K116,'Green Ridge'!K116,'Mojave 16-18'!K116,Morwind!K116,VG!K116,'WPP 92'!K116,'WPP 91-2'!K116,'WPP 89'!K116,'WPP 91'!K116,'WPP 90'!K116)</f>
        <v>-19581.666038179668</v>
      </c>
      <c r="I21" s="335">
        <f>-SUM('Maine Hydro'!L115,'Maine Thermal'!L115,Lamar!L115,'Marcus Hook 50'!L115,Doswell!L115,'Doswell CT'!L115,'Segs VIII'!L115,'Segs IX'!L115,'NELP - Bellingham &amp; Sayreville'!L115,Cherokee!L115,'Cerro Gordo'!L116,'Southwest Mesa'!L116,Vansycle!L116,Cameron!L116,'Pacific Crest'!L116,'Sky River'!L116,Ridgetop!L116,'Green Ridge'!L116,'Mojave 16-18'!L116,Morwind!L116,VG!L116,'WPP 92'!L116,'WPP 91-2'!L116,'WPP 89'!L116,'WPP 91'!L116,'WPP 90'!L116)</f>
        <v>-13454.335819384274</v>
      </c>
      <c r="J21" s="335">
        <f>-SUM('Maine Hydro'!M115,'Maine Thermal'!M115,Lamar!M115,'Marcus Hook 50'!M115,Doswell!M115,'Doswell CT'!M115,'Segs VIII'!M115,'Segs IX'!M115,'NELP - Bellingham &amp; Sayreville'!M115,Cherokee!M115,'Cerro Gordo'!M116,'Southwest Mesa'!M116,Vansycle!M116,Cameron!M116,'Pacific Crest'!M116,'Sky River'!M116,Ridgetop!M116,'Green Ridge'!M116,'Mojave 16-18'!M116,Morwind!M116,VG!M116,'WPP 92'!M116,'WPP 91-2'!M116,'WPP 89'!M116,'WPP 91'!M116,'WPP 90'!M116)</f>
        <v>-12667.033218528975</v>
      </c>
      <c r="K21" s="335">
        <f>-SUM('Maine Hydro'!N115,'Maine Thermal'!N115,Lamar!N115,'Marcus Hook 50'!N115,Doswell!N115,'Doswell CT'!N115,'Segs VIII'!N115,'Segs IX'!N115,'NELP - Bellingham &amp; Sayreville'!N115,Cherokee!N115,'Cerro Gordo'!N116,'Southwest Mesa'!N116,Vansycle!N116,Cameron!N116,'Pacific Crest'!N116,'Sky River'!N116,Ridgetop!N116,'Green Ridge'!N116,'Mojave 16-18'!N116,Morwind!N116,VG!N116,'WPP 92'!N116,'WPP 91-2'!N116,'WPP 89'!N116,'WPP 91'!N116,'WPP 90'!N116)</f>
        <v>-12537.967218388761</v>
      </c>
      <c r="L21" s="335">
        <f>-SUM('Maine Hydro'!O115,'Maine Thermal'!O115,Lamar!O115,'Marcus Hook 50'!O115,Doswell!O115,'Doswell CT'!O115,'Segs VIII'!O115,'Segs IX'!O115,'NELP - Bellingham &amp; Sayreville'!O115,Cherokee!O115,'Cerro Gordo'!O116,'Southwest Mesa'!O116,Vansycle!O116,Cameron!O116,'Pacific Crest'!O116,'Sky River'!O116,Ridgetop!O116,'Green Ridge'!O116,'Mojave 16-18'!O116,Morwind!O116,VG!O116,'WPP 92'!O116,'WPP 91-2'!O116,'WPP 89'!O116,'WPP 91'!O116,'WPP 90'!O116)</f>
        <v>-12535.816118386425</v>
      </c>
      <c r="M21" s="335">
        <f>-SUM('Maine Hydro'!P115,'Maine Thermal'!P115,Lamar!P115,'Marcus Hook 50'!P115,Doswell!P115,'Doswell CT'!P115,'Segs VIII'!P115,'Segs IX'!P115,'NELP - Bellingham &amp; Sayreville'!P115,Cherokee!P115,'Cerro Gordo'!P116,'Southwest Mesa'!P116,Vansycle!P116,Cameron!P116,'Pacific Crest'!P116,'Sky River'!P116,Ridgetop!P116,'Green Ridge'!P116,'Mojave 16-18'!P116,Morwind!P116,VG!P116,'WPP 92'!P116,'WPP 91-2'!P116,'WPP 89'!P116,'WPP 91'!P116,'WPP 90'!P116)</f>
        <v>-12537.967218388761</v>
      </c>
      <c r="N21" s="335">
        <f>-SUM('Maine Hydro'!Q115,'Maine Thermal'!Q115,Lamar!Q115,'Marcus Hook 50'!Q115,Doswell!Q115,'Doswell CT'!Q115,'Segs VIII'!Q115,'Segs IX'!Q115,'NELP - Bellingham &amp; Sayreville'!Q115,Cherokee!Q115,'Cerro Gordo'!Q116,'Southwest Mesa'!Q116,Vansycle!Q116,Cameron!Q116,'Pacific Crest'!Q116,'Sky River'!Q116,Ridgetop!Q116,'Green Ridge'!Q116,'Mojave 16-18'!Q116,Morwind!Q116,VG!Q116,'WPP 92'!Q116,'WPP 91-2'!Q116,'WPP 89'!Q116,'WPP 91'!Q116,'WPP 90'!Q116)</f>
        <v>-12535.816118386425</v>
      </c>
      <c r="O21" s="335">
        <f>-SUM('Maine Hydro'!R115,'Maine Thermal'!R115,Lamar!R115,'Marcus Hook 50'!R115,Doswell!R115,'Doswell CT'!R115,'Segs VIII'!R115,'Segs IX'!R115,'NELP - Bellingham &amp; Sayreville'!R115,Cherokee!R115,'Cerro Gordo'!R116,'Southwest Mesa'!R116,Vansycle!R116,Cameron!R116,'Pacific Crest'!R116,'Sky River'!R116,Ridgetop!R116,'Green Ridge'!R116,'Mojave 16-18'!R116,Morwind!R116,VG!R116,'WPP 92'!R116,'WPP 91-2'!R116,'WPP 89'!R116,'WPP 91'!R116,'WPP 90'!R116)</f>
        <v>-12537.967218388761</v>
      </c>
      <c r="P21" s="335">
        <f>-SUM('Maine Hydro'!S115,'Maine Thermal'!S115,Lamar!S115,'Marcus Hook 50'!S115,Doswell!S115,'Doswell CT'!S115,'Segs VIII'!S115,'Segs IX'!S115,'NELP - Bellingham &amp; Sayreville'!S115,Cherokee!S115,'Cerro Gordo'!S116,'Southwest Mesa'!S116,Vansycle!S116,Cameron!S116,'Pacific Crest'!S116,'Sky River'!S116,Ridgetop!S116,'Green Ridge'!S116,'Mojave 16-18'!S116,Morwind!S116,VG!S116,'WPP 92'!S116,'WPP 91-2'!S116,'WPP 89'!S116,'WPP 91'!S116,'WPP 90'!S116)</f>
        <v>-12535.816118386425</v>
      </c>
      <c r="Q21" s="335">
        <f>-SUM('Maine Hydro'!T115,'Maine Thermal'!T115,Lamar!T115,'Marcus Hook 50'!T115,Doswell!T115,'Doswell CT'!T115,'Segs VIII'!T115,'Segs IX'!T115,'NELP - Bellingham &amp; Sayreville'!T115,Cherokee!T115,'Cerro Gordo'!T116,'Southwest Mesa'!T116,Vansycle!T116,Cameron!T116,'Pacific Crest'!T116,'Sky River'!T116,Ridgetop!T116,'Green Ridge'!T116,'Mojave 16-18'!T116,Morwind!T116,VG!T116,'WPP 92'!T116,'WPP 91-2'!T116,'WPP 89'!T116,'WPP 91'!T116,'WPP 90'!T116)</f>
        <v>-12537.967218388761</v>
      </c>
      <c r="R21" s="335">
        <f>-SUM('Maine Hydro'!U115,'Maine Thermal'!U115,Lamar!U115,'Marcus Hook 50'!U115,Doswell!U115,'Doswell CT'!U115,'Segs VIII'!U115,'Segs IX'!U115,'NELP - Bellingham &amp; Sayreville'!U115,Cherokee!U115,'Cerro Gordo'!U116,'Southwest Mesa'!U116,Vansycle!U116,Cameron!U116,'Pacific Crest'!U116,'Sky River'!U116,Ridgetop!U116,'Green Ridge'!U116,'Mojave 16-18'!U116,Morwind!U116,VG!U116,'WPP 92'!U116,'WPP 91-2'!U116,'WPP 89'!U116,'WPP 91'!U116,'WPP 90'!U116)</f>
        <v>-11065.936614405638</v>
      </c>
      <c r="S21" s="335">
        <f>-SUM('Maine Hydro'!V115,'Maine Thermal'!V115,Lamar!V115,'Marcus Hook 50'!V115,Doswell!V115,'Doswell CT'!V115,'Segs VIII'!V115,'Segs IX'!V115,'NELP - Bellingham &amp; Sayreville'!V115,Cherokee!V115,'Cerro Gordo'!V116,'Southwest Mesa'!V116,Vansycle!V116,Cameron!V116,'Pacific Crest'!V116,'Sky River'!V116,Ridgetop!V116,'Green Ridge'!V116,'Mojave 16-18'!V116,Morwind!V116,VG!V116,'WPP 92'!V116,'WPP 91-2'!V116,'WPP 89'!V116,'WPP 91'!V116,'WPP 90'!V116)</f>
        <v>-9598.2082104271904</v>
      </c>
      <c r="T21" s="335">
        <f>-SUM('Maine Hydro'!W115,'Maine Thermal'!W115,Lamar!W115,'Marcus Hook 50'!W115,Doswell!W115,'Doswell CT'!W115,'Segs VIII'!W115,'Segs IX'!W115,'NELP - Bellingham &amp; Sayreville'!W115,Cherokee!W115,'Cerro Gordo'!W116,'Southwest Mesa'!W116,Vansycle!W116,Cameron!W116,'Pacific Crest'!W116,'Sky River'!W116,Ridgetop!W116,'Green Ridge'!W116,'Mojave 16-18'!W116,Morwind!W116,VG!W116,'WPP 92'!W116,'WPP 91-2'!W116,'WPP 89'!W116,'WPP 91'!W116,'WPP 90'!W116)</f>
        <v>-7351.7518408383239</v>
      </c>
      <c r="U21" s="335">
        <f>-SUM('Maine Hydro'!X115,'Maine Thermal'!X115,Lamar!X115,'Marcus Hook 50'!X115,Doswell!X115,'Doswell CT'!X115,'Segs VIII'!X115,'Segs IX'!X115,'NELP - Bellingham &amp; Sayreville'!X115,Cherokee!X115,'Cerro Gordo'!X116,'Southwest Mesa'!X116,Vansycle!X116,Cameron!X116,'Pacific Crest'!X116,'Sky River'!X116,Ridgetop!X116,'Green Ridge'!X116,'Mojave 16-18'!X116,Morwind!X116,VG!X116,'WPP 92'!X116,'WPP 91-2'!X116,'WPP 89'!X116,'WPP 91'!X116,'WPP 90'!X116)</f>
        <v>-7077.2280882423347</v>
      </c>
      <c r="V21" s="335">
        <f>-SUM('Maine Hydro'!Y115,'Maine Thermal'!Y115,Lamar!Y115,'Marcus Hook 50'!Y115,Doswell!Y115,'Doswell CT'!Y115,'Segs VIII'!Y115,'Segs IX'!Y115,'NELP - Bellingham &amp; Sayreville'!Y115,Cherokee!Y115,'Cerro Gordo'!Y116,'Southwest Mesa'!Y116,Vansycle!Y116,Cameron!Y116,'Pacific Crest'!Y116,'Sky River'!Y116,Ridgetop!Y116,'Green Ridge'!Y116,'Mojave 16-18'!Y116,Morwind!Y116,VG!Y116,'WPP 92'!Y116,'WPP 91-2'!Y116,'WPP 89'!Y116,'WPP 91'!Y116,'WPP 90'!Y116)</f>
        <v>-7075.641977061643</v>
      </c>
      <c r="W21" s="317"/>
      <c r="X21" s="525">
        <f>SUM(C21:V21)</f>
        <v>-341525.95956971199</v>
      </c>
      <c r="Y21" s="525">
        <f>-SUM('Maine Hydro'!AA115,'Maine Thermal'!AA115,Lamar!AA115,'Marcus Hook 50'!AA115,Doswell!AA115,'Doswell CT'!AA115,'Segs VIII'!AA115,'Segs IX'!AA115,'NELP - Bellingham &amp; Sayreville'!AA115,Cherokee!AA115,'Cerro Gordo'!AA116,'Southwest Mesa'!AA116,Vansycle!AA116,Cameron!AA116,'Pacific Crest'!AA116,'Sky River'!AA116,Ridgetop!AA116,'Green Ridge'!AA116,'Mojave 16-18'!AA116,Morwind!AA116,VG!AA116,'WPP 92'!AA116,'WPP 91-2'!AA116,'WPP 89'!AA116,'WPP 91'!AA116,'WPP 90'!AA116)</f>
        <v>-341525.95956971205</v>
      </c>
      <c r="Z21" s="617">
        <f>X21-Y21</f>
        <v>0</v>
      </c>
    </row>
    <row r="22" spans="1:26" s="281" customFormat="1">
      <c r="A22" s="277"/>
      <c r="B22" s="286"/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279"/>
      <c r="X22" s="545"/>
      <c r="Y22" s="545"/>
      <c r="Z22" s="617"/>
    </row>
    <row r="23" spans="1:26" s="281" customFormat="1">
      <c r="A23" s="4" t="s">
        <v>264</v>
      </c>
      <c r="B23" s="286"/>
      <c r="C23" s="335">
        <f>FPLE_CF!C12</f>
        <v>25861.840802709379</v>
      </c>
      <c r="D23" s="335">
        <f>FPLE_CF!D12</f>
        <v>26242.181333865115</v>
      </c>
      <c r="E23" s="335">
        <f>FPLE_CF!E12</f>
        <v>25700.701317067131</v>
      </c>
      <c r="F23" s="335">
        <f>FPLE_CF!F12</f>
        <v>25203.179520255075</v>
      </c>
      <c r="G23" s="335">
        <f>FPLE_CF!G12</f>
        <v>25241.108558434502</v>
      </c>
      <c r="H23" s="335">
        <f>FPLE_CF!H12</f>
        <v>25357.684644168701</v>
      </c>
      <c r="I23" s="335">
        <f>FPLE_CF!I12</f>
        <v>24537.558009302829</v>
      </c>
      <c r="J23" s="335">
        <f>FPLE_CF!J12</f>
        <v>23715.818635935801</v>
      </c>
      <c r="K23" s="335">
        <f>FPLE_CF!K12</f>
        <v>22396.536552243011</v>
      </c>
      <c r="L23" s="335">
        <f>FPLE_CF!L12</f>
        <v>21455.242143802039</v>
      </c>
      <c r="M23" s="335">
        <f>FPLE_CF!M12</f>
        <v>20207.867562188327</v>
      </c>
      <c r="N23" s="335">
        <f>FPLE_CF!N12</f>
        <v>18865.326678486977</v>
      </c>
      <c r="O23" s="335">
        <f>FPLE_CF!O12</f>
        <v>17523.392600423122</v>
      </c>
      <c r="P23" s="335">
        <f>FPLE_CF!P12</f>
        <v>17699.438125699147</v>
      </c>
      <c r="Q23" s="335">
        <f>FPLE_CF!Q12</f>
        <v>15925.631503276634</v>
      </c>
      <c r="R23" s="335">
        <f>FPLE_CF!R12</f>
        <v>15752.951751480348</v>
      </c>
      <c r="S23" s="335">
        <f>FPLE_CF!S12</f>
        <v>16217.008757022881</v>
      </c>
      <c r="T23" s="335">
        <f>FPLE_CF!T12</f>
        <v>15669.799678290547</v>
      </c>
      <c r="U23" s="335">
        <f>FPLE_CF!U12</f>
        <v>15229.828951736323</v>
      </c>
      <c r="V23" s="335">
        <f>FPLE_CF!V12</f>
        <v>15135.193160610284</v>
      </c>
      <c r="W23" s="279"/>
      <c r="X23" s="525">
        <f>SUM(C23:V23)</f>
        <v>413938.29028699821</v>
      </c>
      <c r="Y23" s="525">
        <f>FPLE_CF!Y12</f>
        <v>413938.29028699821</v>
      </c>
      <c r="Z23" s="617">
        <f>X23-Y23</f>
        <v>0</v>
      </c>
    </row>
    <row r="24" spans="1:26" s="281" customFormat="1">
      <c r="A24" s="277"/>
      <c r="B24" s="286"/>
      <c r="C24" s="335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279"/>
      <c r="X24" s="525"/>
      <c r="Y24" s="525"/>
      <c r="Z24" s="617"/>
    </row>
    <row r="25" spans="1:26" s="281" customFormat="1">
      <c r="A25" s="4" t="s">
        <v>257</v>
      </c>
      <c r="B25" s="286"/>
      <c r="C25" s="335">
        <f>-FPLE_IS!C41</f>
        <v>-138694.11464004187</v>
      </c>
      <c r="D25" s="335">
        <f>-FPLE_IS!D41</f>
        <v>-136355.65270792585</v>
      </c>
      <c r="E25" s="335">
        <f>-FPLE_IS!E41</f>
        <v>-134636.90120949101</v>
      </c>
      <c r="F25" s="335">
        <f>-FPLE_IS!F41</f>
        <v>-132291.99653853496</v>
      </c>
      <c r="G25" s="335">
        <f>-FPLE_IS!G41</f>
        <v>-129466.55102112553</v>
      </c>
      <c r="H25" s="335">
        <f>-FPLE_IS!H41</f>
        <v>-126729.1775439214</v>
      </c>
      <c r="I25" s="335">
        <f>-FPLE_IS!I41</f>
        <v>-123102.03051914653</v>
      </c>
      <c r="J25" s="335">
        <f>-FPLE_IS!J41</f>
        <v>-120057.09743569282</v>
      </c>
      <c r="K25" s="335">
        <f>-FPLE_IS!K41</f>
        <v>-117147.02549204286</v>
      </c>
      <c r="L25" s="335">
        <f>-FPLE_IS!L41</f>
        <v>-113757.44308030055</v>
      </c>
      <c r="M25" s="335">
        <f>-FPLE_IS!M41</f>
        <v>-108767.37655298822</v>
      </c>
      <c r="N25" s="335">
        <f>-FPLE_IS!N41</f>
        <v>-103916.38067145823</v>
      </c>
      <c r="O25" s="335">
        <f>-FPLE_IS!O41</f>
        <v>-98666.036954656636</v>
      </c>
      <c r="P25" s="335">
        <f>-FPLE_IS!P41</f>
        <v>-91321.622204026353</v>
      </c>
      <c r="Q25" s="335">
        <f>-FPLE_IS!Q41</f>
        <v>-81809.959367196541</v>
      </c>
      <c r="R25" s="335">
        <f>-FPLE_IS!R41</f>
        <v>-71818.397556108161</v>
      </c>
      <c r="S25" s="335">
        <f>-FPLE_IS!S41</f>
        <v>-60282.739890601209</v>
      </c>
      <c r="T25" s="335">
        <f>-FPLE_IS!T41</f>
        <v>-50338.548496345436</v>
      </c>
      <c r="U25" s="335">
        <f>-FPLE_IS!U41</f>
        <v>-39740.49426087983</v>
      </c>
      <c r="V25" s="335">
        <f>-FPLE_IS!V41</f>
        <v>-26727.386445925244</v>
      </c>
      <c r="W25" s="279"/>
      <c r="X25" s="525">
        <f>SUM(C25:V25)</f>
        <v>-2005626.9325884096</v>
      </c>
      <c r="Y25" s="525">
        <f>-FPLE_Debt!Z27-FPLE_Debt!Z64</f>
        <v>-2005626.9325884092</v>
      </c>
      <c r="Z25" s="617">
        <f>X25-Y25</f>
        <v>0</v>
      </c>
    </row>
    <row r="26" spans="1:26" s="281" customFormat="1">
      <c r="A26" s="277"/>
      <c r="B26" s="286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9"/>
      <c r="X26" s="545"/>
      <c r="Y26" s="545"/>
      <c r="Z26" s="617"/>
    </row>
    <row r="27" spans="1:26" s="281" customFormat="1">
      <c r="A27" s="509" t="s">
        <v>76</v>
      </c>
      <c r="B27" s="286"/>
      <c r="C27" s="510">
        <f>C19+C21+C23+C25</f>
        <v>-10992.238275287396</v>
      </c>
      <c r="D27" s="510">
        <f t="shared" ref="D27:V27" si="1">D19+D21+D23+D25</f>
        <v>-206909.04496335716</v>
      </c>
      <c r="E27" s="510">
        <f t="shared" si="1"/>
        <v>-98431.160504489904</v>
      </c>
      <c r="F27" s="510">
        <f t="shared" si="1"/>
        <v>-7134.2703104068933</v>
      </c>
      <c r="G27" s="510">
        <f t="shared" si="1"/>
        <v>12308.812163637063</v>
      </c>
      <c r="H27" s="510">
        <f t="shared" si="1"/>
        <v>85716.51250268257</v>
      </c>
      <c r="I27" s="510">
        <f t="shared" si="1"/>
        <v>125983.08756474391</v>
      </c>
      <c r="J27" s="510">
        <f t="shared" si="1"/>
        <v>123806.86257307857</v>
      </c>
      <c r="K27" s="510">
        <f t="shared" si="1"/>
        <v>134322.75867368502</v>
      </c>
      <c r="L27" s="510">
        <f t="shared" si="1"/>
        <v>179346.22066109473</v>
      </c>
      <c r="M27" s="510">
        <f t="shared" si="1"/>
        <v>171921.92633886027</v>
      </c>
      <c r="N27" s="510">
        <f t="shared" si="1"/>
        <v>141754.01930730767</v>
      </c>
      <c r="O27" s="510">
        <f t="shared" si="1"/>
        <v>174081.36469949165</v>
      </c>
      <c r="P27" s="510">
        <f t="shared" si="1"/>
        <v>218289.93944830503</v>
      </c>
      <c r="Q27" s="510">
        <f t="shared" si="1"/>
        <v>217451.76780250086</v>
      </c>
      <c r="R27" s="510">
        <f t="shared" si="1"/>
        <v>266827.51865700039</v>
      </c>
      <c r="S27" s="510">
        <f t="shared" si="1"/>
        <v>241209.13188516005</v>
      </c>
      <c r="T27" s="510">
        <f t="shared" si="1"/>
        <v>259838.36357736649</v>
      </c>
      <c r="U27" s="510">
        <f t="shared" si="1"/>
        <v>305374.93442131486</v>
      </c>
      <c r="V27" s="510">
        <f t="shared" si="1"/>
        <v>299513.40513776831</v>
      </c>
      <c r="W27" s="279"/>
      <c r="X27" s="525">
        <f>SUM(C27:V27)</f>
        <v>2634279.9113604561</v>
      </c>
      <c r="Y27" s="525">
        <f>Y19+Y21+Y23+Y25</f>
        <v>2634279.9113604533</v>
      </c>
      <c r="Z27" s="617">
        <f>X27-Y27</f>
        <v>0</v>
      </c>
    </row>
    <row r="28" spans="1:26" s="281" customFormat="1">
      <c r="A28" s="509"/>
      <c r="B28" s="286"/>
      <c r="C28" s="510"/>
      <c r="D28" s="510"/>
      <c r="E28" s="510"/>
      <c r="F28" s="510"/>
      <c r="G28" s="510"/>
      <c r="H28" s="510"/>
      <c r="I28" s="51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510"/>
      <c r="V28" s="510"/>
      <c r="W28" s="279"/>
      <c r="X28" s="545"/>
      <c r="Y28" s="545"/>
      <c r="Z28" s="617"/>
    </row>
    <row r="29" spans="1:26" s="281" customFormat="1">
      <c r="A29" s="509" t="s">
        <v>262</v>
      </c>
      <c r="B29" s="332">
        <f>FPLE_Debt!E87</f>
        <v>5.3846153846153877E-2</v>
      </c>
      <c r="C29" s="549">
        <f>$B$29*C27</f>
        <v>-591.88975328470633</v>
      </c>
      <c r="D29" s="549">
        <f t="shared" ref="D29:V29" si="2">$B$29*D27</f>
        <v>-11141.256267257699</v>
      </c>
      <c r="E29" s="549">
        <f t="shared" si="2"/>
        <v>-5300.1394117802283</v>
      </c>
      <c r="F29" s="549">
        <f t="shared" si="2"/>
        <v>-384.15301671421753</v>
      </c>
      <c r="G29" s="549">
        <f t="shared" si="2"/>
        <v>662.78219342661146</v>
      </c>
      <c r="H29" s="549">
        <f t="shared" si="2"/>
        <v>4615.5045193752176</v>
      </c>
      <c r="I29" s="549">
        <f t="shared" si="2"/>
        <v>6783.7047150246763</v>
      </c>
      <c r="J29" s="549">
        <f t="shared" si="2"/>
        <v>6666.5233693196196</v>
      </c>
      <c r="K29" s="549">
        <f t="shared" si="2"/>
        <v>7232.7639285830437</v>
      </c>
      <c r="L29" s="549">
        <f t="shared" si="2"/>
        <v>9657.1041894435675</v>
      </c>
      <c r="M29" s="549">
        <f t="shared" si="2"/>
        <v>9257.3344951694053</v>
      </c>
      <c r="N29" s="549">
        <f t="shared" si="2"/>
        <v>7632.908731931956</v>
      </c>
      <c r="O29" s="549">
        <f t="shared" si="2"/>
        <v>9373.6119453572483</v>
      </c>
      <c r="P29" s="549">
        <f t="shared" si="2"/>
        <v>11754.073662601048</v>
      </c>
      <c r="Q29" s="549">
        <f t="shared" si="2"/>
        <v>11708.941343211593</v>
      </c>
      <c r="R29" s="549">
        <f t="shared" si="2"/>
        <v>14367.635619992338</v>
      </c>
      <c r="S29" s="549">
        <f t="shared" si="2"/>
        <v>12988.184024585549</v>
      </c>
      <c r="T29" s="549">
        <f t="shared" si="2"/>
        <v>13991.296500319742</v>
      </c>
      <c r="U29" s="549">
        <f t="shared" si="2"/>
        <v>16443.26569960927</v>
      </c>
      <c r="V29" s="549">
        <f t="shared" si="2"/>
        <v>16127.644892033688</v>
      </c>
      <c r="W29" s="279"/>
      <c r="X29" s="525">
        <f>SUM(C29:V29)</f>
        <v>141845.84138094774</v>
      </c>
      <c r="Y29" s="525">
        <f>Y27*B29</f>
        <v>141845.84138094756</v>
      </c>
      <c r="Z29" s="617">
        <f>X29-Y29</f>
        <v>0</v>
      </c>
    </row>
    <row r="30" spans="1:26" s="281" customFormat="1">
      <c r="A30" s="277"/>
      <c r="B30" s="332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9"/>
      <c r="X30" s="545"/>
      <c r="Y30" s="545"/>
      <c r="Z30" s="617"/>
    </row>
    <row r="31" spans="1:26" s="281" customFormat="1">
      <c r="A31" s="324" t="s">
        <v>258</v>
      </c>
      <c r="B31" s="271"/>
      <c r="C31" s="316">
        <v>0</v>
      </c>
      <c r="D31" s="316">
        <f t="shared" ref="D31:V31" si="3">C35</f>
        <v>591.88975328470633</v>
      </c>
      <c r="E31" s="316">
        <f t="shared" si="3"/>
        <v>11733.146020542405</v>
      </c>
      <c r="F31" s="316">
        <f t="shared" si="3"/>
        <v>17033.285432322635</v>
      </c>
      <c r="G31" s="316">
        <f t="shared" si="3"/>
        <v>17417.438449036854</v>
      </c>
      <c r="H31" s="316">
        <f t="shared" si="3"/>
        <v>16754.656255610244</v>
      </c>
      <c r="I31" s="316">
        <f t="shared" si="3"/>
        <v>12139.151736235026</v>
      </c>
      <c r="J31" s="316">
        <f t="shared" si="3"/>
        <v>5355.4470212103497</v>
      </c>
      <c r="K31" s="316">
        <f t="shared" si="3"/>
        <v>0</v>
      </c>
      <c r="L31" s="316">
        <f t="shared" si="3"/>
        <v>0</v>
      </c>
      <c r="M31" s="316">
        <f t="shared" si="3"/>
        <v>0</v>
      </c>
      <c r="N31" s="316">
        <f t="shared" si="3"/>
        <v>0</v>
      </c>
      <c r="O31" s="316">
        <f>N35</f>
        <v>0</v>
      </c>
      <c r="P31" s="316">
        <f t="shared" si="3"/>
        <v>0</v>
      </c>
      <c r="Q31" s="316">
        <f t="shared" si="3"/>
        <v>0</v>
      </c>
      <c r="R31" s="316">
        <f t="shared" si="3"/>
        <v>0</v>
      </c>
      <c r="S31" s="316">
        <v>0</v>
      </c>
      <c r="T31" s="316">
        <f t="shared" si="3"/>
        <v>0</v>
      </c>
      <c r="U31" s="316">
        <f t="shared" si="3"/>
        <v>0</v>
      </c>
      <c r="V31" s="316">
        <f t="shared" si="3"/>
        <v>0</v>
      </c>
      <c r="W31" s="279"/>
      <c r="X31" s="545"/>
      <c r="Y31" s="545"/>
      <c r="Z31" s="617"/>
    </row>
    <row r="32" spans="1:26" s="281" customFormat="1">
      <c r="A32" s="324" t="s">
        <v>259</v>
      </c>
      <c r="B32" s="271"/>
      <c r="C32" s="319">
        <f t="shared" ref="C32:V32" si="4">IF(C29&lt;0,-C29,0)</f>
        <v>591.88975328470633</v>
      </c>
      <c r="D32" s="319">
        <f t="shared" si="4"/>
        <v>11141.256267257699</v>
      </c>
      <c r="E32" s="319">
        <f t="shared" si="4"/>
        <v>5300.1394117802283</v>
      </c>
      <c r="F32" s="319">
        <f t="shared" si="4"/>
        <v>384.15301671421753</v>
      </c>
      <c r="G32" s="319">
        <f t="shared" si="4"/>
        <v>0</v>
      </c>
      <c r="H32" s="319">
        <f t="shared" si="4"/>
        <v>0</v>
      </c>
      <c r="I32" s="319">
        <f t="shared" si="4"/>
        <v>0</v>
      </c>
      <c r="J32" s="319">
        <f t="shared" si="4"/>
        <v>0</v>
      </c>
      <c r="K32" s="319">
        <f t="shared" si="4"/>
        <v>0</v>
      </c>
      <c r="L32" s="319">
        <f t="shared" si="4"/>
        <v>0</v>
      </c>
      <c r="M32" s="319">
        <f t="shared" si="4"/>
        <v>0</v>
      </c>
      <c r="N32" s="319">
        <f t="shared" si="4"/>
        <v>0</v>
      </c>
      <c r="O32" s="319">
        <f t="shared" si="4"/>
        <v>0</v>
      </c>
      <c r="P32" s="319">
        <f t="shared" si="4"/>
        <v>0</v>
      </c>
      <c r="Q32" s="319">
        <f t="shared" si="4"/>
        <v>0</v>
      </c>
      <c r="R32" s="319">
        <f t="shared" si="4"/>
        <v>0</v>
      </c>
      <c r="S32" s="319">
        <f t="shared" si="4"/>
        <v>0</v>
      </c>
      <c r="T32" s="319">
        <f t="shared" si="4"/>
        <v>0</v>
      </c>
      <c r="U32" s="319">
        <f t="shared" si="4"/>
        <v>0</v>
      </c>
      <c r="V32" s="319">
        <f t="shared" si="4"/>
        <v>0</v>
      </c>
      <c r="W32" s="279"/>
      <c r="X32" s="545"/>
      <c r="Y32" s="545"/>
      <c r="Z32" s="617"/>
    </row>
    <row r="33" spans="1:26" s="281" customFormat="1">
      <c r="A33" s="324" t="s">
        <v>260</v>
      </c>
      <c r="B33" s="271"/>
      <c r="C33" s="329">
        <v>0</v>
      </c>
      <c r="D33" s="329">
        <v>0</v>
      </c>
      <c r="E33" s="329">
        <v>0</v>
      </c>
      <c r="F33" s="329">
        <v>0</v>
      </c>
      <c r="G33" s="329">
        <v>0</v>
      </c>
      <c r="H33" s="329">
        <v>0</v>
      </c>
      <c r="I33" s="329">
        <v>0</v>
      </c>
      <c r="J33" s="329">
        <v>0</v>
      </c>
      <c r="K33" s="329">
        <v>0</v>
      </c>
      <c r="L33" s="329">
        <v>0</v>
      </c>
      <c r="M33" s="329">
        <v>0</v>
      </c>
      <c r="N33" s="329">
        <v>0</v>
      </c>
      <c r="O33" s="329">
        <v>0</v>
      </c>
      <c r="P33" s="329">
        <v>0</v>
      </c>
      <c r="Q33" s="329">
        <v>0</v>
      </c>
      <c r="R33" s="329">
        <v>0</v>
      </c>
      <c r="S33" s="329">
        <v>0</v>
      </c>
      <c r="T33" s="329">
        <v>0</v>
      </c>
      <c r="U33" s="316">
        <f>IF(M32&gt;(SUM(N34:T34)+SUM(M33:T33))*-1,M32-(SUM(M34:T34)+SUM(M33:T33))*-1,0)</f>
        <v>0</v>
      </c>
      <c r="V33" s="316">
        <f>IF(N32&gt;(SUM(O34:U34)+SUM(N33:U33))*-1,N32-(SUM(N34:U34)+SUM(N33:U33))*-1,0)</f>
        <v>0</v>
      </c>
      <c r="W33" s="279"/>
      <c r="X33" s="545"/>
      <c r="Y33" s="545"/>
      <c r="Z33" s="617"/>
    </row>
    <row r="34" spans="1:26" s="281" customFormat="1">
      <c r="A34" s="328" t="s">
        <v>225</v>
      </c>
      <c r="B34" s="271"/>
      <c r="C34" s="330">
        <f t="shared" ref="C34:V34" si="5">IF(C29&lt;0,0,IF(C31&gt;C29,-C29,-C31))</f>
        <v>0</v>
      </c>
      <c r="D34" s="330">
        <f t="shared" si="5"/>
        <v>0</v>
      </c>
      <c r="E34" s="330">
        <f t="shared" si="5"/>
        <v>0</v>
      </c>
      <c r="F34" s="330">
        <f t="shared" si="5"/>
        <v>0</v>
      </c>
      <c r="G34" s="330">
        <f t="shared" si="5"/>
        <v>-662.78219342661146</v>
      </c>
      <c r="H34" s="330">
        <f t="shared" si="5"/>
        <v>-4615.5045193752176</v>
      </c>
      <c r="I34" s="330">
        <f t="shared" si="5"/>
        <v>-6783.7047150246763</v>
      </c>
      <c r="J34" s="330">
        <f t="shared" si="5"/>
        <v>-5355.4470212103497</v>
      </c>
      <c r="K34" s="330">
        <f t="shared" si="5"/>
        <v>0</v>
      </c>
      <c r="L34" s="330">
        <f t="shared" si="5"/>
        <v>0</v>
      </c>
      <c r="M34" s="330">
        <f t="shared" si="5"/>
        <v>0</v>
      </c>
      <c r="N34" s="330">
        <f t="shared" si="5"/>
        <v>0</v>
      </c>
      <c r="O34" s="330">
        <f t="shared" si="5"/>
        <v>0</v>
      </c>
      <c r="P34" s="330">
        <f t="shared" si="5"/>
        <v>0</v>
      </c>
      <c r="Q34" s="330">
        <f t="shared" si="5"/>
        <v>0</v>
      </c>
      <c r="R34" s="330">
        <f t="shared" si="5"/>
        <v>0</v>
      </c>
      <c r="S34" s="330">
        <f t="shared" si="5"/>
        <v>0</v>
      </c>
      <c r="T34" s="330">
        <f t="shared" si="5"/>
        <v>0</v>
      </c>
      <c r="U34" s="330">
        <f t="shared" si="5"/>
        <v>0</v>
      </c>
      <c r="V34" s="330">
        <f t="shared" si="5"/>
        <v>0</v>
      </c>
      <c r="W34" s="279"/>
      <c r="X34" s="545"/>
      <c r="Y34" s="545"/>
      <c r="Z34" s="617"/>
    </row>
    <row r="35" spans="1:26" s="281" customFormat="1">
      <c r="A35" s="328" t="s">
        <v>261</v>
      </c>
      <c r="B35" s="271"/>
      <c r="C35" s="330">
        <f t="shared" ref="C35:V35" si="6">SUM(C31:C34)</f>
        <v>591.88975328470633</v>
      </c>
      <c r="D35" s="330">
        <f t="shared" si="6"/>
        <v>11733.146020542405</v>
      </c>
      <c r="E35" s="330">
        <f t="shared" si="6"/>
        <v>17033.285432322635</v>
      </c>
      <c r="F35" s="330">
        <f t="shared" si="6"/>
        <v>17417.438449036854</v>
      </c>
      <c r="G35" s="330">
        <f t="shared" si="6"/>
        <v>16754.656255610244</v>
      </c>
      <c r="H35" s="330">
        <f t="shared" si="6"/>
        <v>12139.151736235026</v>
      </c>
      <c r="I35" s="330">
        <f t="shared" si="6"/>
        <v>5355.4470212103497</v>
      </c>
      <c r="J35" s="330">
        <f t="shared" si="6"/>
        <v>0</v>
      </c>
      <c r="K35" s="330">
        <f t="shared" si="6"/>
        <v>0</v>
      </c>
      <c r="L35" s="330">
        <f t="shared" si="6"/>
        <v>0</v>
      </c>
      <c r="M35" s="330">
        <f t="shared" si="6"/>
        <v>0</v>
      </c>
      <c r="N35" s="330">
        <f t="shared" si="6"/>
        <v>0</v>
      </c>
      <c r="O35" s="330">
        <f t="shared" si="6"/>
        <v>0</v>
      </c>
      <c r="P35" s="330">
        <f t="shared" si="6"/>
        <v>0</v>
      </c>
      <c r="Q35" s="330">
        <f t="shared" si="6"/>
        <v>0</v>
      </c>
      <c r="R35" s="330">
        <f t="shared" si="6"/>
        <v>0</v>
      </c>
      <c r="S35" s="330">
        <f t="shared" si="6"/>
        <v>0</v>
      </c>
      <c r="T35" s="330">
        <f t="shared" si="6"/>
        <v>0</v>
      </c>
      <c r="U35" s="330">
        <f t="shared" si="6"/>
        <v>0</v>
      </c>
      <c r="V35" s="330">
        <f t="shared" si="6"/>
        <v>0</v>
      </c>
      <c r="W35" s="279"/>
      <c r="X35" s="545"/>
      <c r="Y35" s="545"/>
      <c r="Z35" s="617"/>
    </row>
    <row r="36" spans="1:26" s="281" customFormat="1">
      <c r="A36" s="313"/>
      <c r="B36" s="271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79"/>
      <c r="X36" s="545"/>
      <c r="Y36" s="545"/>
      <c r="Z36" s="617"/>
    </row>
    <row r="37" spans="1:26" ht="16.5" thickBot="1">
      <c r="A37" s="325" t="s">
        <v>221</v>
      </c>
      <c r="B37" s="512"/>
      <c r="C37" s="726">
        <f>IF('NewCo_Summary Output'!$P$8=1,IF(C29&lt;0,0,C29+C34),FPLE_Tax!C29)</f>
        <v>0</v>
      </c>
      <c r="D37" s="726">
        <f>IF('NewCo_Summary Output'!$P$8=1,IF(D29&lt;0,0,D29+D34),FPLE_Tax!D29)</f>
        <v>0</v>
      </c>
      <c r="E37" s="726">
        <f>IF('NewCo_Summary Output'!$P$8=1,IF(E29&lt;0,0,E29+E34),FPLE_Tax!E29)</f>
        <v>0</v>
      </c>
      <c r="F37" s="726">
        <f>IF('NewCo_Summary Output'!$P$8=1,IF(F29&lt;0,0,F29+F34),FPLE_Tax!F29)</f>
        <v>0</v>
      </c>
      <c r="G37" s="726">
        <f>IF('NewCo_Summary Output'!$P$8=1,IF(G29&lt;0,0,G29+G34),FPLE_Tax!G29)</f>
        <v>0</v>
      </c>
      <c r="H37" s="726">
        <f>IF('NewCo_Summary Output'!$P$8=1,IF(H29&lt;0,0,H29+H34),FPLE_Tax!H29)</f>
        <v>0</v>
      </c>
      <c r="I37" s="726">
        <f>IF('NewCo_Summary Output'!$P$8=1,IF(I29&lt;0,0,I29+I34),FPLE_Tax!I29)</f>
        <v>0</v>
      </c>
      <c r="J37" s="726">
        <f>IF('NewCo_Summary Output'!$P$8=1,IF(J29&lt;0,0,J29+J34),FPLE_Tax!J29)</f>
        <v>1311.0763481092699</v>
      </c>
      <c r="K37" s="726">
        <f>IF('NewCo_Summary Output'!$P$8=1,IF(K29&lt;0,0,K29+K34),FPLE_Tax!K29)</f>
        <v>7232.7639285830437</v>
      </c>
      <c r="L37" s="726">
        <f>IF('NewCo_Summary Output'!$P$8=1,IF(L29&lt;0,0,L29+L34),FPLE_Tax!L29)</f>
        <v>9657.1041894435675</v>
      </c>
      <c r="M37" s="726">
        <f>IF('NewCo_Summary Output'!$P$8=1,IF(M29&lt;0,0,M29+M34),FPLE_Tax!M29)</f>
        <v>9257.3344951694053</v>
      </c>
      <c r="N37" s="726">
        <f>IF('NewCo_Summary Output'!$P$8=1,IF(N29&lt;0,0,N29+N34),FPLE_Tax!N29)</f>
        <v>7632.908731931956</v>
      </c>
      <c r="O37" s="726">
        <f>IF('NewCo_Summary Output'!$P$8=1,IF(O29&lt;0,0,O29+O34),FPLE_Tax!O29)</f>
        <v>9373.6119453572483</v>
      </c>
      <c r="P37" s="726">
        <f>IF('NewCo_Summary Output'!$P$8=1,IF(P29&lt;0,0,P29+P34),FPLE_Tax!P29)</f>
        <v>11754.073662601048</v>
      </c>
      <c r="Q37" s="726">
        <f>IF('NewCo_Summary Output'!$P$8=1,IF(Q29&lt;0,0,Q29+Q34),FPLE_Tax!Q29)</f>
        <v>11708.941343211593</v>
      </c>
      <c r="R37" s="726">
        <f>IF('NewCo_Summary Output'!$P$8=1,IF(R29&lt;0,0,R29+R34),FPLE_Tax!R29)</f>
        <v>14367.635619992338</v>
      </c>
      <c r="S37" s="726">
        <f>IF('NewCo_Summary Output'!$P$8=1,IF(S29&lt;0,0,S29+S34),FPLE_Tax!S29)</f>
        <v>12988.184024585549</v>
      </c>
      <c r="T37" s="726">
        <f>IF('NewCo_Summary Output'!$P$8=1,IF(T29&lt;0,0,T29+T34),FPLE_Tax!T29)</f>
        <v>13991.296500319742</v>
      </c>
      <c r="U37" s="726">
        <f>IF('NewCo_Summary Output'!$P$8=1,IF(U29&lt;0,0,U29+U34),FPLE_Tax!U29)</f>
        <v>16443.26569960927</v>
      </c>
      <c r="V37" s="726">
        <f>IF('NewCo_Summary Output'!$P$8=1,IF(V29&lt;0,0,V29+V34),FPLE_Tax!V29)</f>
        <v>16127.644892033688</v>
      </c>
      <c r="W37" s="8"/>
      <c r="X37" s="525">
        <f>SUM(C37:V37)</f>
        <v>141845.84138094774</v>
      </c>
      <c r="Y37" s="525">
        <f>X29</f>
        <v>141845.84138094774</v>
      </c>
      <c r="Z37" s="617">
        <f>X37-Y37</f>
        <v>0</v>
      </c>
    </row>
    <row r="38" spans="1:26">
      <c r="W38" s="8"/>
      <c r="X38" s="548"/>
      <c r="Y38" s="548"/>
      <c r="Z38" s="616"/>
    </row>
    <row r="39" spans="1:26">
      <c r="W39" s="8"/>
      <c r="X39" s="548"/>
      <c r="Y39" s="548"/>
      <c r="Z39" s="616"/>
    </row>
    <row r="40" spans="1:26">
      <c r="A40" s="509" t="s">
        <v>222</v>
      </c>
      <c r="B40" s="332"/>
      <c r="C40" s="510">
        <f>C27-C37</f>
        <v>-10992.238275287396</v>
      </c>
      <c r="D40" s="510">
        <f t="shared" ref="D40:V40" si="7">D27-D37</f>
        <v>-206909.04496335716</v>
      </c>
      <c r="E40" s="510">
        <f t="shared" si="7"/>
        <v>-98431.160504489904</v>
      </c>
      <c r="F40" s="510">
        <f t="shared" si="7"/>
        <v>-7134.2703104068933</v>
      </c>
      <c r="G40" s="510">
        <f t="shared" si="7"/>
        <v>12308.812163637063</v>
      </c>
      <c r="H40" s="510">
        <f t="shared" si="7"/>
        <v>85716.51250268257</v>
      </c>
      <c r="I40" s="510">
        <f t="shared" si="7"/>
        <v>125983.08756474391</v>
      </c>
      <c r="J40" s="510">
        <f t="shared" si="7"/>
        <v>122495.7862249693</v>
      </c>
      <c r="K40" s="510">
        <f t="shared" si="7"/>
        <v>127089.99474510198</v>
      </c>
      <c r="L40" s="510">
        <f t="shared" si="7"/>
        <v>169689.11647165116</v>
      </c>
      <c r="M40" s="510">
        <f t="shared" si="7"/>
        <v>162664.59184369087</v>
      </c>
      <c r="N40" s="510">
        <f t="shared" si="7"/>
        <v>134121.1105753757</v>
      </c>
      <c r="O40" s="510">
        <f t="shared" si="7"/>
        <v>164707.75275413439</v>
      </c>
      <c r="P40" s="510">
        <f t="shared" si="7"/>
        <v>206535.86578570399</v>
      </c>
      <c r="Q40" s="510">
        <f t="shared" si="7"/>
        <v>205742.82645928927</v>
      </c>
      <c r="R40" s="510">
        <f t="shared" si="7"/>
        <v>252459.88303700805</v>
      </c>
      <c r="S40" s="510">
        <f t="shared" si="7"/>
        <v>228220.9478605745</v>
      </c>
      <c r="T40" s="510">
        <f t="shared" si="7"/>
        <v>245847.06707704676</v>
      </c>
      <c r="U40" s="510">
        <f t="shared" si="7"/>
        <v>288931.66872170556</v>
      </c>
      <c r="V40" s="510">
        <f t="shared" si="7"/>
        <v>283385.76024573459</v>
      </c>
      <c r="X40" s="525">
        <f>SUM(C40:V40)</f>
        <v>2492434.0699795084</v>
      </c>
      <c r="Y40" s="525">
        <f>Y27-Y37</f>
        <v>2492434.0699795056</v>
      </c>
      <c r="Z40" s="617">
        <f>X40-Y40</f>
        <v>0</v>
      </c>
    </row>
    <row r="41" spans="1:26">
      <c r="A41" s="277"/>
      <c r="B41" s="332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X41" s="548"/>
      <c r="Y41" s="548"/>
      <c r="Z41" s="616"/>
    </row>
    <row r="42" spans="1:26">
      <c r="A42" s="318" t="s">
        <v>223</v>
      </c>
      <c r="B42" s="333">
        <v>0.35</v>
      </c>
      <c r="C42" s="510">
        <f>$B$42*C40</f>
        <v>-3847.2833963505886</v>
      </c>
      <c r="D42" s="510">
        <f t="shared" ref="D42:V42" si="8">$B$42*D40</f>
        <v>-72418.165737175004</v>
      </c>
      <c r="E42" s="510">
        <f t="shared" si="8"/>
        <v>-34450.906176571465</v>
      </c>
      <c r="F42" s="510">
        <f t="shared" si="8"/>
        <v>-2496.9946086424125</v>
      </c>
      <c r="G42" s="510">
        <f t="shared" si="8"/>
        <v>4308.0842572729716</v>
      </c>
      <c r="H42" s="510">
        <f t="shared" si="8"/>
        <v>30000.779375938899</v>
      </c>
      <c r="I42" s="510">
        <f t="shared" si="8"/>
        <v>44094.080647660368</v>
      </c>
      <c r="J42" s="510">
        <f t="shared" si="8"/>
        <v>42873.525178739255</v>
      </c>
      <c r="K42" s="510">
        <f t="shared" si="8"/>
        <v>44481.49816078569</v>
      </c>
      <c r="L42" s="510">
        <f t="shared" si="8"/>
        <v>59391.190765077903</v>
      </c>
      <c r="M42" s="510">
        <f t="shared" si="8"/>
        <v>56932.607145291804</v>
      </c>
      <c r="N42" s="510">
        <f t="shared" si="8"/>
        <v>46942.388701381489</v>
      </c>
      <c r="O42" s="510">
        <f t="shared" si="8"/>
        <v>57647.713463947031</v>
      </c>
      <c r="P42" s="510">
        <f t="shared" si="8"/>
        <v>72287.553024996392</v>
      </c>
      <c r="Q42" s="510">
        <f t="shared" si="8"/>
        <v>72009.989260751245</v>
      </c>
      <c r="R42" s="510">
        <f t="shared" si="8"/>
        <v>88360.95906295281</v>
      </c>
      <c r="S42" s="510">
        <f t="shared" si="8"/>
        <v>79877.331751201069</v>
      </c>
      <c r="T42" s="510">
        <f t="shared" si="8"/>
        <v>86046.473476966363</v>
      </c>
      <c r="U42" s="510">
        <f t="shared" si="8"/>
        <v>101126.08405259694</v>
      </c>
      <c r="V42" s="510">
        <f t="shared" si="8"/>
        <v>99185.016086007105</v>
      </c>
      <c r="X42" s="525">
        <f>SUM(C42:V42)</f>
        <v>872351.92449282797</v>
      </c>
      <c r="Y42" s="525">
        <f>Y40*0.35</f>
        <v>872351.92449282692</v>
      </c>
      <c r="Z42" s="617">
        <f>X42-Y42</f>
        <v>1.0477378964424133E-9</v>
      </c>
    </row>
    <row r="43" spans="1:26">
      <c r="X43" s="548"/>
      <c r="Y43" s="548"/>
      <c r="Z43" s="548"/>
    </row>
    <row r="44" spans="1:26">
      <c r="A44" s="328" t="s">
        <v>564</v>
      </c>
      <c r="C44" s="319">
        <f>IF(C42&lt;0,-C42+C49,C49)</f>
        <v>17072.18569872493</v>
      </c>
      <c r="D44" s="319">
        <f>IF(D42&lt;0,-D42+C44-C45+D49,C44-C45+D49)</f>
        <v>102829.51557813532</v>
      </c>
      <c r="E44" s="319">
        <f t="shared" ref="E44:V44" si="9">IF(E42&lt;0,-E42+D44-D45+E49,D44-D45+E49)</f>
        <v>151190.89357054303</v>
      </c>
      <c r="F44" s="319">
        <f t="shared" si="9"/>
        <v>167182.61248178186</v>
      </c>
      <c r="G44" s="319">
        <f t="shared" si="9"/>
        <v>181019.86111892579</v>
      </c>
      <c r="H44" s="319">
        <f t="shared" si="9"/>
        <v>190821.48552361154</v>
      </c>
      <c r="I44" s="319">
        <f t="shared" si="9"/>
        <v>174953.62680963136</v>
      </c>
      <c r="J44" s="319">
        <f t="shared" si="9"/>
        <v>145170.34698693024</v>
      </c>
      <c r="K44" s="319">
        <f t="shared" si="9"/>
        <v>105922.11068016564</v>
      </c>
      <c r="L44" s="319">
        <f t="shared" si="9"/>
        <v>61440.612519379953</v>
      </c>
      <c r="M44" s="319">
        <f t="shared" si="9"/>
        <v>2049.4217543020495</v>
      </c>
      <c r="N44" s="319">
        <f t="shared" si="9"/>
        <v>0</v>
      </c>
      <c r="O44" s="319">
        <f t="shared" si="9"/>
        <v>0</v>
      </c>
      <c r="P44" s="319">
        <f t="shared" si="9"/>
        <v>0</v>
      </c>
      <c r="Q44" s="319">
        <f t="shared" si="9"/>
        <v>0</v>
      </c>
      <c r="R44" s="319">
        <f t="shared" si="9"/>
        <v>0</v>
      </c>
      <c r="S44" s="319">
        <f t="shared" si="9"/>
        <v>0</v>
      </c>
      <c r="T44" s="319">
        <f t="shared" si="9"/>
        <v>0</v>
      </c>
      <c r="U44" s="319">
        <f t="shared" si="9"/>
        <v>0</v>
      </c>
      <c r="V44" s="319">
        <f t="shared" si="9"/>
        <v>0</v>
      </c>
      <c r="X44" s="548"/>
      <c r="Y44" s="548"/>
      <c r="Z44" s="548"/>
    </row>
    <row r="45" spans="1:26">
      <c r="A45" s="328" t="s">
        <v>225</v>
      </c>
      <c r="C45" s="316">
        <f t="shared" ref="C45:V45" si="10">IF(C42&lt;0,0,IF(C44&gt;C42,C42,C44))</f>
        <v>0</v>
      </c>
      <c r="D45" s="316">
        <f t="shared" si="10"/>
        <v>0</v>
      </c>
      <c r="E45" s="316">
        <f t="shared" si="10"/>
        <v>0</v>
      </c>
      <c r="F45" s="316">
        <f t="shared" si="10"/>
        <v>0</v>
      </c>
      <c r="G45" s="316">
        <f t="shared" si="10"/>
        <v>4308.0842572729716</v>
      </c>
      <c r="H45" s="316">
        <f t="shared" si="10"/>
        <v>30000.779375938899</v>
      </c>
      <c r="I45" s="319">
        <f t="shared" si="10"/>
        <v>44094.080647660368</v>
      </c>
      <c r="J45" s="319">
        <f t="shared" si="10"/>
        <v>42873.525178739255</v>
      </c>
      <c r="K45" s="319">
        <f t="shared" si="10"/>
        <v>44481.49816078569</v>
      </c>
      <c r="L45" s="319">
        <f t="shared" si="10"/>
        <v>59391.190765077903</v>
      </c>
      <c r="M45" s="319">
        <f t="shared" si="10"/>
        <v>2049.4217543020495</v>
      </c>
      <c r="N45" s="319">
        <f t="shared" si="10"/>
        <v>0</v>
      </c>
      <c r="O45" s="319">
        <f t="shared" si="10"/>
        <v>0</v>
      </c>
      <c r="P45" s="319">
        <f t="shared" si="10"/>
        <v>0</v>
      </c>
      <c r="Q45" s="319">
        <f t="shared" si="10"/>
        <v>0</v>
      </c>
      <c r="R45" s="319">
        <f t="shared" si="10"/>
        <v>0</v>
      </c>
      <c r="S45" s="319">
        <f t="shared" si="10"/>
        <v>0</v>
      </c>
      <c r="T45" s="319">
        <f t="shared" si="10"/>
        <v>0</v>
      </c>
      <c r="U45" s="319">
        <f t="shared" si="10"/>
        <v>0</v>
      </c>
      <c r="V45" s="319">
        <f t="shared" si="10"/>
        <v>0</v>
      </c>
      <c r="X45" s="548"/>
      <c r="Y45" s="548"/>
      <c r="Z45" s="548"/>
    </row>
    <row r="46" spans="1:26">
      <c r="C46" s="316"/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X46" s="548"/>
      <c r="Y46" s="548"/>
      <c r="Z46" s="548"/>
    </row>
    <row r="47" spans="1:26" ht="16.5" thickBot="1">
      <c r="A47" s="325" t="s">
        <v>226</v>
      </c>
      <c r="B47" s="512"/>
      <c r="C47" s="727">
        <f>IF('NewCo_Summary Output'!$P$8=1,IF(C42&lt;0,0,(C42-C45)),FPLE_Tax!C42-FPLE_Tax!C49)</f>
        <v>0</v>
      </c>
      <c r="D47" s="727">
        <f>IF('NewCo_Summary Output'!$P$8=1,IF(D42&lt;0,0,(D42-D45)),FPLE_Tax!D42-FPLE_Tax!D49)</f>
        <v>0</v>
      </c>
      <c r="E47" s="727">
        <f>IF('NewCo_Summary Output'!$P$8=1,IF(E42&lt;0,0,(E42-E45)),FPLE_Tax!E42-FPLE_Tax!E49)</f>
        <v>0</v>
      </c>
      <c r="F47" s="727">
        <f>IF('NewCo_Summary Output'!$P$8=1,IF(F42&lt;0,0,(F42-F45)),FPLE_Tax!F42-FPLE_Tax!F49)</f>
        <v>0</v>
      </c>
      <c r="G47" s="727">
        <f>IF('NewCo_Summary Output'!$P$8=1,IF(G42&lt;0,0,(G42-G45)),FPLE_Tax!G42-FPLE_Tax!G49)</f>
        <v>0</v>
      </c>
      <c r="H47" s="727">
        <f>IF('NewCo_Summary Output'!$P$8=1,IF(H42&lt;0,0,(H42-H45)),FPLE_Tax!H42-FPLE_Tax!H49)</f>
        <v>0</v>
      </c>
      <c r="I47" s="727">
        <f>IF('NewCo_Summary Output'!$P$8=1,IF(I42&lt;0,0,(I42-I45)),FPLE_Tax!I42-FPLE_Tax!I49)</f>
        <v>0</v>
      </c>
      <c r="J47" s="727">
        <f>IF('NewCo_Summary Output'!$P$8=1,IF(J42&lt;0,0,(J42-J45)),FPLE_Tax!J42-FPLE_Tax!J49)</f>
        <v>0</v>
      </c>
      <c r="K47" s="727">
        <f>IF('NewCo_Summary Output'!$P$8=1,IF(K42&lt;0,0,(K42-K45)),FPLE_Tax!K42-FPLE_Tax!K49)</f>
        <v>0</v>
      </c>
      <c r="L47" s="727">
        <f>IF('NewCo_Summary Output'!$P$8=1,IF(L42&lt;0,0,(L42-L45)),FPLE_Tax!L42-FPLE_Tax!L49)</f>
        <v>0</v>
      </c>
      <c r="M47" s="727">
        <f>IF('NewCo_Summary Output'!$P$8=1,IF(M42&lt;0,0,(M42-M45)),FPLE_Tax!M42-FPLE_Tax!M49)</f>
        <v>54883.185390989755</v>
      </c>
      <c r="N47" s="727">
        <f>IF('NewCo_Summary Output'!$P$8=1,IF(N42&lt;0,0,(N42-N45)),FPLE_Tax!N42-FPLE_Tax!N49)</f>
        <v>46942.388701381489</v>
      </c>
      <c r="O47" s="727">
        <f>IF('NewCo_Summary Output'!$P$8=1,IF(O42&lt;0,0,(O42-O45)),FPLE_Tax!O42-FPLE_Tax!O49)</f>
        <v>57647.713463947031</v>
      </c>
      <c r="P47" s="727">
        <f>IF('NewCo_Summary Output'!$P$8=1,IF(P42&lt;0,0,(P42-P45)),FPLE_Tax!P42-FPLE_Tax!P49)</f>
        <v>72287.553024996392</v>
      </c>
      <c r="Q47" s="727">
        <f>IF('NewCo_Summary Output'!$P$8=1,IF(Q42&lt;0,0,(Q42-Q45)),FPLE_Tax!Q42-FPLE_Tax!Q49)</f>
        <v>72009.989260751245</v>
      </c>
      <c r="R47" s="727">
        <f>IF('NewCo_Summary Output'!$P$8=1,IF(R42&lt;0,0,(R42-R45)),FPLE_Tax!R42-FPLE_Tax!R49)</f>
        <v>88360.95906295281</v>
      </c>
      <c r="S47" s="727">
        <f>IF('NewCo_Summary Output'!$P$8=1,IF(S42&lt;0,0,(S42-S45)),FPLE_Tax!S42-FPLE_Tax!S49)</f>
        <v>79877.331751201069</v>
      </c>
      <c r="T47" s="727">
        <f>IF('NewCo_Summary Output'!$P$8=1,IF(T42&lt;0,0,(T42-T45)),FPLE_Tax!T42-FPLE_Tax!T49)</f>
        <v>86046.473476966363</v>
      </c>
      <c r="U47" s="727">
        <f>IF('NewCo_Summary Output'!$P$8=1,IF(U42&lt;0,0,(U42-U45)),FPLE_Tax!U42-FPLE_Tax!U49)</f>
        <v>101126.08405259694</v>
      </c>
      <c r="V47" s="727">
        <f>IF('NewCo_Summary Output'!$P$8=1,IF(V42&lt;0,0,(V42-V45)),FPLE_Tax!V42-FPLE_Tax!V49)</f>
        <v>99185.016086007105</v>
      </c>
      <c r="X47" s="525">
        <f>SUM(C47:V47)</f>
        <v>758366.69427179021</v>
      </c>
      <c r="Y47" s="525">
        <f>X42-Y49</f>
        <v>758366.69427179033</v>
      </c>
      <c r="Z47" s="617">
        <f>X47-Y47</f>
        <v>0</v>
      </c>
    </row>
    <row r="48" spans="1:26" ht="13.5" thickTop="1">
      <c r="X48" s="548"/>
      <c r="Y48" s="548"/>
      <c r="Z48" s="548"/>
    </row>
    <row r="49" spans="1:26" ht="15.75">
      <c r="A49" s="550" t="s">
        <v>565</v>
      </c>
      <c r="B49" s="551"/>
      <c r="C49" s="552">
        <f>FPLE_IS!C47</f>
        <v>13224.902302374343</v>
      </c>
      <c r="D49" s="552">
        <f>FPLE_IS!D47</f>
        <v>13339.164142235393</v>
      </c>
      <c r="E49" s="552">
        <f>FPLE_IS!E47</f>
        <v>13910.471815836238</v>
      </c>
      <c r="F49" s="552">
        <f>FPLE_IS!F47</f>
        <v>13494.724302596409</v>
      </c>
      <c r="G49" s="552">
        <f>FPLE_IS!G47</f>
        <v>13837.248637143923</v>
      </c>
      <c r="H49" s="552">
        <f>FPLE_IS!H47</f>
        <v>14109.708661958726</v>
      </c>
      <c r="I49" s="552">
        <f>FPLE_IS!I47</f>
        <v>14132.920661958728</v>
      </c>
      <c r="J49" s="552">
        <f>FPLE_IS!J47</f>
        <v>14310.800824959224</v>
      </c>
      <c r="K49" s="552">
        <f>FPLE_IS!K47</f>
        <v>3625.2888719746588</v>
      </c>
      <c r="L49" s="552">
        <f>FPLE_IS!L47</f>
        <v>0</v>
      </c>
      <c r="M49" s="552">
        <f>FPLE_IS!M47</f>
        <v>0</v>
      </c>
      <c r="N49" s="552">
        <f>FPLE_IS!N47</f>
        <v>0</v>
      </c>
      <c r="O49" s="552">
        <f>FPLE_IS!O47</f>
        <v>0</v>
      </c>
      <c r="P49" s="552">
        <f>FPLE_IS!P47</f>
        <v>0</v>
      </c>
      <c r="Q49" s="552">
        <f>FPLE_IS!Q47</f>
        <v>0</v>
      </c>
      <c r="R49" s="552">
        <f>FPLE_IS!R47</f>
        <v>0</v>
      </c>
      <c r="S49" s="552">
        <f>FPLE_IS!S47</f>
        <v>0</v>
      </c>
      <c r="T49" s="552">
        <f>FPLE_IS!T47</f>
        <v>0</v>
      </c>
      <c r="U49" s="552">
        <f>FPLE_IS!U47</f>
        <v>0</v>
      </c>
      <c r="V49" s="552">
        <f>FPLE_IS!V47</f>
        <v>0</v>
      </c>
      <c r="X49" s="525">
        <f>SUM(C49:V49)</f>
        <v>113985.23022103762</v>
      </c>
      <c r="Y49" s="525">
        <f>FPLE_IS!Y47</f>
        <v>113985.23022103764</v>
      </c>
      <c r="Z49" s="617">
        <f>X49-Y49</f>
        <v>0</v>
      </c>
    </row>
    <row r="50" spans="1:26" ht="12.75" customHeight="1">
      <c r="A50" s="550"/>
      <c r="B50" s="551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X50" s="525"/>
      <c r="Y50" s="525"/>
      <c r="Z50" s="525"/>
    </row>
    <row r="51" spans="1:26" ht="12.75" customHeight="1">
      <c r="A51" s="550"/>
      <c r="B51" s="551"/>
      <c r="C51" s="1216"/>
      <c r="D51" s="1216"/>
      <c r="E51" s="1216"/>
      <c r="F51" s="1216"/>
      <c r="G51" s="1216"/>
      <c r="H51" s="1216"/>
      <c r="I51" s="1216"/>
      <c r="J51" s="1216"/>
      <c r="K51" s="1216"/>
      <c r="L51" s="1216"/>
      <c r="M51" s="1216"/>
      <c r="N51" s="1216"/>
      <c r="O51" s="1216"/>
      <c r="P51" s="1216"/>
      <c r="Q51" s="1216"/>
      <c r="R51" s="1216"/>
      <c r="S51" s="1216"/>
      <c r="T51" s="1216"/>
      <c r="U51" s="1216"/>
      <c r="V51" s="1216"/>
      <c r="X51" s="525"/>
      <c r="Y51" s="525"/>
      <c r="Z51" s="525"/>
    </row>
    <row r="52" spans="1:26" ht="12.75" customHeight="1">
      <c r="A52" s="550"/>
      <c r="B52" s="551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X52" s="525"/>
      <c r="Y52" s="525"/>
      <c r="Z52" s="525"/>
    </row>
    <row r="53" spans="1:26" ht="12.75" customHeight="1">
      <c r="X53" s="548"/>
      <c r="Y53" s="548"/>
      <c r="Z53" s="548"/>
    </row>
    <row r="54" spans="1:26" ht="12.75" customHeight="1"/>
    <row r="55" spans="1:26" ht="15.75">
      <c r="A55" s="1189" t="s">
        <v>641</v>
      </c>
      <c r="D55" s="295"/>
    </row>
    <row r="57" spans="1:26" s="281" customFormat="1">
      <c r="A57" s="509" t="s">
        <v>644</v>
      </c>
      <c r="B57" s="286"/>
      <c r="C57" s="510">
        <f>C27</f>
        <v>-10992.238275287396</v>
      </c>
      <c r="D57" s="510">
        <f t="shared" ref="D57:V57" si="11">D27</f>
        <v>-206909.04496335716</v>
      </c>
      <c r="E57" s="510">
        <f t="shared" si="11"/>
        <v>-98431.160504489904</v>
      </c>
      <c r="F57" s="510">
        <f t="shared" si="11"/>
        <v>-7134.2703104068933</v>
      </c>
      <c r="G57" s="510">
        <f t="shared" si="11"/>
        <v>12308.812163637063</v>
      </c>
      <c r="H57" s="510">
        <f t="shared" si="11"/>
        <v>85716.51250268257</v>
      </c>
      <c r="I57" s="510">
        <f t="shared" si="11"/>
        <v>125983.08756474391</v>
      </c>
      <c r="J57" s="510">
        <f t="shared" si="11"/>
        <v>123806.86257307857</v>
      </c>
      <c r="K57" s="510">
        <f t="shared" si="11"/>
        <v>134322.75867368502</v>
      </c>
      <c r="L57" s="510">
        <f t="shared" si="11"/>
        <v>179346.22066109473</v>
      </c>
      <c r="M57" s="510">
        <f t="shared" si="11"/>
        <v>171921.92633886027</v>
      </c>
      <c r="N57" s="510">
        <f t="shared" si="11"/>
        <v>141754.01930730767</v>
      </c>
      <c r="O57" s="510">
        <f t="shared" si="11"/>
        <v>174081.36469949165</v>
      </c>
      <c r="P57" s="510">
        <f t="shared" si="11"/>
        <v>218289.93944830503</v>
      </c>
      <c r="Q57" s="510">
        <f t="shared" si="11"/>
        <v>217451.76780250086</v>
      </c>
      <c r="R57" s="510">
        <f t="shared" si="11"/>
        <v>266827.51865700039</v>
      </c>
      <c r="S57" s="510">
        <f t="shared" si="11"/>
        <v>241209.13188516005</v>
      </c>
      <c r="T57" s="510">
        <f t="shared" si="11"/>
        <v>259838.36357736649</v>
      </c>
      <c r="U57" s="510">
        <f t="shared" si="11"/>
        <v>305374.93442131486</v>
      </c>
      <c r="V57" s="510">
        <f t="shared" si="11"/>
        <v>299513.40513776831</v>
      </c>
      <c r="W57" s="279"/>
      <c r="X57" s="525">
        <f>SUM(C57:V57)</f>
        <v>2634279.9113604561</v>
      </c>
      <c r="Y57" s="525">
        <f>Y27</f>
        <v>2634279.9113604533</v>
      </c>
      <c r="Z57" s="617">
        <f>X57-Y57</f>
        <v>0</v>
      </c>
    </row>
    <row r="58" spans="1:26" s="281" customFormat="1">
      <c r="A58" s="509"/>
      <c r="B58" s="286"/>
      <c r="C58" s="510"/>
      <c r="D58" s="510"/>
      <c r="E58" s="510"/>
      <c r="F58" s="510"/>
      <c r="G58" s="510"/>
      <c r="H58" s="510"/>
      <c r="I58" s="510"/>
      <c r="J58" s="510"/>
      <c r="K58" s="510"/>
      <c r="L58" s="510"/>
      <c r="M58" s="510"/>
      <c r="N58" s="510"/>
      <c r="O58" s="510"/>
      <c r="P58" s="510"/>
      <c r="Q58" s="510"/>
      <c r="R58" s="510"/>
      <c r="S58" s="510"/>
      <c r="T58" s="510"/>
      <c r="U58" s="510"/>
      <c r="V58" s="510"/>
      <c r="W58" s="279"/>
      <c r="X58" s="525"/>
      <c r="Y58" s="525"/>
      <c r="Z58" s="617"/>
    </row>
    <row r="59" spans="1:26" s="281" customFormat="1">
      <c r="A59" s="4" t="s">
        <v>788</v>
      </c>
      <c r="B59" s="286"/>
      <c r="C59" s="278">
        <f>NewCo_IS!B13*'NewCo_Summary Output'!$C$14</f>
        <v>27650.92540765139</v>
      </c>
      <c r="D59" s="278">
        <f>NewCo_IS!C13*'NewCo_Summary Output'!$C$14</f>
        <v>28480.453169880933</v>
      </c>
      <c r="E59" s="278">
        <f>NewCo_IS!D13*'NewCo_Summary Output'!$C$14</f>
        <v>29334.866764977363</v>
      </c>
      <c r="F59" s="278">
        <f>NewCo_IS!E13*'NewCo_Summary Output'!$C$14</f>
        <v>30214.912767926682</v>
      </c>
      <c r="G59" s="278">
        <f>NewCo_IS!F13*'NewCo_Summary Output'!$C$14</f>
        <v>31121.360150964483</v>
      </c>
      <c r="H59" s="278">
        <f>NewCo_IS!G13*'NewCo_Summary Output'!$C$14</f>
        <v>32055.000955493422</v>
      </c>
      <c r="I59" s="278">
        <f>NewCo_IS!H13*'NewCo_Summary Output'!$C$14</f>
        <v>33016.65098415823</v>
      </c>
      <c r="J59" s="278">
        <f>NewCo_IS!I13*'NewCo_Summary Output'!$C$14</f>
        <v>34007.150513682973</v>
      </c>
      <c r="K59" s="278">
        <f>NewCo_IS!J13*'NewCo_Summary Output'!$C$14</f>
        <v>35027.365029093467</v>
      </c>
      <c r="L59" s="278">
        <f>NewCo_IS!K13*'NewCo_Summary Output'!$C$14</f>
        <v>36078.185979966271</v>
      </c>
      <c r="M59" s="278">
        <f>NewCo_IS!L13*'NewCo_Summary Output'!$C$14</f>
        <v>37160.531559365263</v>
      </c>
      <c r="N59" s="278">
        <f>NewCo_IS!M13*'NewCo_Summary Output'!$C$14</f>
        <v>38275.347506146223</v>
      </c>
      <c r="O59" s="278">
        <f>NewCo_IS!N13*'NewCo_Summary Output'!$C$14</f>
        <v>39423.607931330611</v>
      </c>
      <c r="P59" s="278">
        <f>NewCo_IS!O13*'NewCo_Summary Output'!$C$14</f>
        <v>40606.316169270533</v>
      </c>
      <c r="Q59" s="278">
        <f>NewCo_IS!P13*'NewCo_Summary Output'!$C$14</f>
        <v>41824.50565434865</v>
      </c>
      <c r="R59" s="278">
        <f>NewCo_IS!Q13*'NewCo_Summary Output'!$C$14</f>
        <v>43079.240823979104</v>
      </c>
      <c r="S59" s="278">
        <f>NewCo_IS!R13*'NewCo_Summary Output'!$C$14</f>
        <v>44371.618048698481</v>
      </c>
      <c r="T59" s="278">
        <f>NewCo_IS!S13*'NewCo_Summary Output'!$C$14</f>
        <v>45702.766590159437</v>
      </c>
      <c r="U59" s="278">
        <f>NewCo_IS!T13*'NewCo_Summary Output'!$C$14</f>
        <v>47073.849587864221</v>
      </c>
      <c r="V59" s="278">
        <f>NewCo_IS!U13*'NewCo_Summary Output'!$C$14</f>
        <v>48486.065075500155</v>
      </c>
      <c r="W59" s="279"/>
      <c r="X59" s="525">
        <f>SUM(C59:V59)</f>
        <v>742990.72067045793</v>
      </c>
      <c r="Y59" s="525">
        <f>NewCo_IS!W13*'NewCo_Summary Output'!C14</f>
        <v>742990.72067045781</v>
      </c>
      <c r="Z59" s="617">
        <f>X59-Y59</f>
        <v>0</v>
      </c>
    </row>
    <row r="60" spans="1:26" s="281" customFormat="1">
      <c r="A60" s="509"/>
      <c r="B60" s="286"/>
      <c r="C60" s="510"/>
      <c r="D60" s="510"/>
      <c r="E60" s="510"/>
      <c r="F60" s="510"/>
      <c r="G60" s="510"/>
      <c r="H60" s="510"/>
      <c r="I60" s="510"/>
      <c r="J60" s="510"/>
      <c r="K60" s="510"/>
      <c r="L60" s="510"/>
      <c r="M60" s="510"/>
      <c r="N60" s="510"/>
      <c r="O60" s="510"/>
      <c r="P60" s="510"/>
      <c r="Q60" s="510"/>
      <c r="R60" s="510"/>
      <c r="S60" s="510"/>
      <c r="T60" s="510"/>
      <c r="U60" s="510"/>
      <c r="V60" s="510"/>
      <c r="W60" s="279"/>
      <c r="X60" s="545"/>
      <c r="Y60" s="545"/>
      <c r="Z60" s="617"/>
    </row>
    <row r="61" spans="1:26" s="281" customFormat="1">
      <c r="A61" s="509" t="s">
        <v>76</v>
      </c>
      <c r="B61" s="286"/>
      <c r="C61" s="510">
        <f>C57-C59</f>
        <v>-38643.163682938786</v>
      </c>
      <c r="D61" s="510">
        <f t="shared" ref="D61:V61" si="12">D57-D59</f>
        <v>-235389.49813323808</v>
      </c>
      <c r="E61" s="510">
        <f t="shared" si="12"/>
        <v>-127766.02726946727</v>
      </c>
      <c r="F61" s="510">
        <f t="shared" si="12"/>
        <v>-37349.183078333575</v>
      </c>
      <c r="G61" s="510">
        <f t="shared" si="12"/>
        <v>-18812.54798732742</v>
      </c>
      <c r="H61" s="510">
        <f t="shared" si="12"/>
        <v>53661.511547189148</v>
      </c>
      <c r="I61" s="510">
        <f t="shared" si="12"/>
        <v>92966.43658058568</v>
      </c>
      <c r="J61" s="510">
        <f t="shared" si="12"/>
        <v>89799.712059395591</v>
      </c>
      <c r="K61" s="510">
        <f t="shared" si="12"/>
        <v>99295.393644591561</v>
      </c>
      <c r="L61" s="510">
        <f t="shared" si="12"/>
        <v>143268.03468112845</v>
      </c>
      <c r="M61" s="510">
        <f t="shared" si="12"/>
        <v>134761.39477949502</v>
      </c>
      <c r="N61" s="510">
        <f t="shared" si="12"/>
        <v>103478.67180116144</v>
      </c>
      <c r="O61" s="510">
        <f t="shared" si="12"/>
        <v>134657.75676816102</v>
      </c>
      <c r="P61" s="510">
        <f t="shared" si="12"/>
        <v>177683.62327903451</v>
      </c>
      <c r="Q61" s="510">
        <f t="shared" si="12"/>
        <v>175627.26214815222</v>
      </c>
      <c r="R61" s="510">
        <f t="shared" si="12"/>
        <v>223748.27783302128</v>
      </c>
      <c r="S61" s="510">
        <f t="shared" si="12"/>
        <v>196837.51383646159</v>
      </c>
      <c r="T61" s="510">
        <f t="shared" si="12"/>
        <v>214135.59698720704</v>
      </c>
      <c r="U61" s="510">
        <f t="shared" si="12"/>
        <v>258301.08483345064</v>
      </c>
      <c r="V61" s="510">
        <f t="shared" si="12"/>
        <v>251027.34006226814</v>
      </c>
      <c r="W61" s="279"/>
      <c r="X61" s="545">
        <f>SUM(C61:V61)</f>
        <v>1891289.1906899982</v>
      </c>
      <c r="Y61" s="545">
        <f>Y57-Y59</f>
        <v>1891289.1906899954</v>
      </c>
      <c r="Z61" s="617">
        <f>X61-Y61</f>
        <v>2.7939677238464355E-9</v>
      </c>
    </row>
    <row r="62" spans="1:26" s="281" customFormat="1">
      <c r="A62" s="509"/>
      <c r="B62" s="286"/>
      <c r="C62" s="510"/>
      <c r="D62" s="510"/>
      <c r="E62" s="510"/>
      <c r="F62" s="510"/>
      <c r="G62" s="510"/>
      <c r="H62" s="510"/>
      <c r="I62" s="510"/>
      <c r="J62" s="510"/>
      <c r="K62" s="510"/>
      <c r="L62" s="510"/>
      <c r="M62" s="510"/>
      <c r="N62" s="510"/>
      <c r="O62" s="510"/>
      <c r="P62" s="510"/>
      <c r="Q62" s="510"/>
      <c r="R62" s="510"/>
      <c r="S62" s="510"/>
      <c r="T62" s="510"/>
      <c r="U62" s="510"/>
      <c r="V62" s="510"/>
      <c r="W62" s="279"/>
      <c r="X62" s="545"/>
      <c r="Y62" s="545"/>
      <c r="Z62" s="617"/>
    </row>
    <row r="63" spans="1:26" s="281" customFormat="1">
      <c r="A63" s="509" t="s">
        <v>262</v>
      </c>
      <c r="B63" s="332">
        <f>B29</f>
        <v>5.3846153846153877E-2</v>
      </c>
      <c r="C63" s="549">
        <f>$B$63*C61</f>
        <v>-2080.7857367736283</v>
      </c>
      <c r="D63" s="549">
        <f t="shared" ref="D63:V63" si="13">$B$63*D61</f>
        <v>-12674.81913025129</v>
      </c>
      <c r="E63" s="549">
        <f t="shared" si="13"/>
        <v>-6879.7091606636268</v>
      </c>
      <c r="F63" s="549">
        <f t="shared" si="13"/>
        <v>-2011.1098580641167</v>
      </c>
      <c r="G63" s="549">
        <f t="shared" si="13"/>
        <v>-1012.9833531637847</v>
      </c>
      <c r="H63" s="549">
        <f t="shared" si="13"/>
        <v>2889.4660063871097</v>
      </c>
      <c r="I63" s="549">
        <f t="shared" si="13"/>
        <v>5005.8850466469239</v>
      </c>
      <c r="J63" s="549">
        <f t="shared" si="13"/>
        <v>4835.369110890535</v>
      </c>
      <c r="K63" s="549">
        <f t="shared" si="13"/>
        <v>5346.675042401087</v>
      </c>
      <c r="L63" s="549">
        <f t="shared" si="13"/>
        <v>7714.4326366761516</v>
      </c>
      <c r="M63" s="549">
        <f t="shared" si="13"/>
        <v>7256.3827958189668</v>
      </c>
      <c r="N63" s="549">
        <f t="shared" si="13"/>
        <v>5571.928481601004</v>
      </c>
      <c r="O63" s="549">
        <f t="shared" si="13"/>
        <v>7250.802287516367</v>
      </c>
      <c r="P63" s="549">
        <f t="shared" si="13"/>
        <v>9567.57971502494</v>
      </c>
      <c r="Q63" s="549">
        <f t="shared" si="13"/>
        <v>9456.8525772082012</v>
      </c>
      <c r="R63" s="549">
        <f t="shared" si="13"/>
        <v>12047.984191008845</v>
      </c>
      <c r="S63" s="549">
        <f t="shared" si="13"/>
        <v>10598.943052732553</v>
      </c>
      <c r="T63" s="549">
        <f t="shared" si="13"/>
        <v>11530.378299311154</v>
      </c>
      <c r="U63" s="549">
        <f t="shared" si="13"/>
        <v>13908.519952570427</v>
      </c>
      <c r="V63" s="549">
        <f t="shared" si="13"/>
        <v>13516.856772583677</v>
      </c>
      <c r="W63" s="279"/>
      <c r="X63" s="525">
        <f>SUM(C63:V63)</f>
        <v>101838.64872946149</v>
      </c>
      <c r="Y63" s="525">
        <f>Y61*B63</f>
        <v>101838.64872946135</v>
      </c>
      <c r="Z63" s="617">
        <f>X63-Y63</f>
        <v>1.4551915228366852E-10</v>
      </c>
    </row>
    <row r="64" spans="1:26" s="281" customFormat="1">
      <c r="A64" s="277"/>
      <c r="B64" s="332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9"/>
      <c r="X64" s="545"/>
      <c r="Y64" s="545"/>
      <c r="Z64" s="617"/>
    </row>
    <row r="65" spans="1:26" s="281" customFormat="1">
      <c r="A65" s="324" t="s">
        <v>258</v>
      </c>
      <c r="B65" s="271"/>
      <c r="C65" s="316">
        <v>0</v>
      </c>
      <c r="D65" s="316">
        <f t="shared" ref="D65:R65" si="14">C69</f>
        <v>2080.7857367736283</v>
      </c>
      <c r="E65" s="316">
        <f t="shared" si="14"/>
        <v>14755.604867024918</v>
      </c>
      <c r="F65" s="316">
        <f t="shared" si="14"/>
        <v>21635.314027688546</v>
      </c>
      <c r="G65" s="316">
        <f t="shared" si="14"/>
        <v>23646.423885752662</v>
      </c>
      <c r="H65" s="316">
        <f t="shared" si="14"/>
        <v>24659.407238916447</v>
      </c>
      <c r="I65" s="316">
        <f t="shared" si="14"/>
        <v>21769.941232529338</v>
      </c>
      <c r="J65" s="316">
        <f t="shared" si="14"/>
        <v>16764.056185882415</v>
      </c>
      <c r="K65" s="316">
        <f t="shared" si="14"/>
        <v>11928.68707499188</v>
      </c>
      <c r="L65" s="316">
        <f t="shared" si="14"/>
        <v>6582.0120325907928</v>
      </c>
      <c r="M65" s="316">
        <f t="shared" si="14"/>
        <v>0</v>
      </c>
      <c r="N65" s="316">
        <f t="shared" si="14"/>
        <v>0</v>
      </c>
      <c r="O65" s="316">
        <f t="shared" si="14"/>
        <v>0</v>
      </c>
      <c r="P65" s="316">
        <f t="shared" si="14"/>
        <v>0</v>
      </c>
      <c r="Q65" s="316">
        <f t="shared" si="14"/>
        <v>0</v>
      </c>
      <c r="R65" s="316">
        <f t="shared" si="14"/>
        <v>0</v>
      </c>
      <c r="S65" s="316">
        <v>0</v>
      </c>
      <c r="T65" s="316">
        <f>S69</f>
        <v>0</v>
      </c>
      <c r="U65" s="316">
        <f>T69</f>
        <v>0</v>
      </c>
      <c r="V65" s="316">
        <f>U69</f>
        <v>0</v>
      </c>
      <c r="W65" s="279"/>
      <c r="X65" s="545"/>
      <c r="Y65" s="545"/>
      <c r="Z65" s="617"/>
    </row>
    <row r="66" spans="1:26" s="281" customFormat="1">
      <c r="A66" s="324" t="s">
        <v>259</v>
      </c>
      <c r="B66" s="271"/>
      <c r="C66" s="319">
        <f t="shared" ref="C66:V66" si="15">IF(C63&lt;0,-C63,0)</f>
        <v>2080.7857367736283</v>
      </c>
      <c r="D66" s="319">
        <f t="shared" si="15"/>
        <v>12674.81913025129</v>
      </c>
      <c r="E66" s="319">
        <f t="shared" si="15"/>
        <v>6879.7091606636268</v>
      </c>
      <c r="F66" s="319">
        <f t="shared" si="15"/>
        <v>2011.1098580641167</v>
      </c>
      <c r="G66" s="319">
        <f t="shared" si="15"/>
        <v>1012.9833531637847</v>
      </c>
      <c r="H66" s="319">
        <f t="shared" si="15"/>
        <v>0</v>
      </c>
      <c r="I66" s="319">
        <f t="shared" si="15"/>
        <v>0</v>
      </c>
      <c r="J66" s="319">
        <f t="shared" si="15"/>
        <v>0</v>
      </c>
      <c r="K66" s="319">
        <f t="shared" si="15"/>
        <v>0</v>
      </c>
      <c r="L66" s="319">
        <f t="shared" si="15"/>
        <v>0</v>
      </c>
      <c r="M66" s="319">
        <f t="shared" si="15"/>
        <v>0</v>
      </c>
      <c r="N66" s="319">
        <f t="shared" si="15"/>
        <v>0</v>
      </c>
      <c r="O66" s="319">
        <f t="shared" si="15"/>
        <v>0</v>
      </c>
      <c r="P66" s="319">
        <f t="shared" si="15"/>
        <v>0</v>
      </c>
      <c r="Q66" s="319">
        <f t="shared" si="15"/>
        <v>0</v>
      </c>
      <c r="R66" s="319">
        <f t="shared" si="15"/>
        <v>0</v>
      </c>
      <c r="S66" s="319">
        <f t="shared" si="15"/>
        <v>0</v>
      </c>
      <c r="T66" s="319">
        <f t="shared" si="15"/>
        <v>0</v>
      </c>
      <c r="U66" s="319">
        <f t="shared" si="15"/>
        <v>0</v>
      </c>
      <c r="V66" s="319">
        <f t="shared" si="15"/>
        <v>0</v>
      </c>
      <c r="W66" s="279"/>
      <c r="X66" s="545"/>
      <c r="Y66" s="545"/>
      <c r="Z66" s="617"/>
    </row>
    <row r="67" spans="1:26" s="281" customFormat="1">
      <c r="A67" s="324" t="s">
        <v>260</v>
      </c>
      <c r="B67" s="271"/>
      <c r="C67" s="329">
        <v>0</v>
      </c>
      <c r="D67" s="329">
        <v>0</v>
      </c>
      <c r="E67" s="329">
        <v>0</v>
      </c>
      <c r="F67" s="329">
        <v>0</v>
      </c>
      <c r="G67" s="329">
        <v>0</v>
      </c>
      <c r="H67" s="329">
        <v>0</v>
      </c>
      <c r="I67" s="329">
        <v>0</v>
      </c>
      <c r="J67" s="329">
        <v>0</v>
      </c>
      <c r="K67" s="329">
        <v>0</v>
      </c>
      <c r="L67" s="329">
        <v>0</v>
      </c>
      <c r="M67" s="329">
        <v>0</v>
      </c>
      <c r="N67" s="329">
        <v>0</v>
      </c>
      <c r="O67" s="329">
        <v>0</v>
      </c>
      <c r="P67" s="329">
        <v>0</v>
      </c>
      <c r="Q67" s="329">
        <v>0</v>
      </c>
      <c r="R67" s="329">
        <v>0</v>
      </c>
      <c r="S67" s="329">
        <v>0</v>
      </c>
      <c r="T67" s="329">
        <v>0</v>
      </c>
      <c r="U67" s="316">
        <f>IF(M66&gt;(SUM(N68:T68)+SUM(M67:T67))*-1,M66-(SUM(M68:T68)+SUM(M67:T67))*-1,0)</f>
        <v>0</v>
      </c>
      <c r="V67" s="316">
        <f>IF(N66&gt;(SUM(O68:U68)+SUM(N67:U67))*-1,N66-(SUM(N68:U68)+SUM(N67:U67))*-1,0)</f>
        <v>0</v>
      </c>
      <c r="W67" s="279"/>
      <c r="X67" s="545"/>
      <c r="Y67" s="545"/>
      <c r="Z67" s="617"/>
    </row>
    <row r="68" spans="1:26" s="281" customFormat="1">
      <c r="A68" s="328" t="s">
        <v>225</v>
      </c>
      <c r="B68" s="271"/>
      <c r="C68" s="330">
        <f t="shared" ref="C68:V68" si="16">IF(C63&lt;0,0,IF(C65&gt;C63,-C63,-C65))</f>
        <v>0</v>
      </c>
      <c r="D68" s="330">
        <f t="shared" si="16"/>
        <v>0</v>
      </c>
      <c r="E68" s="330">
        <f t="shared" si="16"/>
        <v>0</v>
      </c>
      <c r="F68" s="330">
        <f t="shared" si="16"/>
        <v>0</v>
      </c>
      <c r="G68" s="330">
        <f t="shared" si="16"/>
        <v>0</v>
      </c>
      <c r="H68" s="330">
        <f t="shared" si="16"/>
        <v>-2889.4660063871097</v>
      </c>
      <c r="I68" s="330">
        <f t="shared" si="16"/>
        <v>-5005.8850466469239</v>
      </c>
      <c r="J68" s="330">
        <f t="shared" si="16"/>
        <v>-4835.369110890535</v>
      </c>
      <c r="K68" s="330">
        <f t="shared" si="16"/>
        <v>-5346.675042401087</v>
      </c>
      <c r="L68" s="330">
        <f t="shared" si="16"/>
        <v>-6582.0120325907928</v>
      </c>
      <c r="M68" s="330">
        <f t="shared" si="16"/>
        <v>0</v>
      </c>
      <c r="N68" s="330">
        <f t="shared" si="16"/>
        <v>0</v>
      </c>
      <c r="O68" s="330">
        <f t="shared" si="16"/>
        <v>0</v>
      </c>
      <c r="P68" s="330">
        <f t="shared" si="16"/>
        <v>0</v>
      </c>
      <c r="Q68" s="330">
        <f t="shared" si="16"/>
        <v>0</v>
      </c>
      <c r="R68" s="330">
        <f t="shared" si="16"/>
        <v>0</v>
      </c>
      <c r="S68" s="330">
        <f t="shared" si="16"/>
        <v>0</v>
      </c>
      <c r="T68" s="330">
        <f t="shared" si="16"/>
        <v>0</v>
      </c>
      <c r="U68" s="330">
        <f t="shared" si="16"/>
        <v>0</v>
      </c>
      <c r="V68" s="330">
        <f t="shared" si="16"/>
        <v>0</v>
      </c>
      <c r="W68" s="279"/>
      <c r="X68" s="545"/>
      <c r="Y68" s="545"/>
      <c r="Z68" s="617"/>
    </row>
    <row r="69" spans="1:26" s="281" customFormat="1">
      <c r="A69" s="328" t="s">
        <v>261</v>
      </c>
      <c r="B69" s="271"/>
      <c r="C69" s="330">
        <f t="shared" ref="C69:V69" si="17">SUM(C65:C68)</f>
        <v>2080.7857367736283</v>
      </c>
      <c r="D69" s="330">
        <f t="shared" si="17"/>
        <v>14755.604867024918</v>
      </c>
      <c r="E69" s="330">
        <f t="shared" si="17"/>
        <v>21635.314027688546</v>
      </c>
      <c r="F69" s="330">
        <f t="shared" si="17"/>
        <v>23646.423885752662</v>
      </c>
      <c r="G69" s="330">
        <f t="shared" si="17"/>
        <v>24659.407238916447</v>
      </c>
      <c r="H69" s="330">
        <f t="shared" si="17"/>
        <v>21769.941232529338</v>
      </c>
      <c r="I69" s="330">
        <f t="shared" si="17"/>
        <v>16764.056185882415</v>
      </c>
      <c r="J69" s="330">
        <f t="shared" si="17"/>
        <v>11928.68707499188</v>
      </c>
      <c r="K69" s="330">
        <f t="shared" si="17"/>
        <v>6582.0120325907928</v>
      </c>
      <c r="L69" s="330">
        <f t="shared" si="17"/>
        <v>0</v>
      </c>
      <c r="M69" s="330">
        <f t="shared" si="17"/>
        <v>0</v>
      </c>
      <c r="N69" s="330">
        <f t="shared" si="17"/>
        <v>0</v>
      </c>
      <c r="O69" s="330">
        <f t="shared" si="17"/>
        <v>0</v>
      </c>
      <c r="P69" s="330">
        <f t="shared" si="17"/>
        <v>0</v>
      </c>
      <c r="Q69" s="330">
        <f t="shared" si="17"/>
        <v>0</v>
      </c>
      <c r="R69" s="330">
        <f t="shared" si="17"/>
        <v>0</v>
      </c>
      <c r="S69" s="330">
        <f t="shared" si="17"/>
        <v>0</v>
      </c>
      <c r="T69" s="330">
        <f t="shared" si="17"/>
        <v>0</v>
      </c>
      <c r="U69" s="330">
        <f t="shared" si="17"/>
        <v>0</v>
      </c>
      <c r="V69" s="330">
        <f t="shared" si="17"/>
        <v>0</v>
      </c>
      <c r="W69" s="279"/>
      <c r="X69" s="545"/>
      <c r="Y69" s="545"/>
      <c r="Z69" s="617"/>
    </row>
    <row r="70" spans="1:26" s="281" customFormat="1">
      <c r="A70" s="313"/>
      <c r="B70" s="271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79"/>
      <c r="X70" s="545"/>
      <c r="Y70" s="545"/>
      <c r="Z70" s="617"/>
    </row>
    <row r="71" spans="1:26" ht="16.5" thickBot="1">
      <c r="A71" s="325" t="s">
        <v>221</v>
      </c>
      <c r="B71" s="512"/>
      <c r="C71" s="726">
        <f>IF('NewCo_Summary Output'!$P$8=1,IF(C63&lt;0,0,C63+C68),FPLE_Tax!C63)</f>
        <v>0</v>
      </c>
      <c r="D71" s="726">
        <f>IF('NewCo_Summary Output'!$P$8=1,IF(D63&lt;0,0,D63+D68),FPLE_Tax!D63)</f>
        <v>0</v>
      </c>
      <c r="E71" s="726">
        <f>IF('NewCo_Summary Output'!$P$8=1,IF(E63&lt;0,0,E63+E68),FPLE_Tax!E63)</f>
        <v>0</v>
      </c>
      <c r="F71" s="726">
        <f>IF('NewCo_Summary Output'!$P$8=1,IF(F63&lt;0,0,F63+F68),FPLE_Tax!F63)</f>
        <v>0</v>
      </c>
      <c r="G71" s="726">
        <f>IF('NewCo_Summary Output'!$P$8=1,IF(G63&lt;0,0,G63+G68),FPLE_Tax!G63)</f>
        <v>0</v>
      </c>
      <c r="H71" s="726">
        <f>IF('NewCo_Summary Output'!$P$8=1,IF(H63&lt;0,0,H63+H68),FPLE_Tax!H63)</f>
        <v>0</v>
      </c>
      <c r="I71" s="726">
        <f>IF('NewCo_Summary Output'!$P$8=1,IF(I63&lt;0,0,I63+I68),FPLE_Tax!I63)</f>
        <v>0</v>
      </c>
      <c r="J71" s="726">
        <f>IF('NewCo_Summary Output'!$P$8=1,IF(J63&lt;0,0,J63+J68),FPLE_Tax!J63)</f>
        <v>0</v>
      </c>
      <c r="K71" s="726">
        <f>IF('NewCo_Summary Output'!$P$8=1,IF(K63&lt;0,0,K63+K68),FPLE_Tax!K63)</f>
        <v>0</v>
      </c>
      <c r="L71" s="726">
        <f>IF('NewCo_Summary Output'!$P$8=1,IF(L63&lt;0,0,L63+L68),FPLE_Tax!L63)</f>
        <v>1132.4206040853587</v>
      </c>
      <c r="M71" s="726">
        <f>IF('NewCo_Summary Output'!$P$8=1,IF(M63&lt;0,0,M63+M68),FPLE_Tax!M63)</f>
        <v>7256.3827958189668</v>
      </c>
      <c r="N71" s="726">
        <f>IF('NewCo_Summary Output'!$P$8=1,IF(N63&lt;0,0,N63+N68),FPLE_Tax!N63)</f>
        <v>5571.928481601004</v>
      </c>
      <c r="O71" s="726">
        <f>IF('NewCo_Summary Output'!$P$8=1,IF(O63&lt;0,0,O63+O68),FPLE_Tax!O63)</f>
        <v>7250.802287516367</v>
      </c>
      <c r="P71" s="726">
        <f>IF('NewCo_Summary Output'!$P$8=1,IF(P63&lt;0,0,P63+P68),FPLE_Tax!P63)</f>
        <v>9567.57971502494</v>
      </c>
      <c r="Q71" s="726">
        <f>IF('NewCo_Summary Output'!$P$8=1,IF(Q63&lt;0,0,Q63+Q68),FPLE_Tax!Q63)</f>
        <v>9456.8525772082012</v>
      </c>
      <c r="R71" s="726">
        <f>IF('NewCo_Summary Output'!$P$8=1,IF(R63&lt;0,0,R63+R68),FPLE_Tax!R63)</f>
        <v>12047.984191008845</v>
      </c>
      <c r="S71" s="726">
        <f>IF('NewCo_Summary Output'!$P$8=1,IF(S63&lt;0,0,S63+S68),FPLE_Tax!S63)</f>
        <v>10598.943052732553</v>
      </c>
      <c r="T71" s="726">
        <f>IF('NewCo_Summary Output'!$P$8=1,IF(T63&lt;0,0,T63+T68),FPLE_Tax!T63)</f>
        <v>11530.378299311154</v>
      </c>
      <c r="U71" s="726">
        <f>IF('NewCo_Summary Output'!$P$8=1,IF(U63&lt;0,0,U63+U68),FPLE_Tax!U63)</f>
        <v>13908.519952570427</v>
      </c>
      <c r="V71" s="726">
        <f>IF('NewCo_Summary Output'!$P$8=1,IF(V63&lt;0,0,V63+V68),FPLE_Tax!V63)</f>
        <v>13516.856772583677</v>
      </c>
      <c r="W71" s="8"/>
      <c r="X71" s="525">
        <f>SUM(C71:V71)</f>
        <v>101838.64872946149</v>
      </c>
      <c r="Y71" s="525">
        <f>X63</f>
        <v>101838.64872946149</v>
      </c>
      <c r="Z71" s="617">
        <f>X71-Y71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B2:Z87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12.7109375" style="271" customWidth="1"/>
    <col min="3" max="3" width="12.28515625" style="271" customWidth="1"/>
    <col min="4" max="46" width="10.7109375" style="271" customWidth="1"/>
    <col min="47" max="16384" width="9.42578125" style="271"/>
  </cols>
  <sheetData>
    <row r="2" spans="2:24" ht="18.75">
      <c r="B2" s="270" t="s">
        <v>709</v>
      </c>
      <c r="C2" s="557"/>
      <c r="D2" s="557"/>
      <c r="E2" s="557"/>
    </row>
    <row r="3" spans="2:24">
      <c r="B3" s="291" t="s">
        <v>5</v>
      </c>
    </row>
    <row r="4" spans="2:24" ht="15.75">
      <c r="B4" s="917"/>
    </row>
    <row r="5" spans="2:24">
      <c r="B5" s="1165" t="s">
        <v>172</v>
      </c>
      <c r="C5" s="1166"/>
      <c r="D5" s="1166"/>
      <c r="E5" s="1167">
        <v>6.5000000000000002E-2</v>
      </c>
    </row>
    <row r="6" spans="2:24" ht="12" customHeight="1">
      <c r="B6" s="1165" t="s">
        <v>173</v>
      </c>
      <c r="C6" s="1166"/>
      <c r="D6" s="1166"/>
      <c r="E6" s="1168">
        <v>0.03</v>
      </c>
      <c r="R6" s="1169"/>
    </row>
    <row r="7" spans="2:24" s="299" customFormat="1">
      <c r="B7" s="1165" t="s">
        <v>174</v>
      </c>
      <c r="C7" s="1166"/>
      <c r="D7" s="1166"/>
      <c r="E7" s="1170">
        <f>E6+E5</f>
        <v>9.5000000000000001E-2</v>
      </c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2"/>
      <c r="R7" s="562"/>
    </row>
    <row r="8" spans="2:24" s="299" customFormat="1">
      <c r="B8" s="1165" t="s">
        <v>175</v>
      </c>
      <c r="C8" s="1166"/>
      <c r="D8" s="1166"/>
      <c r="E8" s="1171">
        <v>2.5</v>
      </c>
      <c r="F8" s="562"/>
      <c r="M8" s="562"/>
      <c r="N8" s="562"/>
      <c r="O8" s="562"/>
      <c r="P8" s="562"/>
      <c r="R8" s="562"/>
    </row>
    <row r="9" spans="2:24" s="299" customFormat="1">
      <c r="B9" s="1165" t="s">
        <v>182</v>
      </c>
      <c r="C9" s="1166"/>
      <c r="D9" s="1166"/>
      <c r="E9" s="1167">
        <v>0.38500000000000001</v>
      </c>
      <c r="F9" s="562"/>
      <c r="M9" s="562"/>
      <c r="N9" s="562"/>
      <c r="O9" s="562"/>
      <c r="P9" s="562"/>
      <c r="R9" s="562"/>
    </row>
    <row r="10" spans="2:24" s="299" customFormat="1">
      <c r="B10" s="1165"/>
      <c r="C10" s="1166"/>
      <c r="D10" s="1166"/>
      <c r="E10" s="117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2"/>
      <c r="R10" s="562"/>
    </row>
    <row r="11" spans="2:24" s="299" customFormat="1">
      <c r="B11" s="959"/>
      <c r="C11" s="313"/>
      <c r="D11" s="313"/>
      <c r="E11" s="820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R11" s="562"/>
    </row>
    <row r="12" spans="2:24" s="565" customFormat="1">
      <c r="E12" s="566">
        <v>2001</v>
      </c>
      <c r="F12" s="566">
        <f>+E12+1</f>
        <v>2002</v>
      </c>
      <c r="G12" s="566">
        <f t="shared" ref="G12:X12" si="0">+F12+1</f>
        <v>2003</v>
      </c>
      <c r="H12" s="566">
        <f t="shared" si="0"/>
        <v>2004</v>
      </c>
      <c r="I12" s="566">
        <f t="shared" si="0"/>
        <v>2005</v>
      </c>
      <c r="J12" s="566">
        <f t="shared" si="0"/>
        <v>2006</v>
      </c>
      <c r="K12" s="566">
        <f t="shared" si="0"/>
        <v>2007</v>
      </c>
      <c r="L12" s="566">
        <f t="shared" si="0"/>
        <v>2008</v>
      </c>
      <c r="M12" s="566">
        <f t="shared" si="0"/>
        <v>2009</v>
      </c>
      <c r="N12" s="566">
        <f t="shared" si="0"/>
        <v>2010</v>
      </c>
      <c r="O12" s="566">
        <f t="shared" si="0"/>
        <v>2011</v>
      </c>
      <c r="P12" s="566">
        <f t="shared" si="0"/>
        <v>2012</v>
      </c>
      <c r="Q12" s="566">
        <f t="shared" si="0"/>
        <v>2013</v>
      </c>
      <c r="R12" s="566">
        <f t="shared" si="0"/>
        <v>2014</v>
      </c>
      <c r="S12" s="566">
        <f t="shared" si="0"/>
        <v>2015</v>
      </c>
      <c r="T12" s="566">
        <f t="shared" si="0"/>
        <v>2016</v>
      </c>
      <c r="U12" s="566">
        <f t="shared" si="0"/>
        <v>2017</v>
      </c>
      <c r="V12" s="566">
        <f t="shared" si="0"/>
        <v>2018</v>
      </c>
      <c r="W12" s="566">
        <f t="shared" si="0"/>
        <v>2019</v>
      </c>
      <c r="X12" s="566">
        <f t="shared" si="0"/>
        <v>2020</v>
      </c>
    </row>
    <row r="13" spans="2:24" s="565" customFormat="1"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</row>
    <row r="14" spans="2:24">
      <c r="B14" s="271" t="s">
        <v>566</v>
      </c>
      <c r="E14" s="334">
        <f>'FPLE_Annual Summary'!E63</f>
        <v>170449.32373663713</v>
      </c>
      <c r="F14" s="334">
        <f>'FPLE_Annual Summary'!F63</f>
        <v>139013.86381705257</v>
      </c>
      <c r="G14" s="334">
        <f>'FPLE_Annual Summary'!G63</f>
        <v>135214.82868900185</v>
      </c>
      <c r="H14" s="334">
        <f>'FPLE_Annual Summary'!H63</f>
        <v>152170.13670875283</v>
      </c>
      <c r="I14" s="334">
        <f>'FPLE_Annual Summary'!I63</f>
        <v>159002.23044722242</v>
      </c>
      <c r="J14" s="334">
        <f>'FPLE_Annual Summary'!J63</f>
        <v>167536.89473574105</v>
      </c>
      <c r="K14" s="334">
        <f>'FPLE_Annual Summary'!K63</f>
        <v>183829.81403861041</v>
      </c>
      <c r="L14" s="334">
        <f>'FPLE_Annual Summary'!L63</f>
        <v>174840.99061834879</v>
      </c>
      <c r="M14" s="334">
        <f>'FPLE_Annual Summary'!M63</f>
        <v>168686.78241916024</v>
      </c>
      <c r="N14" s="334">
        <f>'FPLE_Annual Summary'!N63</f>
        <v>198025.52698743908</v>
      </c>
      <c r="O14" s="334">
        <f>'FPLE_Annual Summary'!O63</f>
        <v>196909.8453092651</v>
      </c>
      <c r="P14" s="334">
        <f>'FPLE_Annual Summary'!P63</f>
        <v>200723.63001804735</v>
      </c>
      <c r="Q14" s="334">
        <f>'FPLE_Annual Summary'!Q63</f>
        <v>231294.8049605366</v>
      </c>
      <c r="R14" s="334">
        <f>'FPLE_Annual Summary'!R63</f>
        <v>251719.28288629421</v>
      </c>
      <c r="S14" s="334">
        <f>'FPLE_Annual Summary'!S63</f>
        <v>236585.80227535451</v>
      </c>
      <c r="T14" s="334">
        <f>'FPLE_Annual Summary'!T63</f>
        <v>255564.96730812918</v>
      </c>
      <c r="U14" s="334">
        <f>'FPLE_Annual Summary'!U63</f>
        <v>240348.91886459538</v>
      </c>
      <c r="V14" s="334">
        <f>'FPLE_Annual Summary'!V63</f>
        <v>225351.55791342515</v>
      </c>
      <c r="W14" s="334">
        <f>'FPLE_Annual Summary'!W63</f>
        <v>264434.88670089172</v>
      </c>
      <c r="X14" s="334">
        <f>'FPLE_Annual Summary'!X63</f>
        <v>259837.01319409744</v>
      </c>
    </row>
    <row r="15" spans="2:24">
      <c r="B15" s="271" t="s">
        <v>567</v>
      </c>
      <c r="E15" s="334">
        <f>SUM(FPLE_CF!C23:C26)</f>
        <v>0</v>
      </c>
      <c r="F15" s="334">
        <f>SUM(FPLE_CF!D23:D26)</f>
        <v>0</v>
      </c>
      <c r="G15" s="334">
        <f>SUM(FPLE_CF!E23:E26)</f>
        <v>0</v>
      </c>
      <c r="H15" s="334">
        <f>SUM(FPLE_CF!F23:F26)</f>
        <v>0</v>
      </c>
      <c r="I15" s="334">
        <f>SUM(FPLE_CF!G23:G26)</f>
        <v>0</v>
      </c>
      <c r="J15" s="334">
        <f>SUM(FPLE_CF!H23:H26)</f>
        <v>0</v>
      </c>
      <c r="K15" s="334">
        <f>SUM(FPLE_CF!I23:I26)</f>
        <v>0</v>
      </c>
      <c r="L15" s="334">
        <f>SUM(FPLE_CF!J23:J26)</f>
        <v>0</v>
      </c>
      <c r="M15" s="334">
        <f>SUM(FPLE_CF!K23:K26)</f>
        <v>0</v>
      </c>
      <c r="N15" s="334">
        <f>SUM(FPLE_CF!L23:L26)</f>
        <v>0</v>
      </c>
      <c r="O15" s="334">
        <f>SUM(FPLE_CF!M23:M26)</f>
        <v>0</v>
      </c>
      <c r="P15" s="334">
        <f>SUM(FPLE_CF!N23:N26)</f>
        <v>0</v>
      </c>
      <c r="Q15" s="334">
        <f>SUM(FPLE_CF!O23:O26)</f>
        <v>0</v>
      </c>
      <c r="R15" s="334">
        <f>SUM(FPLE_CF!P23:P26)</f>
        <v>0</v>
      </c>
      <c r="S15" s="334">
        <f>SUM(FPLE_CF!Q23:Q26)</f>
        <v>0</v>
      </c>
      <c r="T15" s="334">
        <f>SUM(FPLE_CF!R23:R26)</f>
        <v>0</v>
      </c>
      <c r="U15" s="334">
        <f>SUM(FPLE_CF!S23:S26)</f>
        <v>0</v>
      </c>
      <c r="V15" s="334">
        <f>SUM(FPLE_CF!T23:T26)</f>
        <v>0</v>
      </c>
      <c r="W15" s="334">
        <f>SUM(FPLE_CF!U23:U26)</f>
        <v>0</v>
      </c>
      <c r="X15" s="334">
        <f>SUM(FPLE_CF!V23:V26)</f>
        <v>0</v>
      </c>
    </row>
    <row r="16" spans="2:24">
      <c r="B16" s="271" t="s">
        <v>761</v>
      </c>
      <c r="E16" s="599">
        <f>'Maine Hydro'!F138+'Maine Thermal'!F138+Lamar!F138+'Marcus Hook 50'!F138</f>
        <v>1547.9342753931935</v>
      </c>
      <c r="F16" s="599">
        <f>'Maine Hydro'!G138+'Maine Thermal'!G138+Lamar!G138+'Marcus Hook 50'!G138</f>
        <v>2425.0632576428957</v>
      </c>
      <c r="G16" s="599">
        <f>'Maine Hydro'!H138+'Maine Thermal'!H138+Lamar!H138+'Marcus Hook 50'!H138</f>
        <v>2480.1736549216412</v>
      </c>
      <c r="H16" s="599">
        <f>'Maine Hydro'!I138+'Maine Thermal'!I138+Lamar!I138+'Marcus Hook 50'!I138</f>
        <v>2634.718846902957</v>
      </c>
      <c r="I16" s="599">
        <f>'Maine Hydro'!J138+'Maine Thermal'!J138+Lamar!J138+'Marcus Hook 50'!J138</f>
        <v>3180.9710854500659</v>
      </c>
      <c r="J16" s="599">
        <f>'Maine Hydro'!K138+'Maine Thermal'!K138+Lamar!K138+'Marcus Hook 50'!K138</f>
        <v>3934.0497133702411</v>
      </c>
      <c r="K16" s="599">
        <f>'Maine Hydro'!L138+'Maine Thermal'!L138+Lamar!L138+'Marcus Hook 50'!L138</f>
        <v>3990.0621320282062</v>
      </c>
      <c r="L16" s="599">
        <f>'Maine Hydro'!M138+'Maine Thermal'!M138+Lamar!M138+'Marcus Hook 50'!M138</f>
        <v>4137.8121232784506</v>
      </c>
      <c r="M16" s="599">
        <f>'Maine Hydro'!N138+'Maine Thermal'!N138+Lamar!N138+'Marcus Hook 50'!N138</f>
        <v>3898.3526435931453</v>
      </c>
      <c r="N16" s="599">
        <f>'Maine Hydro'!O138+'Maine Thermal'!O138+Lamar!O138+'Marcus Hook 50'!O138</f>
        <v>4080.1238006445797</v>
      </c>
      <c r="O16" s="599">
        <f>'Maine Hydro'!P138+'Maine Thermal'!P138+Lamar!P138+'Marcus Hook 50'!P138</f>
        <v>4039.1074221150866</v>
      </c>
      <c r="P16" s="599">
        <f>'Maine Hydro'!Q138+'Maine Thermal'!Q138+Lamar!Q138+'Marcus Hook 50'!Q138</f>
        <v>4033.2091080440864</v>
      </c>
      <c r="Q16" s="599">
        <f>'Maine Hydro'!R138+'Maine Thermal'!R138+Lamar!R138+'Marcus Hook 50'!R138</f>
        <v>4185.8782832751067</v>
      </c>
      <c r="R16" s="599">
        <f>'Maine Hydro'!S138+'Maine Thermal'!S138+Lamar!S138+'Marcus Hook 50'!S138</f>
        <v>4988.5620711112442</v>
      </c>
      <c r="S16" s="599">
        <f>'Maine Hydro'!T138+'Maine Thermal'!T138+Lamar!T138+'Marcus Hook 50'!T138</f>
        <v>4336.7370243648475</v>
      </c>
      <c r="T16" s="599">
        <f>'Maine Hydro'!U138+'Maine Thermal'!U138+Lamar!U138+'Marcus Hook 50'!U138</f>
        <v>4440.9791335329983</v>
      </c>
      <c r="U16" s="599">
        <f>'Maine Hydro'!V138+'Maine Thermal'!V138+Lamar!V138+'Marcus Hook 50'!V138</f>
        <v>4694.6818061597196</v>
      </c>
      <c r="V16" s="599">
        <f>'Maine Hydro'!W138+'Maine Thermal'!W138+Lamar!W138+'Marcus Hook 50'!W138</f>
        <v>4376.9714024579425</v>
      </c>
      <c r="W16" s="599">
        <f>'Maine Hydro'!X138+'Maine Thermal'!X138+Lamar!X138+'Marcus Hook 50'!X138</f>
        <v>4739.8191642416941</v>
      </c>
      <c r="X16" s="599">
        <f>'Maine Hydro'!Y138+'Maine Thermal'!Y138+Lamar!Y138+'Marcus Hook 50'!Y138</f>
        <v>4509.4829003941713</v>
      </c>
    </row>
    <row r="17" spans="2:26">
      <c r="B17" s="271" t="s">
        <v>568</v>
      </c>
      <c r="E17" s="334">
        <f>E14+E15+E16</f>
        <v>171997.25801203033</v>
      </c>
      <c r="F17" s="334">
        <f t="shared" ref="F17:X17" si="1">F14+F15+F16</f>
        <v>141438.92707469547</v>
      </c>
      <c r="G17" s="334">
        <f t="shared" si="1"/>
        <v>137695.00234392349</v>
      </c>
      <c r="H17" s="334">
        <f t="shared" si="1"/>
        <v>154804.85555565578</v>
      </c>
      <c r="I17" s="334">
        <f t="shared" si="1"/>
        <v>162183.20153267248</v>
      </c>
      <c r="J17" s="334">
        <f t="shared" si="1"/>
        <v>171470.9444491113</v>
      </c>
      <c r="K17" s="334">
        <f t="shared" si="1"/>
        <v>187819.8761706386</v>
      </c>
      <c r="L17" s="334">
        <f t="shared" si="1"/>
        <v>178978.80274162724</v>
      </c>
      <c r="M17" s="334">
        <f t="shared" si="1"/>
        <v>172585.1350627534</v>
      </c>
      <c r="N17" s="334">
        <f t="shared" si="1"/>
        <v>202105.65078808367</v>
      </c>
      <c r="O17" s="334">
        <f t="shared" si="1"/>
        <v>200948.95273138018</v>
      </c>
      <c r="P17" s="334">
        <f t="shared" si="1"/>
        <v>204756.83912609142</v>
      </c>
      <c r="Q17" s="334">
        <f t="shared" si="1"/>
        <v>235480.68324381171</v>
      </c>
      <c r="R17" s="334">
        <f t="shared" si="1"/>
        <v>256707.84495740547</v>
      </c>
      <c r="S17" s="334">
        <f t="shared" si="1"/>
        <v>240922.53929971936</v>
      </c>
      <c r="T17" s="334">
        <f t="shared" si="1"/>
        <v>260005.94644166218</v>
      </c>
      <c r="U17" s="334">
        <f t="shared" si="1"/>
        <v>245043.60067075511</v>
      </c>
      <c r="V17" s="334">
        <f t="shared" si="1"/>
        <v>229728.52931588309</v>
      </c>
      <c r="W17" s="334">
        <f t="shared" si="1"/>
        <v>269174.70586513344</v>
      </c>
      <c r="X17" s="334">
        <f t="shared" si="1"/>
        <v>264346.49609449162</v>
      </c>
    </row>
    <row r="19" spans="2:26">
      <c r="B19" s="271" t="s">
        <v>176</v>
      </c>
      <c r="E19" s="1173">
        <f>+$E$8</f>
        <v>2.5</v>
      </c>
      <c r="F19" s="1174">
        <v>2.2000000000000002</v>
      </c>
      <c r="G19" s="1174">
        <v>2.2000000000000002</v>
      </c>
      <c r="H19" s="1173">
        <v>2.5</v>
      </c>
      <c r="I19" s="1173">
        <v>2.5</v>
      </c>
      <c r="J19" s="1173">
        <v>2.5</v>
      </c>
      <c r="K19" s="1173">
        <v>2.5</v>
      </c>
      <c r="L19" s="1173">
        <f t="shared" ref="L19:X19" si="2">+$E$8</f>
        <v>2.5</v>
      </c>
      <c r="M19" s="1173">
        <f t="shared" si="2"/>
        <v>2.5</v>
      </c>
      <c r="N19" s="1173">
        <f t="shared" si="2"/>
        <v>2.5</v>
      </c>
      <c r="O19" s="1174">
        <v>2.8</v>
      </c>
      <c r="P19" s="1174">
        <v>2.8</v>
      </c>
      <c r="Q19" s="1173">
        <f t="shared" si="2"/>
        <v>2.5</v>
      </c>
      <c r="R19" s="1173">
        <f t="shared" si="2"/>
        <v>2.5</v>
      </c>
      <c r="S19" s="1173">
        <f t="shared" si="2"/>
        <v>2.5</v>
      </c>
      <c r="T19" s="1173">
        <f t="shared" si="2"/>
        <v>2.5</v>
      </c>
      <c r="U19" s="1173">
        <f t="shared" si="2"/>
        <v>2.5</v>
      </c>
      <c r="V19" s="1173">
        <f t="shared" si="2"/>
        <v>2.5</v>
      </c>
      <c r="W19" s="1173">
        <f t="shared" si="2"/>
        <v>2.5</v>
      </c>
      <c r="X19" s="1173">
        <f t="shared" si="2"/>
        <v>2.5</v>
      </c>
    </row>
    <row r="21" spans="2:26" s="334" customFormat="1">
      <c r="B21" s="334" t="s">
        <v>177</v>
      </c>
      <c r="E21" s="334">
        <f t="shared" ref="E21:X21" si="3">+E17/E19</f>
        <v>68798.90320481213</v>
      </c>
      <c r="F21" s="334">
        <f t="shared" si="3"/>
        <v>64290.421397588849</v>
      </c>
      <c r="G21" s="334">
        <f t="shared" si="3"/>
        <v>62588.637429056129</v>
      </c>
      <c r="H21" s="334">
        <f t="shared" si="3"/>
        <v>61921.942222262311</v>
      </c>
      <c r="I21" s="334">
        <f t="shared" si="3"/>
        <v>64873.280613068993</v>
      </c>
      <c r="J21" s="334">
        <f t="shared" si="3"/>
        <v>68588.377779644521</v>
      </c>
      <c r="K21" s="334">
        <f t="shared" si="3"/>
        <v>75127.95046825544</v>
      </c>
      <c r="L21" s="334">
        <f t="shared" si="3"/>
        <v>71591.521096650889</v>
      </c>
      <c r="M21" s="334">
        <f t="shared" si="3"/>
        <v>69034.054025101359</v>
      </c>
      <c r="N21" s="334">
        <f t="shared" si="3"/>
        <v>80842.260315233463</v>
      </c>
      <c r="O21" s="334">
        <f t="shared" si="3"/>
        <v>71767.483118350065</v>
      </c>
      <c r="P21" s="334">
        <f t="shared" si="3"/>
        <v>73127.442545032653</v>
      </c>
      <c r="Q21" s="334">
        <f t="shared" si="3"/>
        <v>94192.273297524691</v>
      </c>
      <c r="R21" s="334">
        <f t="shared" si="3"/>
        <v>102683.13798296219</v>
      </c>
      <c r="S21" s="334">
        <f t="shared" si="3"/>
        <v>96369.015719887742</v>
      </c>
      <c r="T21" s="334">
        <f t="shared" si="3"/>
        <v>104002.37857666487</v>
      </c>
      <c r="U21" s="334">
        <f t="shared" si="3"/>
        <v>98017.440268302045</v>
      </c>
      <c r="V21" s="334">
        <f t="shared" si="3"/>
        <v>91891.411726353239</v>
      </c>
      <c r="W21" s="334">
        <f t="shared" si="3"/>
        <v>107669.88234605337</v>
      </c>
      <c r="X21" s="334">
        <f t="shared" si="3"/>
        <v>105738.59843779665</v>
      </c>
    </row>
    <row r="22" spans="2:26" s="334" customFormat="1"/>
    <row r="23" spans="2:26" s="334" customFormat="1">
      <c r="B23" s="334" t="s">
        <v>178</v>
      </c>
      <c r="E23" s="1175">
        <v>658933.0679990059</v>
      </c>
      <c r="F23" s="334">
        <f>+E25</f>
        <v>652732.80625409936</v>
      </c>
      <c r="G23" s="334">
        <f t="shared" ref="G23:S23" si="4">+F25</f>
        <v>650452.00145064993</v>
      </c>
      <c r="H23" s="334">
        <f t="shared" si="4"/>
        <v>649656.30415940552</v>
      </c>
      <c r="I23" s="334">
        <f t="shared" si="4"/>
        <v>649451.71083228674</v>
      </c>
      <c r="J23" s="334">
        <f t="shared" si="4"/>
        <v>646276.34274828504</v>
      </c>
      <c r="K23" s="334">
        <f t="shared" si="4"/>
        <v>639084.21752972761</v>
      </c>
      <c r="L23" s="334">
        <f t="shared" si="4"/>
        <v>624669.26772679633</v>
      </c>
      <c r="M23" s="334">
        <f t="shared" si="4"/>
        <v>612421.32706419111</v>
      </c>
      <c r="N23" s="334">
        <f t="shared" si="4"/>
        <v>601567.29911018792</v>
      </c>
      <c r="O23" s="334">
        <f t="shared" si="4"/>
        <v>577873.93221042235</v>
      </c>
      <c r="P23" s="334">
        <f t="shared" si="4"/>
        <v>561004.47265206242</v>
      </c>
      <c r="Q23" s="334">
        <f t="shared" si="4"/>
        <v>541172.4550089757</v>
      </c>
      <c r="R23" s="334">
        <f t="shared" si="4"/>
        <v>498391.56493730372</v>
      </c>
      <c r="S23" s="334">
        <f t="shared" si="4"/>
        <v>443055.62562338536</v>
      </c>
      <c r="T23" s="334">
        <f>+S25</f>
        <v>388776.89433771925</v>
      </c>
      <c r="U23" s="334">
        <f>+T25</f>
        <v>321708.3207231377</v>
      </c>
      <c r="V23" s="334">
        <f>+U25</f>
        <v>254253.17092353373</v>
      </c>
      <c r="W23" s="334">
        <f>+V25</f>
        <v>186515.8104349162</v>
      </c>
      <c r="X23" s="334">
        <f>+W25</f>
        <v>96564.930080179867</v>
      </c>
    </row>
    <row r="24" spans="2:26" s="334" customFormat="1">
      <c r="B24" s="334" t="s">
        <v>180</v>
      </c>
      <c r="E24" s="334">
        <f>+E21-E27</f>
        <v>6200.2617449065656</v>
      </c>
      <c r="F24" s="334">
        <f t="shared" ref="F24:S24" si="5">+F21-F27</f>
        <v>2280.8048034494059</v>
      </c>
      <c r="G24" s="334">
        <f t="shared" si="5"/>
        <v>795.69729124438163</v>
      </c>
      <c r="H24" s="334">
        <f t="shared" si="5"/>
        <v>204.59332711878233</v>
      </c>
      <c r="I24" s="334">
        <f t="shared" si="5"/>
        <v>3175.3680840017551</v>
      </c>
      <c r="J24" s="334">
        <f t="shared" si="5"/>
        <v>7192.1252185574413</v>
      </c>
      <c r="K24" s="334">
        <f t="shared" si="5"/>
        <v>14414.949802931318</v>
      </c>
      <c r="L24" s="334">
        <f t="shared" si="5"/>
        <v>12247.940662605237</v>
      </c>
      <c r="M24" s="334">
        <f t="shared" si="5"/>
        <v>10854.027954003206</v>
      </c>
      <c r="N24" s="334">
        <f t="shared" si="5"/>
        <v>23693.366899765613</v>
      </c>
      <c r="O24" s="334">
        <f t="shared" si="5"/>
        <v>16869.459558359944</v>
      </c>
      <c r="P24" s="334">
        <f t="shared" si="5"/>
        <v>19832.017643086721</v>
      </c>
      <c r="Q24" s="334">
        <f t="shared" si="5"/>
        <v>42780.890071672002</v>
      </c>
      <c r="R24" s="334">
        <f t="shared" si="5"/>
        <v>55335.93931391833</v>
      </c>
      <c r="S24" s="334">
        <f t="shared" si="5"/>
        <v>54278.73128566613</v>
      </c>
      <c r="T24" s="334">
        <f>+T21-T27</f>
        <v>67068.573614581546</v>
      </c>
      <c r="U24" s="334">
        <f>+U21-U27</f>
        <v>67455.149799603969</v>
      </c>
      <c r="V24" s="334">
        <f>+V21-V27</f>
        <v>67737.360488617531</v>
      </c>
      <c r="W24" s="334">
        <f>+W21-W27</f>
        <v>89950.880354736335</v>
      </c>
      <c r="X24" s="334">
        <f>+X21-X27</f>
        <v>96564.930080179562</v>
      </c>
      <c r="Z24" s="612">
        <f>SUM(E24:X24)</f>
        <v>658933.06799900578</v>
      </c>
    </row>
    <row r="25" spans="2:26" s="334" customFormat="1">
      <c r="B25" s="334" t="s">
        <v>179</v>
      </c>
      <c r="E25" s="1148">
        <f>+E23-E24</f>
        <v>652732.80625409936</v>
      </c>
      <c r="F25" s="1148">
        <f>+F23-F24</f>
        <v>650452.00145064993</v>
      </c>
      <c r="G25" s="1148">
        <f t="shared" ref="G25:S25" si="6">+G23-G24</f>
        <v>649656.30415940552</v>
      </c>
      <c r="H25" s="1148">
        <f t="shared" si="6"/>
        <v>649451.71083228674</v>
      </c>
      <c r="I25" s="1148">
        <f t="shared" si="6"/>
        <v>646276.34274828504</v>
      </c>
      <c r="J25" s="1148">
        <f t="shared" si="6"/>
        <v>639084.21752972761</v>
      </c>
      <c r="K25" s="1148">
        <f t="shared" si="6"/>
        <v>624669.26772679633</v>
      </c>
      <c r="L25" s="1148">
        <f t="shared" si="6"/>
        <v>612421.32706419111</v>
      </c>
      <c r="M25" s="1148">
        <f t="shared" si="6"/>
        <v>601567.29911018792</v>
      </c>
      <c r="N25" s="1148">
        <f t="shared" si="6"/>
        <v>577873.93221042235</v>
      </c>
      <c r="O25" s="1148">
        <f t="shared" si="6"/>
        <v>561004.47265206242</v>
      </c>
      <c r="P25" s="1148">
        <f t="shared" si="6"/>
        <v>541172.4550089757</v>
      </c>
      <c r="Q25" s="1148">
        <f t="shared" si="6"/>
        <v>498391.56493730372</v>
      </c>
      <c r="R25" s="1148">
        <f t="shared" si="6"/>
        <v>443055.62562338536</v>
      </c>
      <c r="S25" s="1148">
        <f t="shared" si="6"/>
        <v>388776.89433771925</v>
      </c>
      <c r="T25" s="1148">
        <f>+T23-T24</f>
        <v>321708.3207231377</v>
      </c>
      <c r="U25" s="1148">
        <f>+U23-U24</f>
        <v>254253.17092353373</v>
      </c>
      <c r="V25" s="1148">
        <f>+V23-V24</f>
        <v>186515.8104349162</v>
      </c>
      <c r="W25" s="1148">
        <f>+W23-W24</f>
        <v>96564.930080179867</v>
      </c>
      <c r="X25" s="1176">
        <f>+X23-X24</f>
        <v>3.0559021979570389E-10</v>
      </c>
    </row>
    <row r="26" spans="2:26" s="334" customFormat="1"/>
    <row r="27" spans="2:26" s="334" customFormat="1">
      <c r="B27" s="334" t="s">
        <v>26</v>
      </c>
      <c r="E27" s="334">
        <f>+E23*$E$7</f>
        <v>62598.641459905564</v>
      </c>
      <c r="F27" s="334">
        <f t="shared" ref="F27:S27" si="7">+F23*$E$7</f>
        <v>62009.616594139443</v>
      </c>
      <c r="G27" s="334">
        <f t="shared" si="7"/>
        <v>61792.940137811747</v>
      </c>
      <c r="H27" s="334">
        <f t="shared" si="7"/>
        <v>61717.348895143528</v>
      </c>
      <c r="I27" s="334">
        <f t="shared" si="7"/>
        <v>61697.912529067238</v>
      </c>
      <c r="J27" s="334">
        <f t="shared" si="7"/>
        <v>61396.25256108708</v>
      </c>
      <c r="K27" s="334">
        <f t="shared" si="7"/>
        <v>60713.000665324122</v>
      </c>
      <c r="L27" s="334">
        <f t="shared" si="7"/>
        <v>59343.580434045653</v>
      </c>
      <c r="M27" s="334">
        <f t="shared" si="7"/>
        <v>58180.026071098153</v>
      </c>
      <c r="N27" s="334">
        <f t="shared" si="7"/>
        <v>57148.89341546785</v>
      </c>
      <c r="O27" s="334">
        <f t="shared" si="7"/>
        <v>54898.023559990121</v>
      </c>
      <c r="P27" s="334">
        <f t="shared" si="7"/>
        <v>53295.424901945931</v>
      </c>
      <c r="Q27" s="334">
        <f t="shared" si="7"/>
        <v>51411.383225852689</v>
      </c>
      <c r="R27" s="334">
        <f t="shared" si="7"/>
        <v>47347.198669043857</v>
      </c>
      <c r="S27" s="334">
        <f t="shared" si="7"/>
        <v>42090.284434221612</v>
      </c>
      <c r="T27" s="334">
        <f>+T23*$E$7</f>
        <v>36933.804962083326</v>
      </c>
      <c r="U27" s="334">
        <f>+U23*$E$7</f>
        <v>30562.290468698084</v>
      </c>
      <c r="V27" s="334">
        <f>+V23*$E$7</f>
        <v>24154.051237735704</v>
      </c>
      <c r="W27" s="334">
        <f>+W23*$E$7</f>
        <v>17719.00199131704</v>
      </c>
      <c r="X27" s="334">
        <f>+X23*$E$7</f>
        <v>9173.6683576170872</v>
      </c>
      <c r="Z27" s="612">
        <f>SUM(E27:X27)</f>
        <v>974183.34457159578</v>
      </c>
    </row>
    <row r="28" spans="2:26" s="334" customFormat="1">
      <c r="B28" s="334" t="s">
        <v>181</v>
      </c>
      <c r="E28" s="334">
        <f>+E27*(1-$E$9)</f>
        <v>38498.164497841921</v>
      </c>
      <c r="F28" s="334">
        <f>+F27*(1-$E$9)</f>
        <v>38135.914205395755</v>
      </c>
      <c r="G28" s="334">
        <f t="shared" ref="G28:S28" si="8">+G27*(1-$E$9)</f>
        <v>38002.658184754226</v>
      </c>
      <c r="H28" s="334">
        <f t="shared" si="8"/>
        <v>37956.169570513266</v>
      </c>
      <c r="I28" s="334">
        <f t="shared" si="8"/>
        <v>37944.216205376353</v>
      </c>
      <c r="J28" s="334">
        <f t="shared" si="8"/>
        <v>37758.695325068555</v>
      </c>
      <c r="K28" s="334">
        <f t="shared" si="8"/>
        <v>37338.495409174335</v>
      </c>
      <c r="L28" s="334">
        <f t="shared" si="8"/>
        <v>36496.301966938074</v>
      </c>
      <c r="M28" s="334">
        <f t="shared" si="8"/>
        <v>35780.716033725366</v>
      </c>
      <c r="N28" s="334">
        <f t="shared" si="8"/>
        <v>35146.569450512725</v>
      </c>
      <c r="O28" s="334">
        <f t="shared" si="8"/>
        <v>33762.284489393925</v>
      </c>
      <c r="P28" s="334">
        <f t="shared" si="8"/>
        <v>32776.686314696744</v>
      </c>
      <c r="Q28" s="334">
        <f t="shared" si="8"/>
        <v>31618.000683899405</v>
      </c>
      <c r="R28" s="334">
        <f t="shared" si="8"/>
        <v>29118.52718146197</v>
      </c>
      <c r="S28" s="334">
        <f t="shared" si="8"/>
        <v>25885.524927046292</v>
      </c>
      <c r="T28" s="334">
        <f>+T27*(1-$E$9)</f>
        <v>22714.290051681244</v>
      </c>
      <c r="U28" s="334">
        <f>+U27*(1-$E$9)</f>
        <v>18795.80863824932</v>
      </c>
      <c r="V28" s="334">
        <f>+V27*(1-$E$9)</f>
        <v>14854.741511207458</v>
      </c>
      <c r="W28" s="334">
        <f>+W27*(1-$E$9)</f>
        <v>10897.186224659979</v>
      </c>
      <c r="X28" s="334">
        <f>+X27*(1-$E$9)</f>
        <v>5641.8060399345086</v>
      </c>
    </row>
    <row r="30" spans="2:26">
      <c r="B30" s="271" t="s">
        <v>183</v>
      </c>
      <c r="E30" s="334">
        <f t="shared" ref="E30:X30" si="9">+E17-E24-E28</f>
        <v>127298.83176928184</v>
      </c>
      <c r="F30" s="334">
        <f t="shared" si="9"/>
        <v>101022.20806585031</v>
      </c>
      <c r="G30" s="334">
        <f t="shared" si="9"/>
        <v>98896.646867924894</v>
      </c>
      <c r="H30" s="334">
        <f t="shared" si="9"/>
        <v>116644.09265802373</v>
      </c>
      <c r="I30" s="334">
        <f t="shared" si="9"/>
        <v>121063.61724329437</v>
      </c>
      <c r="J30" s="334">
        <f t="shared" si="9"/>
        <v>126520.12390548532</v>
      </c>
      <c r="K30" s="334">
        <f t="shared" si="9"/>
        <v>136066.43095853296</v>
      </c>
      <c r="L30" s="334">
        <f t="shared" si="9"/>
        <v>130234.56011208391</v>
      </c>
      <c r="M30" s="334">
        <f t="shared" si="9"/>
        <v>125950.39107502485</v>
      </c>
      <c r="N30" s="334">
        <f t="shared" si="9"/>
        <v>143265.71443780532</v>
      </c>
      <c r="O30" s="334">
        <f t="shared" si="9"/>
        <v>150317.20868362632</v>
      </c>
      <c r="P30" s="334">
        <f t="shared" si="9"/>
        <v>152148.13516830796</v>
      </c>
      <c r="Q30" s="334">
        <f t="shared" si="9"/>
        <v>161081.79248824029</v>
      </c>
      <c r="R30" s="334">
        <f t="shared" si="9"/>
        <v>172253.37846202517</v>
      </c>
      <c r="S30" s="334">
        <f t="shared" si="9"/>
        <v>160758.28308700692</v>
      </c>
      <c r="T30" s="334">
        <f t="shared" si="9"/>
        <v>170223.08277539938</v>
      </c>
      <c r="U30" s="334">
        <f t="shared" si="9"/>
        <v>158792.64223290182</v>
      </c>
      <c r="V30" s="334">
        <f t="shared" si="9"/>
        <v>147136.42731605811</v>
      </c>
      <c r="W30" s="334">
        <f t="shared" si="9"/>
        <v>168326.6392857371</v>
      </c>
      <c r="X30" s="334">
        <f t="shared" si="9"/>
        <v>162139.75997437755</v>
      </c>
    </row>
    <row r="31" spans="2:26">
      <c r="B31" s="271" t="s">
        <v>184</v>
      </c>
      <c r="E31" s="1014">
        <f t="shared" ref="E31:X31" si="10">+E17/(E24+E27)</f>
        <v>2.5</v>
      </c>
      <c r="F31" s="1014">
        <f t="shared" si="10"/>
        <v>2.2000000000000002</v>
      </c>
      <c r="G31" s="1014">
        <f t="shared" si="10"/>
        <v>2.2000000000000002</v>
      </c>
      <c r="H31" s="1014">
        <f t="shared" si="10"/>
        <v>2.5</v>
      </c>
      <c r="I31" s="1014">
        <f t="shared" si="10"/>
        <v>2.5</v>
      </c>
      <c r="J31" s="1014">
        <f t="shared" si="10"/>
        <v>2.5</v>
      </c>
      <c r="K31" s="1014">
        <f t="shared" si="10"/>
        <v>2.5</v>
      </c>
      <c r="L31" s="1014">
        <f t="shared" si="10"/>
        <v>2.5</v>
      </c>
      <c r="M31" s="1014">
        <f t="shared" si="10"/>
        <v>2.5</v>
      </c>
      <c r="N31" s="1014">
        <f t="shared" si="10"/>
        <v>2.5</v>
      </c>
      <c r="O31" s="1014">
        <f t="shared" si="10"/>
        <v>2.8</v>
      </c>
      <c r="P31" s="1014">
        <f t="shared" si="10"/>
        <v>2.8</v>
      </c>
      <c r="Q31" s="1014">
        <f t="shared" si="10"/>
        <v>2.5</v>
      </c>
      <c r="R31" s="1014">
        <f t="shared" si="10"/>
        <v>2.5</v>
      </c>
      <c r="S31" s="1014">
        <f t="shared" si="10"/>
        <v>2.5</v>
      </c>
      <c r="T31" s="1014">
        <f t="shared" si="10"/>
        <v>2.5</v>
      </c>
      <c r="U31" s="1014">
        <f t="shared" si="10"/>
        <v>2.5</v>
      </c>
      <c r="V31" s="1014">
        <f t="shared" si="10"/>
        <v>2.5</v>
      </c>
      <c r="W31" s="1014">
        <f t="shared" si="10"/>
        <v>2.5</v>
      </c>
      <c r="X31" s="1014">
        <f t="shared" si="10"/>
        <v>2.5</v>
      </c>
    </row>
    <row r="33" spans="2:24">
      <c r="B33" s="271" t="s">
        <v>188</v>
      </c>
      <c r="E33" s="334">
        <f>+E27-E28</f>
        <v>24100.476962063643</v>
      </c>
      <c r="F33" s="334">
        <f t="shared" ref="F33:S33" si="11">+F27-F28</f>
        <v>23873.702388743688</v>
      </c>
      <c r="G33" s="334">
        <f t="shared" si="11"/>
        <v>23790.281953057522</v>
      </c>
      <c r="H33" s="334">
        <f t="shared" si="11"/>
        <v>23761.179324630262</v>
      </c>
      <c r="I33" s="334">
        <f t="shared" si="11"/>
        <v>23753.696323690885</v>
      </c>
      <c r="J33" s="334">
        <f t="shared" si="11"/>
        <v>23637.557236018525</v>
      </c>
      <c r="K33" s="334">
        <f t="shared" si="11"/>
        <v>23374.505256149787</v>
      </c>
      <c r="L33" s="334">
        <f t="shared" si="11"/>
        <v>22847.278467107579</v>
      </c>
      <c r="M33" s="334">
        <f t="shared" si="11"/>
        <v>22399.310037372787</v>
      </c>
      <c r="N33" s="334">
        <f t="shared" si="11"/>
        <v>22002.323964955125</v>
      </c>
      <c r="O33" s="334">
        <f t="shared" si="11"/>
        <v>21135.739070596195</v>
      </c>
      <c r="P33" s="334">
        <f t="shared" si="11"/>
        <v>20518.738587249187</v>
      </c>
      <c r="Q33" s="334">
        <f t="shared" si="11"/>
        <v>19793.382541953284</v>
      </c>
      <c r="R33" s="334">
        <f t="shared" si="11"/>
        <v>18228.671487581887</v>
      </c>
      <c r="S33" s="334">
        <f t="shared" si="11"/>
        <v>16204.75950717532</v>
      </c>
      <c r="T33" s="334">
        <f>+T27-T28</f>
        <v>14219.514910402082</v>
      </c>
      <c r="U33" s="334">
        <f>+U27-U28</f>
        <v>11766.481830448764</v>
      </c>
      <c r="V33" s="334">
        <f>+V27-V28</f>
        <v>9299.3097265282468</v>
      </c>
      <c r="W33" s="334">
        <f>+W27-W28</f>
        <v>6821.8157666570605</v>
      </c>
      <c r="X33" s="334">
        <f>+X27-X28</f>
        <v>3531.8623176825786</v>
      </c>
    </row>
    <row r="34" spans="2:24">
      <c r="B34" s="271" t="s">
        <v>189</v>
      </c>
      <c r="C34" s="1025">
        <f>E7</f>
        <v>9.5000000000000001E-2</v>
      </c>
      <c r="E34" s="1177">
        <f>NPV(C34,E33:X33)</f>
        <v>187080.55298485365</v>
      </c>
    </row>
    <row r="35" spans="2:24">
      <c r="C35" s="1025"/>
    </row>
    <row r="39" spans="2:24" ht="18.75">
      <c r="B39" s="270" t="s">
        <v>710</v>
      </c>
      <c r="C39" s="557"/>
      <c r="D39" s="557"/>
      <c r="E39" s="557"/>
    </row>
    <row r="41" spans="2:24">
      <c r="B41" s="1165" t="s">
        <v>172</v>
      </c>
      <c r="C41" s="1166"/>
      <c r="D41" s="1166"/>
      <c r="E41" s="1167">
        <v>6.2E-2</v>
      </c>
    </row>
    <row r="42" spans="2:24" ht="12" customHeight="1">
      <c r="B42" s="1165" t="s">
        <v>173</v>
      </c>
      <c r="C42" s="1166"/>
      <c r="D42" s="1166"/>
      <c r="E42" s="1168">
        <v>2.5000000000000001E-2</v>
      </c>
      <c r="R42" s="1169"/>
    </row>
    <row r="43" spans="2:24" s="299" customFormat="1">
      <c r="B43" s="1165" t="s">
        <v>174</v>
      </c>
      <c r="C43" s="1166"/>
      <c r="D43" s="1166"/>
      <c r="E43" s="1170">
        <f>E42+E41</f>
        <v>8.6999999999999994E-2</v>
      </c>
      <c r="F43" s="562"/>
      <c r="G43" s="562"/>
      <c r="H43" s="562"/>
      <c r="I43" s="562"/>
      <c r="J43" s="562"/>
      <c r="K43" s="562"/>
      <c r="L43" s="562"/>
      <c r="M43" s="562"/>
      <c r="N43" s="562"/>
      <c r="O43" s="562"/>
      <c r="P43" s="562"/>
      <c r="R43" s="562"/>
    </row>
    <row r="44" spans="2:24" s="299" customFormat="1">
      <c r="B44" s="1165" t="s">
        <v>175</v>
      </c>
      <c r="C44" s="1166"/>
      <c r="D44" s="1166"/>
      <c r="E44" s="1171">
        <v>1.75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R44" s="562"/>
    </row>
    <row r="45" spans="2:24" s="299" customFormat="1">
      <c r="B45" s="1165" t="s">
        <v>182</v>
      </c>
      <c r="C45" s="1166"/>
      <c r="D45" s="1166"/>
      <c r="E45" s="1167">
        <v>0.38500000000000001</v>
      </c>
      <c r="F45" s="562"/>
      <c r="M45" s="562"/>
      <c r="N45" s="562"/>
      <c r="O45" s="562"/>
      <c r="P45" s="562"/>
      <c r="R45" s="562"/>
    </row>
    <row r="46" spans="2:24" s="299" customFormat="1">
      <c r="B46" s="1165"/>
      <c r="C46" s="1166"/>
      <c r="D46" s="1166"/>
      <c r="E46" s="1172"/>
      <c r="F46" s="562"/>
      <c r="G46" s="562"/>
      <c r="H46" s="562"/>
      <c r="I46" s="562"/>
      <c r="J46" s="562"/>
      <c r="K46" s="562"/>
      <c r="L46" s="562"/>
      <c r="M46" s="562"/>
      <c r="N46" s="562"/>
      <c r="O46" s="562"/>
      <c r="P46" s="562"/>
      <c r="R46" s="562"/>
    </row>
    <row r="47" spans="2:24" s="299" customFormat="1">
      <c r="B47" s="959"/>
      <c r="C47" s="313"/>
      <c r="D47" s="313"/>
      <c r="E47" s="820"/>
      <c r="F47" s="562"/>
      <c r="G47" s="562"/>
      <c r="H47" s="562"/>
      <c r="I47" s="562"/>
      <c r="J47" s="562"/>
      <c r="K47" s="562"/>
      <c r="L47" s="562"/>
      <c r="M47" s="562"/>
      <c r="N47" s="562"/>
      <c r="O47" s="562"/>
      <c r="P47" s="562"/>
      <c r="R47" s="562"/>
    </row>
    <row r="48" spans="2:24" s="565" customFormat="1">
      <c r="E48" s="566">
        <v>2001</v>
      </c>
      <c r="F48" s="566">
        <f>+E48+1</f>
        <v>2002</v>
      </c>
      <c r="G48" s="566">
        <f t="shared" ref="G48:X48" si="12">+F48+1</f>
        <v>2003</v>
      </c>
      <c r="H48" s="566">
        <f t="shared" si="12"/>
        <v>2004</v>
      </c>
      <c r="I48" s="566">
        <f t="shared" si="12"/>
        <v>2005</v>
      </c>
      <c r="J48" s="566">
        <f t="shared" si="12"/>
        <v>2006</v>
      </c>
      <c r="K48" s="566">
        <f t="shared" si="12"/>
        <v>2007</v>
      </c>
      <c r="L48" s="566">
        <f t="shared" si="12"/>
        <v>2008</v>
      </c>
      <c r="M48" s="566">
        <f t="shared" si="12"/>
        <v>2009</v>
      </c>
      <c r="N48" s="566">
        <f t="shared" si="12"/>
        <v>2010</v>
      </c>
      <c r="O48" s="566">
        <f t="shared" si="12"/>
        <v>2011</v>
      </c>
      <c r="P48" s="566">
        <f t="shared" si="12"/>
        <v>2012</v>
      </c>
      <c r="Q48" s="566">
        <f t="shared" si="12"/>
        <v>2013</v>
      </c>
      <c r="R48" s="566">
        <f t="shared" si="12"/>
        <v>2014</v>
      </c>
      <c r="S48" s="566">
        <f t="shared" si="12"/>
        <v>2015</v>
      </c>
      <c r="T48" s="566">
        <f t="shared" si="12"/>
        <v>2016</v>
      </c>
      <c r="U48" s="566">
        <f t="shared" si="12"/>
        <v>2017</v>
      </c>
      <c r="V48" s="566">
        <f t="shared" si="12"/>
        <v>2018</v>
      </c>
      <c r="W48" s="566">
        <f t="shared" si="12"/>
        <v>2019</v>
      </c>
      <c r="X48" s="566">
        <f t="shared" si="12"/>
        <v>2020</v>
      </c>
    </row>
    <row r="49" spans="2:26" s="1042" customFormat="1">
      <c r="F49" s="1142"/>
      <c r="G49" s="1142"/>
      <c r="H49" s="1142"/>
      <c r="I49" s="1142"/>
      <c r="J49" s="1142"/>
      <c r="K49" s="1142"/>
      <c r="L49" s="1142"/>
      <c r="M49" s="1142"/>
      <c r="N49" s="1142"/>
      <c r="O49" s="1142"/>
      <c r="P49" s="1142"/>
    </row>
    <row r="50" spans="2:26" s="1042" customFormat="1">
      <c r="B50" s="271" t="s">
        <v>566</v>
      </c>
      <c r="E50" s="334">
        <f>'FPLE_Annual Summary'!E72</f>
        <v>200423.80748192218</v>
      </c>
      <c r="F50" s="334">
        <f>'FPLE_Annual Summary'!F72</f>
        <v>194102.77307468909</v>
      </c>
      <c r="G50" s="334">
        <f>'FPLE_Annual Summary'!G72</f>
        <v>206000.73833712455</v>
      </c>
      <c r="H50" s="334">
        <f>'FPLE_Annual Summary'!H72</f>
        <v>213383.43946181826</v>
      </c>
      <c r="I50" s="334">
        <f>'FPLE_Annual Summary'!I72</f>
        <v>208140.90176147912</v>
      </c>
      <c r="J50" s="334">
        <f>'FPLE_Annual Summary'!J72</f>
        <v>218322.81166680765</v>
      </c>
      <c r="K50" s="334">
        <f>'FPLE_Annual Summary'!K72</f>
        <v>189843.9473581824</v>
      </c>
      <c r="L50" s="334">
        <f>'FPLE_Annual Summary'!L72</f>
        <v>183933.73005703557</v>
      </c>
      <c r="M50" s="334">
        <f>'FPLE_Annual Summary'!M72</f>
        <v>193407.41831132522</v>
      </c>
      <c r="N50" s="334">
        <f>'FPLE_Annual Summary'!N72</f>
        <v>201550.26212801537</v>
      </c>
      <c r="O50" s="334">
        <f>'FPLE_Annual Summary'!O72</f>
        <v>186212.94598444764</v>
      </c>
      <c r="P50" s="334">
        <f>'FPLE_Annual Summary'!P72</f>
        <v>145451.06960545023</v>
      </c>
      <c r="Q50" s="334">
        <f>'FPLE_Annual Summary'!Q72</f>
        <v>142169.0860962001</v>
      </c>
      <c r="R50" s="334">
        <f>'FPLE_Annual Summary'!R72</f>
        <v>157758.05018889284</v>
      </c>
      <c r="S50" s="334">
        <f>'FPLE_Annual Summary'!S72</f>
        <v>163209.67131192354</v>
      </c>
      <c r="T50" s="334">
        <f>'FPLE_Annual Summary'!T72</f>
        <v>163870.96430095073</v>
      </c>
      <c r="U50" s="334">
        <f>'FPLE_Annual Summary'!U72</f>
        <v>121893.2028959468</v>
      </c>
      <c r="V50" s="334">
        <f>'FPLE_Annual Summary'!V72</f>
        <v>128614.54797506869</v>
      </c>
      <c r="W50" s="334">
        <f>'FPLE_Annual Summary'!W72</f>
        <v>121014.0013275478</v>
      </c>
      <c r="X50" s="334">
        <f>'FPLE_Annual Summary'!X72</f>
        <v>106845.20016673101</v>
      </c>
    </row>
    <row r="51" spans="2:26">
      <c r="B51" s="271" t="s">
        <v>567</v>
      </c>
      <c r="E51" s="334">
        <f>SUM(FPLE_CF!C27:C33)</f>
        <v>-64443.376744198729</v>
      </c>
      <c r="F51" s="334">
        <f>SUM(FPLE_CF!D27:D33)</f>
        <v>-66057.737937378144</v>
      </c>
      <c r="G51" s="334">
        <f>SUM(FPLE_CF!E27:E33)</f>
        <v>-65334.53373715483</v>
      </c>
      <c r="H51" s="334">
        <f>SUM(FPLE_CF!F27:F33)</f>
        <v>-65891.49102827601</v>
      </c>
      <c r="I51" s="334">
        <f>SUM(FPLE_CF!G27:G33)</f>
        <v>-73863.28400378229</v>
      </c>
      <c r="J51" s="334">
        <f>SUM(FPLE_CF!H27:H33)</f>
        <v>-78601.866956152095</v>
      </c>
      <c r="K51" s="334">
        <f>SUM(FPLE_CF!I27:I33)</f>
        <v>-81096.636239657644</v>
      </c>
      <c r="L51" s="334">
        <f>SUM(FPLE_CF!J27:J33)</f>
        <v>-77083.081390403473</v>
      </c>
      <c r="M51" s="334">
        <f>SUM(FPLE_CF!K27:K33)</f>
        <v>-76652.326728251501</v>
      </c>
      <c r="N51" s="334">
        <f>SUM(FPLE_CF!L27:L33)</f>
        <v>-81081.065441052546</v>
      </c>
      <c r="O51" s="334">
        <f>SUM(FPLE_CF!M27:M33)</f>
        <v>-60666.461060863832</v>
      </c>
      <c r="P51" s="334">
        <f>SUM(FPLE_CF!N27:N33)</f>
        <v>-23672.830621480542</v>
      </c>
      <c r="Q51" s="334">
        <f>SUM(FPLE_CF!O27:O33)</f>
        <v>-19429.551709042156</v>
      </c>
      <c r="R51" s="334">
        <f>SUM(FPLE_CF!P27:P33)</f>
        <v>-17919.00222712868</v>
      </c>
      <c r="S51" s="334">
        <f>SUM(FPLE_CF!Q27:Q33)</f>
        <v>-16601.49642643573</v>
      </c>
      <c r="T51" s="334">
        <f>SUM(FPLE_CF!R27:R33)</f>
        <v>-11491.456761963827</v>
      </c>
      <c r="U51" s="334">
        <f>SUM(FPLE_CF!S27:S33)</f>
        <v>-10279.268809474444</v>
      </c>
      <c r="V51" s="334">
        <f>SUM(FPLE_CF!T27:T33)</f>
        <v>-10345.899946815362</v>
      </c>
      <c r="W51" s="334">
        <f>SUM(FPLE_CF!U27:U33)</f>
        <v>-3097.3787560018218</v>
      </c>
      <c r="X51" s="334">
        <f>SUM(FPLE_CF!V27:V33)</f>
        <v>-3148.2429718455041</v>
      </c>
    </row>
    <row r="52" spans="2:26">
      <c r="B52" s="271" t="s">
        <v>761</v>
      </c>
      <c r="E52" s="723">
        <f>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24313.906527316183</v>
      </c>
      <c r="F52" s="723">
        <f>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23817.118076222221</v>
      </c>
      <c r="G52" s="723">
        <f>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23220.52766214549</v>
      </c>
      <c r="H52" s="723">
        <f>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22568.460673352118</v>
      </c>
      <c r="I52" s="723">
        <f>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22060.137472984432</v>
      </c>
      <c r="J52" s="723">
        <f>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21423.634930798456</v>
      </c>
      <c r="K52" s="723">
        <f>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20547.495877274629</v>
      </c>
      <c r="L52" s="723">
        <f>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19578.006512657346</v>
      </c>
      <c r="M52" s="723">
        <f>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18498.183908649862</v>
      </c>
      <c r="N52" s="723">
        <f>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17375.118343157461</v>
      </c>
      <c r="O52" s="723">
        <f>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16168.76014007324</v>
      </c>
      <c r="P52" s="723">
        <f>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14832.117570442893</v>
      </c>
      <c r="Q52" s="723">
        <f>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13337.514317148009</v>
      </c>
      <c r="R52" s="723">
        <f>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12710.876054587903</v>
      </c>
      <c r="S52" s="723">
        <f>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11588.894478911787</v>
      </c>
      <c r="T52" s="723">
        <f>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11311.972617947351</v>
      </c>
      <c r="U52" s="723">
        <f>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11522.32695086316</v>
      </c>
      <c r="V52" s="723">
        <f>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11292.828275832604</v>
      </c>
      <c r="W52" s="723">
        <f>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10490.009787494628</v>
      </c>
      <c r="X52" s="723">
        <f>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10625.710260216114</v>
      </c>
    </row>
    <row r="53" spans="2:26">
      <c r="B53" s="271" t="s">
        <v>762</v>
      </c>
      <c r="E53" s="599">
        <f>FPLE_CF!C20</f>
        <v>8062.5668474668546</v>
      </c>
      <c r="F53" s="599">
        <f>FPLE_CF!D20</f>
        <v>8457.56313142613</v>
      </c>
      <c r="G53" s="599">
        <f>FPLE_CF!E20</f>
        <v>9237.3088030214276</v>
      </c>
      <c r="H53" s="599">
        <f>FPLE_CF!F20</f>
        <v>9887.9370832130353</v>
      </c>
      <c r="I53" s="599">
        <f>FPLE_CF!G20</f>
        <v>11251.599384926201</v>
      </c>
      <c r="J53" s="599">
        <f>FPLE_CF!H20</f>
        <v>12404.320409205047</v>
      </c>
      <c r="K53" s="599">
        <f>FPLE_CF!I20</f>
        <v>13588.839976052976</v>
      </c>
      <c r="L53" s="599">
        <f>FPLE_CF!J20</f>
        <v>14951.100334849516</v>
      </c>
      <c r="M53" s="599">
        <f>FPLE_CF!K20</f>
        <v>15379.054796033201</v>
      </c>
      <c r="N53" s="599">
        <f>FPLE_CF!L20</f>
        <v>16319.430512193556</v>
      </c>
      <c r="O53" s="599">
        <f>FPLE_CF!M20</f>
        <v>17897.44613501092</v>
      </c>
      <c r="P53" s="599">
        <f>FPLE_CF!N20</f>
        <v>19689.288125447863</v>
      </c>
      <c r="Q53" s="599">
        <f>FPLE_CF!O20</f>
        <v>12600.237150842702</v>
      </c>
      <c r="R53" s="599">
        <f>FPLE_CF!P20</f>
        <v>9989.3407734678458</v>
      </c>
      <c r="S53" s="599">
        <f>FPLE_CF!Q20</f>
        <v>8569.7651379924991</v>
      </c>
      <c r="T53" s="599">
        <f>FPLE_CF!R20</f>
        <v>1233</v>
      </c>
      <c r="U53" s="599">
        <f>FPLE_CF!S20</f>
        <v>0</v>
      </c>
      <c r="V53" s="599">
        <f>FPLE_CF!T20</f>
        <v>0</v>
      </c>
      <c r="W53" s="599">
        <f>FPLE_CF!U20</f>
        <v>0</v>
      </c>
      <c r="X53" s="599">
        <f>FPLE_CF!V20</f>
        <v>0</v>
      </c>
    </row>
    <row r="54" spans="2:26">
      <c r="B54" s="271" t="s">
        <v>568</v>
      </c>
      <c r="E54" s="334">
        <f>SUM(E50:E53)</f>
        <v>168356.90411250648</v>
      </c>
      <c r="F54" s="334">
        <f t="shared" ref="F54:X54" si="13">SUM(F50:F53)</f>
        <v>160319.71634495931</v>
      </c>
      <c r="G54" s="334">
        <f t="shared" si="13"/>
        <v>173124.04106513667</v>
      </c>
      <c r="H54" s="334">
        <f t="shared" si="13"/>
        <v>179948.3461901074</v>
      </c>
      <c r="I54" s="334">
        <f t="shared" si="13"/>
        <v>167589.35461560747</v>
      </c>
      <c r="J54" s="334">
        <f t="shared" si="13"/>
        <v>173548.90005065905</v>
      </c>
      <c r="K54" s="334">
        <f t="shared" si="13"/>
        <v>142883.64697185237</v>
      </c>
      <c r="L54" s="334">
        <f t="shared" si="13"/>
        <v>141379.75551413896</v>
      </c>
      <c r="M54" s="334">
        <f t="shared" si="13"/>
        <v>150632.33028775678</v>
      </c>
      <c r="N54" s="334">
        <f t="shared" si="13"/>
        <v>154163.74554231385</v>
      </c>
      <c r="O54" s="334">
        <f t="shared" si="13"/>
        <v>159612.69119866798</v>
      </c>
      <c r="P54" s="334">
        <f t="shared" si="13"/>
        <v>156299.64467986047</v>
      </c>
      <c r="Q54" s="334">
        <f t="shared" si="13"/>
        <v>148677.28585514866</v>
      </c>
      <c r="R54" s="334">
        <f t="shared" si="13"/>
        <v>162539.26478981989</v>
      </c>
      <c r="S54" s="334">
        <f t="shared" si="13"/>
        <v>166766.8345023921</v>
      </c>
      <c r="T54" s="334">
        <f t="shared" si="13"/>
        <v>164924.48015693424</v>
      </c>
      <c r="U54" s="334">
        <f t="shared" si="13"/>
        <v>123136.26103733551</v>
      </c>
      <c r="V54" s="334">
        <f t="shared" si="13"/>
        <v>129561.47630408594</v>
      </c>
      <c r="W54" s="334">
        <f t="shared" si="13"/>
        <v>128406.6323590406</v>
      </c>
      <c r="X54" s="334">
        <f t="shared" si="13"/>
        <v>114322.66745510162</v>
      </c>
    </row>
    <row r="56" spans="2:26">
      <c r="B56" s="271" t="s">
        <v>176</v>
      </c>
      <c r="E56" s="1173">
        <f>+$E$44</f>
        <v>1.75</v>
      </c>
      <c r="F56" s="1173">
        <f t="shared" ref="F56:X56" si="14">+$E$44</f>
        <v>1.75</v>
      </c>
      <c r="G56" s="1173">
        <f t="shared" si="14"/>
        <v>1.75</v>
      </c>
      <c r="H56" s="1173">
        <f t="shared" si="14"/>
        <v>1.75</v>
      </c>
      <c r="I56" s="1173">
        <f t="shared" si="14"/>
        <v>1.75</v>
      </c>
      <c r="J56" s="1173">
        <f t="shared" si="14"/>
        <v>1.75</v>
      </c>
      <c r="K56" s="1173">
        <f t="shared" si="14"/>
        <v>1.75</v>
      </c>
      <c r="L56" s="1173">
        <f t="shared" si="14"/>
        <v>1.75</v>
      </c>
      <c r="M56" s="1173">
        <f t="shared" si="14"/>
        <v>1.75</v>
      </c>
      <c r="N56" s="1173">
        <f t="shared" si="14"/>
        <v>1.75</v>
      </c>
      <c r="O56" s="1173">
        <f t="shared" si="14"/>
        <v>1.75</v>
      </c>
      <c r="P56" s="1173">
        <f t="shared" si="14"/>
        <v>1.75</v>
      </c>
      <c r="Q56" s="1173">
        <f t="shared" si="14"/>
        <v>1.75</v>
      </c>
      <c r="R56" s="1173">
        <f t="shared" si="14"/>
        <v>1.75</v>
      </c>
      <c r="S56" s="1173">
        <f t="shared" si="14"/>
        <v>1.75</v>
      </c>
      <c r="T56" s="1173">
        <f t="shared" si="14"/>
        <v>1.75</v>
      </c>
      <c r="U56" s="1173">
        <f t="shared" si="14"/>
        <v>1.75</v>
      </c>
      <c r="V56" s="1173">
        <f t="shared" si="14"/>
        <v>1.75</v>
      </c>
      <c r="W56" s="1173">
        <f t="shared" si="14"/>
        <v>1.75</v>
      </c>
      <c r="X56" s="1173">
        <f t="shared" si="14"/>
        <v>1.75</v>
      </c>
    </row>
    <row r="58" spans="2:26" s="334" customFormat="1">
      <c r="B58" s="334" t="s">
        <v>177</v>
      </c>
      <c r="E58" s="334">
        <f>+E54/E56</f>
        <v>96203.945207146564</v>
      </c>
      <c r="F58" s="334">
        <f t="shared" ref="F58:S58" si="15">+F54/F56</f>
        <v>91611.266482833889</v>
      </c>
      <c r="G58" s="334">
        <f t="shared" si="15"/>
        <v>98928.023465792387</v>
      </c>
      <c r="H58" s="334">
        <f t="shared" si="15"/>
        <v>102827.62639434708</v>
      </c>
      <c r="I58" s="334">
        <f t="shared" si="15"/>
        <v>95765.345494632842</v>
      </c>
      <c r="J58" s="334">
        <f t="shared" si="15"/>
        <v>99170.800028948026</v>
      </c>
      <c r="K58" s="334">
        <f t="shared" si="15"/>
        <v>81647.79826962993</v>
      </c>
      <c r="L58" s="334">
        <f t="shared" si="15"/>
        <v>80788.431722365116</v>
      </c>
      <c r="M58" s="334">
        <f t="shared" si="15"/>
        <v>86075.617307289591</v>
      </c>
      <c r="N58" s="334">
        <f t="shared" si="15"/>
        <v>88093.568881322193</v>
      </c>
      <c r="O58" s="334">
        <f t="shared" si="15"/>
        <v>91207.252113524562</v>
      </c>
      <c r="P58" s="334">
        <f t="shared" si="15"/>
        <v>89314.082674205987</v>
      </c>
      <c r="Q58" s="334">
        <f t="shared" si="15"/>
        <v>84958.449060084953</v>
      </c>
      <c r="R58" s="334">
        <f t="shared" si="15"/>
        <v>92879.579879897079</v>
      </c>
      <c r="S58" s="334">
        <f t="shared" si="15"/>
        <v>95295.334001366908</v>
      </c>
      <c r="T58" s="334">
        <f>+T54/T56</f>
        <v>94242.560089676714</v>
      </c>
      <c r="U58" s="334">
        <f>+U54/U56</f>
        <v>70363.577735620289</v>
      </c>
      <c r="V58" s="334">
        <f>+V54/V56</f>
        <v>74035.129316620543</v>
      </c>
      <c r="W58" s="334">
        <f>+W54/W56</f>
        <v>73375.218490880347</v>
      </c>
      <c r="X58" s="334">
        <f>+X54/X56</f>
        <v>65327.23854577235</v>
      </c>
    </row>
    <row r="59" spans="2:26" s="334" customFormat="1"/>
    <row r="60" spans="2:26" s="334" customFormat="1">
      <c r="B60" s="334" t="s">
        <v>178</v>
      </c>
      <c r="E60" s="1175">
        <v>874660.61126593465</v>
      </c>
      <c r="F60" s="334">
        <f t="shared" ref="F60:X60" si="16">+E62</f>
        <v>854552.13923892437</v>
      </c>
      <c r="G60" s="334">
        <f t="shared" si="16"/>
        <v>837286.90886987688</v>
      </c>
      <c r="H60" s="334">
        <f t="shared" si="16"/>
        <v>811202.84647576371</v>
      </c>
      <c r="I60" s="334">
        <f t="shared" si="16"/>
        <v>778949.86772480805</v>
      </c>
      <c r="J60" s="334">
        <f t="shared" si="16"/>
        <v>750953.16072223347</v>
      </c>
      <c r="K60" s="334">
        <f t="shared" si="16"/>
        <v>717115.28567611973</v>
      </c>
      <c r="L60" s="334">
        <f t="shared" si="16"/>
        <v>697856.51726031222</v>
      </c>
      <c r="M60" s="334">
        <f t="shared" si="16"/>
        <v>677781.60253959429</v>
      </c>
      <c r="N60" s="334">
        <f t="shared" si="16"/>
        <v>650672.98465324938</v>
      </c>
      <c r="O60" s="334">
        <f t="shared" si="16"/>
        <v>619187.96543675987</v>
      </c>
      <c r="P60" s="334">
        <f t="shared" si="16"/>
        <v>581850.06631623337</v>
      </c>
      <c r="Q60" s="334">
        <f t="shared" si="16"/>
        <v>543156.9394115397</v>
      </c>
      <c r="R60" s="334">
        <f t="shared" si="16"/>
        <v>505453.14408025867</v>
      </c>
      <c r="S60" s="334">
        <f t="shared" si="16"/>
        <v>456547.9877353441</v>
      </c>
      <c r="T60" s="334">
        <f t="shared" si="16"/>
        <v>400972.32866695215</v>
      </c>
      <c r="U60" s="334">
        <f t="shared" si="16"/>
        <v>341614.36117130029</v>
      </c>
      <c r="V60" s="334">
        <f t="shared" si="16"/>
        <v>300971.23285758309</v>
      </c>
      <c r="W60" s="334">
        <f t="shared" si="16"/>
        <v>253120.60079957228</v>
      </c>
      <c r="X60" s="334">
        <f t="shared" si="16"/>
        <v>201766.8745782547</v>
      </c>
    </row>
    <row r="61" spans="2:26" s="334" customFormat="1">
      <c r="B61" s="334" t="s">
        <v>180</v>
      </c>
      <c r="E61" s="334">
        <f>+E58-E64</f>
        <v>20108.472027010255</v>
      </c>
      <c r="F61" s="334">
        <f t="shared" ref="F61:S61" si="17">+F58-F64</f>
        <v>17265.23036904748</v>
      </c>
      <c r="G61" s="334">
        <f t="shared" si="17"/>
        <v>26084.062394113105</v>
      </c>
      <c r="H61" s="334">
        <f t="shared" si="17"/>
        <v>32252.978750955648</v>
      </c>
      <c r="I61" s="334">
        <f t="shared" si="17"/>
        <v>27996.707002574549</v>
      </c>
      <c r="J61" s="334">
        <f t="shared" si="17"/>
        <v>33837.875046113717</v>
      </c>
      <c r="K61" s="334">
        <f t="shared" si="17"/>
        <v>19258.768415807514</v>
      </c>
      <c r="L61" s="334">
        <f t="shared" si="17"/>
        <v>20074.914720717956</v>
      </c>
      <c r="M61" s="334">
        <f t="shared" si="17"/>
        <v>27108.617886344895</v>
      </c>
      <c r="N61" s="334">
        <f t="shared" si="17"/>
        <v>31485.019216489498</v>
      </c>
      <c r="O61" s="334">
        <f t="shared" si="17"/>
        <v>37337.899120526461</v>
      </c>
      <c r="P61" s="334">
        <f t="shared" si="17"/>
        <v>38693.126904693687</v>
      </c>
      <c r="Q61" s="334">
        <f t="shared" si="17"/>
        <v>37703.795331281006</v>
      </c>
      <c r="R61" s="334">
        <f t="shared" si="17"/>
        <v>48905.156344914576</v>
      </c>
      <c r="S61" s="334">
        <f t="shared" si="17"/>
        <v>55575.659068391971</v>
      </c>
      <c r="T61" s="334">
        <f>+T58-T64</f>
        <v>59357.967495651879</v>
      </c>
      <c r="U61" s="334">
        <f>+U58-U64</f>
        <v>40643.12831371717</v>
      </c>
      <c r="V61" s="334">
        <f>+V58-V64</f>
        <v>47850.632058010815</v>
      </c>
      <c r="W61" s="334">
        <f>+W58-W64</f>
        <v>51353.726221317556</v>
      </c>
      <c r="X61" s="334">
        <f>+X58-X64</f>
        <v>47773.520457464198</v>
      </c>
      <c r="Z61" s="612">
        <f>SUM(E61:X61)</f>
        <v>720667.25714514381</v>
      </c>
    </row>
    <row r="62" spans="2:26" s="334" customFormat="1">
      <c r="B62" s="334" t="s">
        <v>179</v>
      </c>
      <c r="E62" s="1148">
        <f t="shared" ref="E62:X62" si="18">+E60-E61</f>
        <v>854552.13923892437</v>
      </c>
      <c r="F62" s="1148">
        <f t="shared" si="18"/>
        <v>837286.90886987688</v>
      </c>
      <c r="G62" s="1148">
        <f t="shared" si="18"/>
        <v>811202.84647576371</v>
      </c>
      <c r="H62" s="1148">
        <f t="shared" si="18"/>
        <v>778949.86772480805</v>
      </c>
      <c r="I62" s="1148">
        <f t="shared" si="18"/>
        <v>750953.16072223347</v>
      </c>
      <c r="J62" s="1148">
        <f t="shared" si="18"/>
        <v>717115.28567611973</v>
      </c>
      <c r="K62" s="1148">
        <f t="shared" si="18"/>
        <v>697856.51726031222</v>
      </c>
      <c r="L62" s="1148">
        <f t="shared" si="18"/>
        <v>677781.60253959429</v>
      </c>
      <c r="M62" s="1148">
        <f t="shared" si="18"/>
        <v>650672.98465324938</v>
      </c>
      <c r="N62" s="1148">
        <f t="shared" si="18"/>
        <v>619187.96543675987</v>
      </c>
      <c r="O62" s="1148">
        <f t="shared" si="18"/>
        <v>581850.06631623337</v>
      </c>
      <c r="P62" s="1148">
        <f t="shared" si="18"/>
        <v>543156.9394115397</v>
      </c>
      <c r="Q62" s="1148">
        <f t="shared" si="18"/>
        <v>505453.14408025867</v>
      </c>
      <c r="R62" s="1148">
        <f t="shared" si="18"/>
        <v>456547.9877353441</v>
      </c>
      <c r="S62" s="1148">
        <f t="shared" si="18"/>
        <v>400972.32866695215</v>
      </c>
      <c r="T62" s="1148">
        <f t="shared" si="18"/>
        <v>341614.36117130029</v>
      </c>
      <c r="U62" s="1148">
        <f t="shared" si="18"/>
        <v>300971.23285758309</v>
      </c>
      <c r="V62" s="1148">
        <f t="shared" si="18"/>
        <v>253120.60079957228</v>
      </c>
      <c r="W62" s="1148">
        <f t="shared" si="18"/>
        <v>201766.8745782547</v>
      </c>
      <c r="X62" s="1176">
        <f t="shared" si="18"/>
        <v>153993.35412079049</v>
      </c>
    </row>
    <row r="63" spans="2:26" s="334" customFormat="1"/>
    <row r="64" spans="2:26" s="334" customFormat="1">
      <c r="B64" s="334" t="s">
        <v>26</v>
      </c>
      <c r="E64" s="334">
        <f>+E60*$E$43</f>
        <v>76095.473180136309</v>
      </c>
      <c r="F64" s="334">
        <f t="shared" ref="F64:X64" si="19">+F60*$E$43</f>
        <v>74346.036113786409</v>
      </c>
      <c r="G64" s="334">
        <f t="shared" si="19"/>
        <v>72843.961071679281</v>
      </c>
      <c r="H64" s="334">
        <f t="shared" si="19"/>
        <v>70574.647643391436</v>
      </c>
      <c r="I64" s="334">
        <f t="shared" si="19"/>
        <v>67768.638492058293</v>
      </c>
      <c r="J64" s="334">
        <f t="shared" si="19"/>
        <v>65332.924982834309</v>
      </c>
      <c r="K64" s="334">
        <f t="shared" si="19"/>
        <v>62389.029853822416</v>
      </c>
      <c r="L64" s="334">
        <f t="shared" si="19"/>
        <v>60713.51700164716</v>
      </c>
      <c r="M64" s="334">
        <f t="shared" si="19"/>
        <v>58966.999420944696</v>
      </c>
      <c r="N64" s="334">
        <f t="shared" si="19"/>
        <v>56608.549664832695</v>
      </c>
      <c r="O64" s="334">
        <f t="shared" si="19"/>
        <v>53869.352992998101</v>
      </c>
      <c r="P64" s="334">
        <f t="shared" si="19"/>
        <v>50620.9557695123</v>
      </c>
      <c r="Q64" s="334">
        <f t="shared" si="19"/>
        <v>47254.653728803947</v>
      </c>
      <c r="R64" s="334">
        <f t="shared" si="19"/>
        <v>43974.423534982503</v>
      </c>
      <c r="S64" s="334">
        <f t="shared" si="19"/>
        <v>39719.674932974936</v>
      </c>
      <c r="T64" s="334">
        <f t="shared" si="19"/>
        <v>34884.592594024834</v>
      </c>
      <c r="U64" s="334">
        <f t="shared" si="19"/>
        <v>29720.449421903122</v>
      </c>
      <c r="V64" s="334">
        <f t="shared" si="19"/>
        <v>26184.497258609728</v>
      </c>
      <c r="W64" s="334">
        <f t="shared" si="19"/>
        <v>22021.492269562787</v>
      </c>
      <c r="X64" s="334">
        <f t="shared" si="19"/>
        <v>17553.718088308156</v>
      </c>
      <c r="Z64" s="612">
        <f>SUM(E64:X64)</f>
        <v>1031443.5880168135</v>
      </c>
    </row>
    <row r="65" spans="2:24" s="334" customFormat="1">
      <c r="B65" s="334" t="s">
        <v>181</v>
      </c>
      <c r="E65" s="334">
        <f>+E64*(1-$E$45)</f>
        <v>46798.716005783826</v>
      </c>
      <c r="F65" s="334">
        <f t="shared" ref="F65:W65" si="20">+F64*(1-$E$45)</f>
        <v>45722.812209978641</v>
      </c>
      <c r="G65" s="334">
        <f t="shared" si="20"/>
        <v>44799.036059082755</v>
      </c>
      <c r="H65" s="334">
        <f t="shared" si="20"/>
        <v>43403.408300685733</v>
      </c>
      <c r="I65" s="334">
        <f t="shared" si="20"/>
        <v>41677.712672615853</v>
      </c>
      <c r="J65" s="334">
        <f t="shared" si="20"/>
        <v>40179.7488644431</v>
      </c>
      <c r="K65" s="334">
        <f t="shared" si="20"/>
        <v>38369.253360100782</v>
      </c>
      <c r="L65" s="334">
        <f t="shared" si="20"/>
        <v>37338.812956013004</v>
      </c>
      <c r="M65" s="334">
        <f t="shared" si="20"/>
        <v>36264.704643880985</v>
      </c>
      <c r="N65" s="334">
        <f t="shared" si="20"/>
        <v>34814.258043872105</v>
      </c>
      <c r="O65" s="334">
        <f t="shared" si="20"/>
        <v>33129.652090693831</v>
      </c>
      <c r="P65" s="334">
        <f t="shared" si="20"/>
        <v>31131.887798250063</v>
      </c>
      <c r="Q65" s="334">
        <f t="shared" si="20"/>
        <v>29061.612043214427</v>
      </c>
      <c r="R65" s="334">
        <f t="shared" si="20"/>
        <v>27044.27047401424</v>
      </c>
      <c r="S65" s="334">
        <f t="shared" si="20"/>
        <v>24427.600083779587</v>
      </c>
      <c r="T65" s="334">
        <f t="shared" si="20"/>
        <v>21454.024445325274</v>
      </c>
      <c r="U65" s="334">
        <f t="shared" si="20"/>
        <v>18278.076394470419</v>
      </c>
      <c r="V65" s="334">
        <f t="shared" si="20"/>
        <v>16103.465814044983</v>
      </c>
      <c r="W65" s="334">
        <f t="shared" si="20"/>
        <v>13543.217745781114</v>
      </c>
      <c r="X65" s="334">
        <f>+X64*(1-$E$45)</f>
        <v>10795.536624309516</v>
      </c>
    </row>
    <row r="67" spans="2:24">
      <c r="B67" s="271" t="s">
        <v>183</v>
      </c>
      <c r="E67" s="334">
        <f>+E54-E61-E65</f>
        <v>101449.71607971241</v>
      </c>
      <c r="F67" s="334">
        <f t="shared" ref="F67:S67" si="21">+F54-F61-F65</f>
        <v>97331.673765933199</v>
      </c>
      <c r="G67" s="334">
        <f t="shared" si="21"/>
        <v>102240.94261194082</v>
      </c>
      <c r="H67" s="334">
        <f t="shared" si="21"/>
        <v>104291.95913846602</v>
      </c>
      <c r="I67" s="334">
        <f t="shared" si="21"/>
        <v>97914.934940417064</v>
      </c>
      <c r="J67" s="334">
        <f t="shared" si="21"/>
        <v>99531.276140102244</v>
      </c>
      <c r="K67" s="334">
        <f t="shared" si="21"/>
        <v>85255.625195944071</v>
      </c>
      <c r="L67" s="334">
        <f t="shared" si="21"/>
        <v>83966.027837407994</v>
      </c>
      <c r="M67" s="334">
        <f t="shared" si="21"/>
        <v>87259.007757530897</v>
      </c>
      <c r="N67" s="334">
        <f t="shared" si="21"/>
        <v>87864.468281952242</v>
      </c>
      <c r="O67" s="334">
        <f t="shared" si="21"/>
        <v>89145.139987447677</v>
      </c>
      <c r="P67" s="334">
        <f t="shared" si="21"/>
        <v>86474.629976916709</v>
      </c>
      <c r="Q67" s="334">
        <f t="shared" si="21"/>
        <v>81911.878480653235</v>
      </c>
      <c r="R67" s="334">
        <f t="shared" si="21"/>
        <v>86589.83797089108</v>
      </c>
      <c r="S67" s="334">
        <f t="shared" si="21"/>
        <v>86763.575350220533</v>
      </c>
      <c r="T67" s="334">
        <f>+T54-T61-T65</f>
        <v>84112.48821595707</v>
      </c>
      <c r="U67" s="334">
        <f>+U54-U61-U65</f>
        <v>64215.056329147919</v>
      </c>
      <c r="V67" s="334">
        <f>+V54-V61-V65</f>
        <v>65607.378432030149</v>
      </c>
      <c r="W67" s="334">
        <f>+W54-W61-W65</f>
        <v>63509.688391941927</v>
      </c>
      <c r="X67" s="334">
        <f>+X54-X61-X65</f>
        <v>55753.610373327901</v>
      </c>
    </row>
    <row r="68" spans="2:24">
      <c r="B68" s="271" t="s">
        <v>184</v>
      </c>
      <c r="E68" s="1014">
        <f>+E54/(E61+E64)</f>
        <v>1.75</v>
      </c>
      <c r="F68" s="1014">
        <f t="shared" ref="F68:S68" si="22">+F54/(F61+F64)</f>
        <v>1.75</v>
      </c>
      <c r="G68" s="1014">
        <f t="shared" si="22"/>
        <v>1.75</v>
      </c>
      <c r="H68" s="1014">
        <f t="shared" si="22"/>
        <v>1.75</v>
      </c>
      <c r="I68" s="1014">
        <f t="shared" si="22"/>
        <v>1.75</v>
      </c>
      <c r="J68" s="1014">
        <f t="shared" si="22"/>
        <v>1.75</v>
      </c>
      <c r="K68" s="1014">
        <f t="shared" si="22"/>
        <v>1.75</v>
      </c>
      <c r="L68" s="1014">
        <f t="shared" si="22"/>
        <v>1.75</v>
      </c>
      <c r="M68" s="1014">
        <f t="shared" si="22"/>
        <v>1.75</v>
      </c>
      <c r="N68" s="1014">
        <f t="shared" si="22"/>
        <v>1.75</v>
      </c>
      <c r="O68" s="1014">
        <f t="shared" si="22"/>
        <v>1.75</v>
      </c>
      <c r="P68" s="1014">
        <f t="shared" si="22"/>
        <v>1.75</v>
      </c>
      <c r="Q68" s="1014">
        <f t="shared" si="22"/>
        <v>1.7499999999999998</v>
      </c>
      <c r="R68" s="1014">
        <f t="shared" si="22"/>
        <v>1.75</v>
      </c>
      <c r="S68" s="1014">
        <f t="shared" si="22"/>
        <v>1.7500000000000002</v>
      </c>
      <c r="T68" s="1014">
        <f>+T54/(T61+T64)</f>
        <v>1.7499999999999998</v>
      </c>
      <c r="U68" s="1014">
        <f>+U54/(U61+U64)</f>
        <v>1.75</v>
      </c>
      <c r="V68" s="1014">
        <f>+V54/(V61+V64)</f>
        <v>1.7499999999999998</v>
      </c>
      <c r="W68" s="1014">
        <f>+W54/(W61+W64)</f>
        <v>1.7499999999999998</v>
      </c>
      <c r="X68" s="1014">
        <f>+X54/(X61+X64)</f>
        <v>1.7499999999999998</v>
      </c>
    </row>
    <row r="70" spans="2:24">
      <c r="B70" s="271" t="s">
        <v>188</v>
      </c>
      <c r="E70" s="334">
        <f>+E64-E65</f>
        <v>29296.757174352482</v>
      </c>
      <c r="F70" s="334">
        <f t="shared" ref="F70:S70" si="23">+F64-F65</f>
        <v>28623.223903807768</v>
      </c>
      <c r="G70" s="334">
        <f t="shared" si="23"/>
        <v>28044.925012596526</v>
      </c>
      <c r="H70" s="334">
        <f t="shared" si="23"/>
        <v>27171.239342705703</v>
      </c>
      <c r="I70" s="334">
        <f t="shared" si="23"/>
        <v>26090.92581944244</v>
      </c>
      <c r="J70" s="334">
        <f t="shared" si="23"/>
        <v>25153.176118391209</v>
      </c>
      <c r="K70" s="334">
        <f t="shared" si="23"/>
        <v>24019.776493721634</v>
      </c>
      <c r="L70" s="334">
        <f t="shared" si="23"/>
        <v>23374.704045634157</v>
      </c>
      <c r="M70" s="334">
        <f t="shared" si="23"/>
        <v>22702.294777063711</v>
      </c>
      <c r="N70" s="334">
        <f t="shared" si="23"/>
        <v>21794.29162096059</v>
      </c>
      <c r="O70" s="334">
        <f t="shared" si="23"/>
        <v>20739.70090230427</v>
      </c>
      <c r="P70" s="334">
        <f t="shared" si="23"/>
        <v>19489.067971262237</v>
      </c>
      <c r="Q70" s="334">
        <f t="shared" si="23"/>
        <v>18193.04168558952</v>
      </c>
      <c r="R70" s="334">
        <f t="shared" si="23"/>
        <v>16930.153060968263</v>
      </c>
      <c r="S70" s="334">
        <f t="shared" si="23"/>
        <v>15292.074849195349</v>
      </c>
      <c r="T70" s="334">
        <f>+T64-T65</f>
        <v>13430.56814869956</v>
      </c>
      <c r="U70" s="334">
        <f>+U64-U65</f>
        <v>11442.373027432703</v>
      </c>
      <c r="V70" s="334">
        <f>+V64-V65</f>
        <v>10081.031444564745</v>
      </c>
      <c r="W70" s="334">
        <f>+W64-W65</f>
        <v>8478.2745237816725</v>
      </c>
      <c r="X70" s="334">
        <f>+X64-X65</f>
        <v>6758.1814639986405</v>
      </c>
    </row>
    <row r="71" spans="2:24">
      <c r="B71" s="271" t="s">
        <v>189</v>
      </c>
      <c r="C71" s="1025">
        <f>E43</f>
        <v>8.6999999999999994E-2</v>
      </c>
      <c r="E71" s="1177">
        <f>NPV(C71,E70:X70)</f>
        <v>213284.15772261773</v>
      </c>
    </row>
    <row r="72" spans="2:24">
      <c r="C72" s="1025"/>
    </row>
    <row r="73" spans="2:24" ht="13.5" thickBot="1"/>
    <row r="74" spans="2:24" ht="13.5" thickBot="1">
      <c r="B74" s="299" t="s">
        <v>272</v>
      </c>
      <c r="E74" s="1178">
        <f>E34+E71</f>
        <v>400364.71070747136</v>
      </c>
      <c r="G74" s="730" t="s">
        <v>360</v>
      </c>
      <c r="H74" s="1002"/>
      <c r="I74" s="1002"/>
      <c r="J74" s="731"/>
    </row>
    <row r="75" spans="2:24">
      <c r="G75" s="732" t="s">
        <v>361</v>
      </c>
      <c r="H75" s="313"/>
      <c r="I75" s="313"/>
      <c r="J75" s="733">
        <f>SUMPRODUCT(E80:X80,E24:X24)/E23</f>
        <v>15.562371991659916</v>
      </c>
    </row>
    <row r="76" spans="2:24">
      <c r="G76" s="734" t="s">
        <v>362</v>
      </c>
      <c r="H76" s="914"/>
      <c r="I76" s="914"/>
      <c r="J76" s="735">
        <f>SUMPRODUCT(E80:X80,E61:X61)/E60</f>
        <v>10.033384640887389</v>
      </c>
    </row>
    <row r="80" spans="2:24">
      <c r="B80" s="299" t="s">
        <v>359</v>
      </c>
      <c r="E80" s="728">
        <f>E48-2000</f>
        <v>1</v>
      </c>
      <c r="F80" s="728">
        <f t="shared" ref="F80:X80" si="24">F48-2000</f>
        <v>2</v>
      </c>
      <c r="G80" s="728">
        <f t="shared" si="24"/>
        <v>3</v>
      </c>
      <c r="H80" s="728">
        <f t="shared" si="24"/>
        <v>4</v>
      </c>
      <c r="I80" s="728">
        <f t="shared" si="24"/>
        <v>5</v>
      </c>
      <c r="J80" s="728">
        <f t="shared" si="24"/>
        <v>6</v>
      </c>
      <c r="K80" s="728">
        <f t="shared" si="24"/>
        <v>7</v>
      </c>
      <c r="L80" s="728">
        <f t="shared" si="24"/>
        <v>8</v>
      </c>
      <c r="M80" s="728">
        <f t="shared" si="24"/>
        <v>9</v>
      </c>
      <c r="N80" s="728">
        <f t="shared" si="24"/>
        <v>10</v>
      </c>
      <c r="O80" s="728">
        <f t="shared" si="24"/>
        <v>11</v>
      </c>
      <c r="P80" s="728">
        <f t="shared" si="24"/>
        <v>12</v>
      </c>
      <c r="Q80" s="728">
        <f t="shared" si="24"/>
        <v>13</v>
      </c>
      <c r="R80" s="728">
        <f t="shared" si="24"/>
        <v>14</v>
      </c>
      <c r="S80" s="728">
        <f t="shared" si="24"/>
        <v>15</v>
      </c>
      <c r="T80" s="728">
        <f t="shared" si="24"/>
        <v>16</v>
      </c>
      <c r="U80" s="728">
        <f t="shared" si="24"/>
        <v>17</v>
      </c>
      <c r="V80" s="728">
        <f t="shared" si="24"/>
        <v>18</v>
      </c>
      <c r="W80" s="728">
        <f t="shared" si="24"/>
        <v>19</v>
      </c>
      <c r="X80" s="728">
        <f t="shared" si="24"/>
        <v>20</v>
      </c>
    </row>
    <row r="81" spans="2:24">
      <c r="E81" s="728"/>
      <c r="F81" s="728"/>
      <c r="G81" s="728"/>
      <c r="H81" s="728"/>
      <c r="I81" s="728"/>
      <c r="J81" s="728"/>
      <c r="K81" s="728"/>
      <c r="L81" s="728"/>
      <c r="M81" s="728"/>
      <c r="N81" s="728"/>
      <c r="O81" s="728"/>
      <c r="P81" s="728"/>
      <c r="Q81" s="728"/>
      <c r="R81" s="728"/>
      <c r="S81" s="728"/>
      <c r="T81" s="728"/>
      <c r="U81" s="728"/>
      <c r="V81" s="728"/>
      <c r="W81" s="728"/>
      <c r="X81" s="728"/>
    </row>
    <row r="82" spans="2:24"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</row>
    <row r="83" spans="2:24"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</row>
    <row r="84" spans="2:24" s="313" customFormat="1"/>
    <row r="86" spans="2:24">
      <c r="B86" s="562"/>
      <c r="C86" s="562"/>
      <c r="D86" s="562"/>
      <c r="E86" s="562"/>
      <c r="F86" s="562"/>
      <c r="G86" s="1361" t="s">
        <v>212</v>
      </c>
      <c r="H86" s="1361"/>
    </row>
    <row r="87" spans="2:24">
      <c r="B87" s="299" t="s">
        <v>232</v>
      </c>
      <c r="C87" s="299"/>
      <c r="D87" s="299"/>
      <c r="E87" s="1179">
        <v>5.3846153846153877E-2</v>
      </c>
      <c r="F87" s="562"/>
      <c r="G87" s="1180">
        <f>1-(1-0.35)*(1-E87)</f>
        <v>0.38500000000000001</v>
      </c>
      <c r="H87" s="1181">
        <f>G87-E45</f>
        <v>0</v>
      </c>
    </row>
  </sheetData>
  <mergeCells count="1">
    <mergeCell ref="G86:H86"/>
  </mergeCells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94" r:id="rId4" name="Button 10">
              <controlPr defaultSize="0" print="0" autoFill="0" autoPict="0" macro="[0]!Debt">
                <anchor moveWithCells="1" sizeWithCells="1">
                  <from>
                    <xdr:col>6</xdr:col>
                    <xdr:colOff>114300</xdr:colOff>
                    <xdr:row>2</xdr:row>
                    <xdr:rowOff>47625</xdr:rowOff>
                  </from>
                  <to>
                    <xdr:col>7</xdr:col>
                    <xdr:colOff>371475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" style="520" bestFit="1" customWidth="1"/>
    <col min="28" max="28" width="12" style="8" bestFit="1" customWidth="1"/>
    <col min="29" max="16384" width="9.140625" style="8"/>
  </cols>
  <sheetData>
    <row r="1" spans="1:29">
      <c r="AA1" s="8"/>
    </row>
    <row r="2" spans="1:29" ht="18.75">
      <c r="A2" s="270" t="s">
        <v>121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AA2" s="8"/>
    </row>
    <row r="3" spans="1:29">
      <c r="A3" s="1"/>
      <c r="AA3" s="8"/>
    </row>
    <row r="4" spans="1:29">
      <c r="A4" s="1"/>
      <c r="AA4" s="8"/>
    </row>
    <row r="5" spans="1:29" ht="14.2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  <c r="AC5" s="601"/>
    </row>
    <row r="6" spans="1:29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9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9">
      <c r="A8" s="1" t="s">
        <v>6</v>
      </c>
      <c r="B8" s="12"/>
      <c r="C8" s="12"/>
      <c r="D8" s="12"/>
      <c r="Z8" s="22"/>
      <c r="AB8" s="533"/>
    </row>
    <row r="9" spans="1:29">
      <c r="A9" s="101" t="s">
        <v>7</v>
      </c>
      <c r="B9" s="12"/>
      <c r="C9" s="12"/>
      <c r="D9" s="12"/>
      <c r="Z9" s="22"/>
      <c r="AB9" s="533"/>
    </row>
    <row r="10" spans="1:29">
      <c r="A10" s="4" t="s">
        <v>8</v>
      </c>
      <c r="B10" s="12"/>
      <c r="C10" s="12"/>
      <c r="D10" s="90"/>
      <c r="E10" s="252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9">
      <c r="A11" s="4" t="s">
        <v>9</v>
      </c>
      <c r="B11" s="12"/>
      <c r="C11" s="12"/>
      <c r="D11" s="90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2"/>
      <c r="AA11" s="606">
        <f t="shared" si="1"/>
        <v>0</v>
      </c>
      <c r="AB11" s="607">
        <f t="shared" ref="AB11:AB74" si="2">AA11*$C$60</f>
        <v>0</v>
      </c>
    </row>
    <row r="12" spans="1:29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9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9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9">
      <c r="A15" s="4" t="s">
        <v>8</v>
      </c>
      <c r="B15" s="12"/>
      <c r="C15" s="12"/>
      <c r="D15" s="90"/>
      <c r="E15" s="196">
        <f>'[6]HYDRO-EBITDA'!I$13</f>
        <v>11091.908284931505</v>
      </c>
      <c r="F15" s="196">
        <f>'[6]HYDRO-EBITDA'!J$13</f>
        <v>12053.826168493153</v>
      </c>
      <c r="G15" s="196">
        <f>'[6]HYDRO-EBITDA'!K$13</f>
        <v>8922.6176095890405</v>
      </c>
      <c r="H15" s="196">
        <f>'[6]HYDRO-EBITDA'!L$13</f>
        <v>8882.8141109589051</v>
      </c>
      <c r="I15" s="196">
        <f>'[6]HYDRO-EBITDA'!M$13</f>
        <v>9088.4655205479448</v>
      </c>
      <c r="J15" s="196">
        <f>'[6]HYDRO-EBITDA'!N$13</f>
        <v>9761.8080390410996</v>
      </c>
      <c r="K15" s="196">
        <f>'[6]HYDRO-EBITDA'!O$13</f>
        <v>11129.721608630132</v>
      </c>
      <c r="L15" s="196">
        <f>'[6]HYDRO-EBITDA'!P$13</f>
        <v>12497.63517821918</v>
      </c>
      <c r="M15" s="196">
        <f>'[6]HYDRO-EBITDA'!Q$13</f>
        <v>13865.548747808216</v>
      </c>
      <c r="N15" s="196">
        <f>'[6]HYDRO-EBITDA'!R$13</f>
        <v>15233.462317397256</v>
      </c>
      <c r="O15" s="196">
        <f>'[6]HYDRO-EBITDA'!S$13</f>
        <v>16601.375886986309</v>
      </c>
      <c r="P15" s="196">
        <f>'[6]HYDRO-EBITDA'!T$13</f>
        <v>19263.566553698642</v>
      </c>
      <c r="Q15" s="196">
        <f>'[6]HYDRO-EBITDA'!U$13</f>
        <v>21925.757220410971</v>
      </c>
      <c r="R15" s="196">
        <f>'[6]HYDRO-EBITDA'!V$13</f>
        <v>24587.947887123293</v>
      </c>
      <c r="S15" s="196">
        <f>'[6]HYDRO-EBITDA'!W$13</f>
        <v>27250.138553835619</v>
      </c>
      <c r="T15" s="196">
        <f>'[6]HYDRO-EBITDA'!X$13</f>
        <v>29912.329220547952</v>
      </c>
      <c r="U15" s="196">
        <f>'[6]HYDRO-EBITDA'!Y$13</f>
        <v>30273.877666438355</v>
      </c>
      <c r="V15" s="196">
        <f>'[6]HYDRO-EBITDA'!Z$13</f>
        <v>30635.426112328765</v>
      </c>
      <c r="W15" s="196">
        <f>'[6]HYDRO-EBITDA'!AA$13</f>
        <v>30996.974558219172</v>
      </c>
      <c r="X15" s="196">
        <f>'[6]HYDRO-EBITDA'!AB$13</f>
        <v>31358.523004109593</v>
      </c>
      <c r="Y15" s="196">
        <f>'[6]HYDRO-EBITDA'!AC$13</f>
        <v>31720.071449999992</v>
      </c>
      <c r="Z15" s="22"/>
      <c r="AA15" s="606">
        <f t="shared" si="1"/>
        <v>395961.88741438364</v>
      </c>
      <c r="AB15" s="607">
        <f t="shared" si="2"/>
        <v>395961.88741438364</v>
      </c>
    </row>
    <row r="16" spans="1:29">
      <c r="A16" s="4" t="s">
        <v>12</v>
      </c>
      <c r="B16" s="12"/>
      <c r="C16" s="12"/>
      <c r="D16" s="90"/>
      <c r="E16" s="196">
        <f>'[6]HYDRO-EBITDA'!I$11</f>
        <v>78198.166307669104</v>
      </c>
      <c r="F16" s="196">
        <f>'[6]HYDRO-EBITDA'!J$11</f>
        <v>73955.089229707912</v>
      </c>
      <c r="G16" s="196">
        <f>'[6]HYDRO-EBITDA'!K$11</f>
        <v>70753.048020958755</v>
      </c>
      <c r="H16" s="196">
        <f>'[6]HYDRO-EBITDA'!L$11</f>
        <v>69087.468977615339</v>
      </c>
      <c r="I16" s="196">
        <f>'[6]HYDRO-EBITDA'!M$11</f>
        <v>70459.100981363925</v>
      </c>
      <c r="J16" s="196">
        <f>'[6]HYDRO-EBITDA'!N$11</f>
        <v>72480.413235814325</v>
      </c>
      <c r="K16" s="196">
        <f>'[6]HYDRO-EBITDA'!O$11</f>
        <v>73827.647094157903</v>
      </c>
      <c r="L16" s="196">
        <f>'[6]HYDRO-EBITDA'!P$11</f>
        <v>75174.880952501524</v>
      </c>
      <c r="M16" s="196">
        <f>'[6]HYDRO-EBITDA'!Q$11</f>
        <v>76522.114810845131</v>
      </c>
      <c r="N16" s="196">
        <f>'[6]HYDRO-EBITDA'!R$11</f>
        <v>77869.348669188723</v>
      </c>
      <c r="O16" s="196">
        <f>'[6]HYDRO-EBITDA'!S$11</f>
        <v>79216.582527532344</v>
      </c>
      <c r="P16" s="196">
        <f>'[6]HYDRO-EBITDA'!T$11</f>
        <v>79584.468136558819</v>
      </c>
      <c r="Q16" s="196">
        <f>'[6]HYDRO-EBITDA'!U$11</f>
        <v>79952.353745585337</v>
      </c>
      <c r="R16" s="196">
        <f>'[6]HYDRO-EBITDA'!V$11</f>
        <v>80320.239354611826</v>
      </c>
      <c r="S16" s="196">
        <f>'[6]HYDRO-EBITDA'!W$11</f>
        <v>80688.124963638315</v>
      </c>
      <c r="T16" s="196">
        <f>'[6]HYDRO-EBITDA'!X$11</f>
        <v>81056.010572664818</v>
      </c>
      <c r="U16" s="196">
        <f>'[6]HYDRO-EBITDA'!Y$11</f>
        <v>83320.56767919632</v>
      </c>
      <c r="V16" s="196">
        <f>'[6]HYDRO-EBITDA'!Z$11</f>
        <v>85585.124785727792</v>
      </c>
      <c r="W16" s="196">
        <f>'[6]HYDRO-EBITDA'!AA$11</f>
        <v>87849.681892259323</v>
      </c>
      <c r="X16" s="196">
        <f>'[6]HYDRO-EBITDA'!AB$11</f>
        <v>90114.238998790825</v>
      </c>
      <c r="Y16" s="196">
        <f>'[6]HYDRO-EBITDA'!AC$11</f>
        <v>92378.796105322341</v>
      </c>
      <c r="Z16" s="22"/>
      <c r="AA16" s="606">
        <f t="shared" si="1"/>
        <v>1580195.3007340417</v>
      </c>
      <c r="AB16" s="607">
        <f t="shared" si="2"/>
        <v>1580195.3007340417</v>
      </c>
    </row>
    <row r="17" spans="1:28">
      <c r="A17" s="4" t="s">
        <v>13</v>
      </c>
      <c r="B17" s="12"/>
      <c r="C17" s="12"/>
      <c r="D17" s="90"/>
      <c r="E17" s="25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>SUM(E12:E19)</f>
        <v>89290.074592600606</v>
      </c>
      <c r="F20" s="90">
        <f t="shared" ref="F20:Y20" si="3">SUM(F10:F19)</f>
        <v>86008.915398201061</v>
      </c>
      <c r="G20" s="90">
        <f t="shared" si="3"/>
        <v>79675.665630547795</v>
      </c>
      <c r="H20" s="90">
        <f t="shared" si="3"/>
        <v>77970.283088574244</v>
      </c>
      <c r="I20" s="90">
        <f t="shared" si="3"/>
        <v>79547.566501911875</v>
      </c>
      <c r="J20" s="90">
        <f t="shared" si="3"/>
        <v>82242.22127485543</v>
      </c>
      <c r="K20" s="90">
        <f t="shared" si="3"/>
        <v>84957.368702788037</v>
      </c>
      <c r="L20" s="90">
        <f t="shared" si="3"/>
        <v>87672.516130720702</v>
      </c>
      <c r="M20" s="90">
        <f t="shared" si="3"/>
        <v>90387.663558653352</v>
      </c>
      <c r="N20" s="90">
        <f t="shared" si="3"/>
        <v>93102.810986585973</v>
      </c>
      <c r="O20" s="90">
        <f t="shared" si="3"/>
        <v>95817.958414518653</v>
      </c>
      <c r="P20" s="90">
        <f t="shared" si="3"/>
        <v>98848.034690257453</v>
      </c>
      <c r="Q20" s="90">
        <f t="shared" si="3"/>
        <v>101878.11096599631</v>
      </c>
      <c r="R20" s="90">
        <f t="shared" si="3"/>
        <v>104908.18724173511</v>
      </c>
      <c r="S20" s="90">
        <f t="shared" si="3"/>
        <v>107938.26351747394</v>
      </c>
      <c r="T20" s="90">
        <f t="shared" si="3"/>
        <v>110968.33979321277</v>
      </c>
      <c r="U20" s="90">
        <f t="shared" si="3"/>
        <v>113594.44534563468</v>
      </c>
      <c r="V20" s="90">
        <f t="shared" si="3"/>
        <v>116220.55089805656</v>
      </c>
      <c r="W20" s="90">
        <f t="shared" si="3"/>
        <v>118846.65645047849</v>
      </c>
      <c r="X20" s="90">
        <f t="shared" si="3"/>
        <v>121472.76200290042</v>
      </c>
      <c r="Y20" s="90">
        <f t="shared" si="3"/>
        <v>124098.86755532233</v>
      </c>
      <c r="Z20" s="22"/>
      <c r="AA20" s="606">
        <f t="shared" si="1"/>
        <v>1976157.1881484252</v>
      </c>
      <c r="AB20" s="607">
        <f t="shared" si="2"/>
        <v>1976157.1881484252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/>
      <c r="E25" s="104">
        <f>'[6]HYDRO-EBITDA'!$I$30+'[6]HYDRO-EBITDA'!I$31</f>
        <v>16914</v>
      </c>
      <c r="F25" s="104">
        <f>'[6]HYDRO-EBITDA'!$I$30+'[6]HYDRO-EBITDA'!J$31</f>
        <v>17015.882000000001</v>
      </c>
      <c r="G25" s="104">
        <f>'[6]HYDRO-EBITDA'!$I$30+'[6]HYDRO-EBITDA'!K$31</f>
        <v>17129.471167999996</v>
      </c>
      <c r="H25" s="104">
        <f>'[6]HYDRO-EBITDA'!$I$30+'[6]HYDRO-EBITDA'!L$31</f>
        <v>17245.786476032001</v>
      </c>
      <c r="I25" s="104">
        <f>'[6]HYDRO-EBITDA'!$I$30+'[6]HYDRO-EBITDA'!M$31</f>
        <v>17359.930564980736</v>
      </c>
      <c r="J25" s="104">
        <f>'[6]HYDRO-EBITDA'!$I$30+'[6]HYDRO-EBITDA'!N$31</f>
        <v>17481.776898540273</v>
      </c>
      <c r="K25" s="104">
        <f>'[6]HYDRO-EBITDA'!$I$30+'[6]HYDRO-EBITDA'!O$31</f>
        <v>17606.54754410524</v>
      </c>
      <c r="L25" s="104">
        <f>'[6]HYDRO-EBITDA'!$I$30+'[6]HYDRO-EBITDA'!P$31</f>
        <v>17735.909749426995</v>
      </c>
      <c r="M25" s="104">
        <f>'[6]HYDRO-EBITDA'!$I$30+'[6]HYDRO-EBITDA'!Q$31</f>
        <v>17866.779583413241</v>
      </c>
      <c r="N25" s="104">
        <f>'[6]HYDRO-EBITDA'!$I$30+'[6]HYDRO-EBITDA'!R$31</f>
        <v>18000.790293415164</v>
      </c>
      <c r="O25" s="104">
        <f>'[6]HYDRO-EBITDA'!$I$30+'[6]HYDRO-EBITDA'!S$31</f>
        <v>18138.017260457127</v>
      </c>
      <c r="P25" s="104">
        <f>'[6]HYDRO-EBITDA'!$I$30+'[6]HYDRO-EBITDA'!T$31</f>
        <v>18278.537674708099</v>
      </c>
      <c r="Q25" s="104">
        <f>'[6]HYDRO-EBITDA'!$I$30+'[6]HYDRO-EBITDA'!U$31</f>
        <v>18422.43057890109</v>
      </c>
      <c r="R25" s="104">
        <f>'[6]HYDRO-EBITDA'!$I$30+'[6]HYDRO-EBITDA'!V$31</f>
        <v>18569.776912794718</v>
      </c>
      <c r="S25" s="104">
        <f>'[6]HYDRO-EBITDA'!$I$30+'[6]HYDRO-EBITDA'!W$31</f>
        <v>18720.659558701791</v>
      </c>
      <c r="T25" s="104">
        <f>'[6]HYDRO-EBITDA'!$I$30+'[6]HYDRO-EBITDA'!X$31</f>
        <v>18881.601047669337</v>
      </c>
      <c r="U25" s="104">
        <f>'[6]HYDRO-EBITDA'!$I$30+'[6]HYDRO-EBITDA'!Y$31</f>
        <v>19046.566073861068</v>
      </c>
      <c r="V25" s="104">
        <f>'[6]HYDRO-EBITDA'!$I$30+'[6]HYDRO-EBITDA'!Z$31</f>
        <v>19215.655225707596</v>
      </c>
      <c r="W25" s="104">
        <f>'[6]HYDRO-EBITDA'!$I$30+'[6]HYDRO-EBITDA'!AA$31</f>
        <v>19388.971606350286</v>
      </c>
      <c r="X25" s="104">
        <f>'[6]HYDRO-EBITDA'!$I$30+'[6]HYDRO-EBITDA'!AB$31</f>
        <v>19566.620896509041</v>
      </c>
      <c r="Y25" s="104">
        <f>'[6]HYDRO-EBITDA'!$I$30+'[6]HYDRO-EBITDA'!AC$31</f>
        <v>19748.711418921768</v>
      </c>
      <c r="AA25" s="606">
        <f t="shared" si="1"/>
        <v>365420.42253249552</v>
      </c>
      <c r="AB25" s="607">
        <f t="shared" si="2"/>
        <v>365420.42253249552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'[6]Hydro-Assum Calcs'!I$83</f>
        <v>4052</v>
      </c>
      <c r="F27" s="104">
        <f>'[6]Hydro-Assum Calcs'!J$83</f>
        <v>4141.1440000000002</v>
      </c>
      <c r="G27" s="104">
        <f>'[6]Hydro-Assum Calcs'!K$83</f>
        <v>4240.5314560000006</v>
      </c>
      <c r="H27" s="104">
        <f>'[6]Hydro-Assum Calcs'!L$83</f>
        <v>4342.3042109440003</v>
      </c>
      <c r="I27" s="104">
        <f>'[6]Hydro-Assum Calcs'!M$83</f>
        <v>4442.1772077957121</v>
      </c>
      <c r="J27" s="104">
        <f>'[6]Hydro-Assum Calcs'!N$83</f>
        <v>4548.7894607828093</v>
      </c>
      <c r="K27" s="104">
        <f>'[6]Hydro-Assum Calcs'!O$83</f>
        <v>4657.960407841596</v>
      </c>
      <c r="L27" s="104">
        <f>'[6]Hydro-Assum Calcs'!P$83</f>
        <v>4771.1488457521464</v>
      </c>
      <c r="M27" s="104">
        <f>'[6]Hydro-Assum Calcs'!Q$83</f>
        <v>4885.6564180501991</v>
      </c>
      <c r="N27" s="104">
        <f>'[6]Hydro-Assum Calcs'!R$83</f>
        <v>5002.9121720834037</v>
      </c>
      <c r="O27" s="104">
        <f>'[6]Hydro-Assum Calcs'!S$83</f>
        <v>5122.9820642134055</v>
      </c>
      <c r="P27" s="104">
        <f>'[6]Hydro-Assum Calcs'!T$83</f>
        <v>5245.9336337545274</v>
      </c>
      <c r="Q27" s="104">
        <f>'[6]Hydro-Assum Calcs'!U$83</f>
        <v>5371.8360409646366</v>
      </c>
      <c r="R27" s="104">
        <f>'[6]Hydro-Assum Calcs'!V$83</f>
        <v>5500.7601059477875</v>
      </c>
      <c r="S27" s="104">
        <f>'[6]Hydro-Assum Calcs'!W$83</f>
        <v>5632.7783484905349</v>
      </c>
      <c r="T27" s="104">
        <f>'[6]Hydro-Assum Calcs'!X$83</f>
        <v>5773.5978072027974</v>
      </c>
      <c r="U27" s="104">
        <f>'[6]Hydro-Assum Calcs'!Y$83</f>
        <v>5917.9377523828671</v>
      </c>
      <c r="V27" s="104">
        <f>'[6]Hydro-Assum Calcs'!Z$83</f>
        <v>6065.8861961924376</v>
      </c>
      <c r="W27" s="104">
        <f>'[6]Hydro-Assum Calcs'!AA$83</f>
        <v>6217.5333510972487</v>
      </c>
      <c r="X27" s="104">
        <f>'[6]Hydro-Assum Calcs'!AB$83</f>
        <v>6372.9716848746793</v>
      </c>
      <c r="Y27" s="104">
        <f>'[6]Hydro-Assum Calcs'!AC$83</f>
        <v>6532.2959769965455</v>
      </c>
      <c r="AA27" s="606">
        <f t="shared" si="1"/>
        <v>104787.13714136733</v>
      </c>
      <c r="AB27" s="607">
        <f t="shared" si="2"/>
        <v>104787.13714136733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'[6]HYDRO-EBITDA'!I$33</f>
        <v>450</v>
      </c>
      <c r="F29" s="104">
        <f>'[6]HYDRO-EBITDA'!J$33</f>
        <v>450</v>
      </c>
      <c r="G29" s="104">
        <f>'[6]HYDRO-EBITDA'!K$33</f>
        <v>450</v>
      </c>
      <c r="H29" s="104">
        <f>'[6]HYDRO-EBITDA'!L$33</f>
        <v>450</v>
      </c>
      <c r="I29" s="104">
        <f>'[6]HYDRO-EBITDA'!M$33</f>
        <v>450</v>
      </c>
      <c r="J29" s="104">
        <f>'[6]HYDRO-EBITDA'!N$33</f>
        <v>450</v>
      </c>
      <c r="K29" s="104">
        <f>'[6]HYDRO-EBITDA'!O$33</f>
        <v>450</v>
      </c>
      <c r="L29" s="104">
        <f>'[6]HYDRO-EBITDA'!P$33</f>
        <v>450</v>
      </c>
      <c r="M29" s="104">
        <f>'[6]HYDRO-EBITDA'!Q$33</f>
        <v>450</v>
      </c>
      <c r="N29" s="104">
        <f>'[6]HYDRO-EBITDA'!R$33</f>
        <v>450</v>
      </c>
      <c r="O29" s="104">
        <f>'[6]HYDRO-EBITDA'!S$33</f>
        <v>450</v>
      </c>
      <c r="P29" s="104">
        <f>'[6]HYDRO-EBITDA'!T$33</f>
        <v>450</v>
      </c>
      <c r="Q29" s="104">
        <f>'[6]HYDRO-EBITDA'!U$33</f>
        <v>450</v>
      </c>
      <c r="R29" s="104">
        <f>'[6]HYDRO-EBITDA'!V$33</f>
        <v>450</v>
      </c>
      <c r="S29" s="104">
        <f>'[6]HYDRO-EBITDA'!W$33</f>
        <v>450</v>
      </c>
      <c r="T29" s="104">
        <f>'[6]HYDRO-EBITDA'!X$33</f>
        <v>450</v>
      </c>
      <c r="U29" s="104">
        <f>'[6]HYDRO-EBITDA'!Y$33</f>
        <v>450</v>
      </c>
      <c r="V29" s="104">
        <f>'[6]HYDRO-EBITDA'!Z$33</f>
        <v>450</v>
      </c>
      <c r="W29" s="104">
        <f>'[6]HYDRO-EBITDA'!AA$33</f>
        <v>450</v>
      </c>
      <c r="X29" s="104">
        <f>'[6]HYDRO-EBITDA'!AB$33</f>
        <v>450</v>
      </c>
      <c r="Y29" s="104">
        <f>'[6]HYDRO-EBITDA'!AC$33</f>
        <v>450</v>
      </c>
      <c r="AA29" s="606">
        <f t="shared" si="1"/>
        <v>9000</v>
      </c>
      <c r="AB29" s="607">
        <f t="shared" si="2"/>
        <v>9000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'[6]HYDRO-EBITDA'!I$32</f>
        <v>6450.9920000000002</v>
      </c>
      <c r="F31" s="104">
        <f>'[6]HYDRO-EBITDA'!J$32</f>
        <v>6263.2681327999999</v>
      </c>
      <c r="G31" s="104">
        <f>'[6]HYDRO-EBITDA'!K$32</f>
        <v>6092.9072395878402</v>
      </c>
      <c r="H31" s="104">
        <f>'[6]HYDRO-EBITDA'!L$32</f>
        <v>5927.1801626710503</v>
      </c>
      <c r="I31" s="104">
        <f>'[6]HYDRO-EBITDA'!M$32</f>
        <v>5760.3300410918591</v>
      </c>
      <c r="J31" s="104">
        <f>'[6]HYDRO-EBITDA'!N$32</f>
        <v>5603.6490639741596</v>
      </c>
      <c r="K31" s="104">
        <f>'[6]HYDRO-EBITDA'!O$32</f>
        <v>5451.2298094340622</v>
      </c>
      <c r="L31" s="104">
        <f>'[6]HYDRO-EBITDA'!P$32</f>
        <v>5304.5099591131448</v>
      </c>
      <c r="M31" s="104">
        <f>'[6]HYDRO-EBITDA'!Q$32</f>
        <v>5160.2272882252673</v>
      </c>
      <c r="N31" s="104">
        <f>'[6]HYDRO-EBITDA'!R$32</f>
        <v>5019.869105985541</v>
      </c>
      <c r="O31" s="104">
        <f>'[6]HYDRO-EBITDA'!S$32</f>
        <v>4883.3286663027338</v>
      </c>
      <c r="P31" s="104">
        <f>'[6]HYDRO-EBITDA'!T$32</f>
        <v>4750.5021265792993</v>
      </c>
      <c r="Q31" s="104">
        <f>'[6]HYDRO-EBITDA'!U$32</f>
        <v>4621.2884687363421</v>
      </c>
      <c r="R31" s="104">
        <f>'[6]HYDRO-EBITDA'!V$32</f>
        <v>4495.5894223867135</v>
      </c>
      <c r="S31" s="104">
        <f>'[6]HYDRO-EBITDA'!W$32</f>
        <v>4373.3093900977947</v>
      </c>
      <c r="T31" s="104">
        <f>'[6]HYDRO-EBITDA'!X$32</f>
        <v>4258.5100186077279</v>
      </c>
      <c r="U31" s="104">
        <f>'[6]HYDRO-EBITDA'!Y$32</f>
        <v>4146.7241306192745</v>
      </c>
      <c r="V31" s="104">
        <f>'[6]HYDRO-EBITDA'!Z$32</f>
        <v>4037.8726221905181</v>
      </c>
      <c r="W31" s="104">
        <f>'[6]HYDRO-EBITDA'!AA$32</f>
        <v>3931.8784658580171</v>
      </c>
      <c r="X31" s="104">
        <f>'[6]HYDRO-EBITDA'!AB$32</f>
        <v>3828.6666561292441</v>
      </c>
      <c r="Y31" s="104">
        <f>'[6]HYDRO-EBITDA'!AC$32</f>
        <v>3728.1641564058509</v>
      </c>
      <c r="AA31" s="606">
        <f t="shared" si="1"/>
        <v>97639.004926796435</v>
      </c>
      <c r="AB31" s="607">
        <f t="shared" si="2"/>
        <v>97639.004926796435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27866.991999999998</v>
      </c>
      <c r="F36" s="90">
        <f t="shared" si="4"/>
        <v>27870.294132800002</v>
      </c>
      <c r="G36" s="90">
        <f t="shared" si="4"/>
        <v>27912.909863587836</v>
      </c>
      <c r="H36" s="90">
        <f t="shared" si="4"/>
        <v>27965.270849647051</v>
      </c>
      <c r="I36" s="90">
        <f t="shared" si="4"/>
        <v>28012.43781386831</v>
      </c>
      <c r="J36" s="90">
        <f t="shared" si="4"/>
        <v>28084.215423297243</v>
      </c>
      <c r="K36" s="90">
        <f t="shared" si="4"/>
        <v>28165.737761380897</v>
      </c>
      <c r="L36" s="90">
        <f t="shared" si="4"/>
        <v>28261.568554292287</v>
      </c>
      <c r="M36" s="90">
        <f t="shared" si="4"/>
        <v>28362.663289688709</v>
      </c>
      <c r="N36" s="90">
        <f t="shared" si="4"/>
        <v>28473.57157148411</v>
      </c>
      <c r="O36" s="90">
        <f t="shared" si="4"/>
        <v>28594.327990973266</v>
      </c>
      <c r="P36" s="90">
        <f t="shared" si="4"/>
        <v>28724.973435041928</v>
      </c>
      <c r="Q36" s="90">
        <f t="shared" si="4"/>
        <v>28865.555088602072</v>
      </c>
      <c r="R36" s="90">
        <f t="shared" si="4"/>
        <v>29016.126441129221</v>
      </c>
      <c r="S36" s="90">
        <f t="shared" si="4"/>
        <v>29176.74729729012</v>
      </c>
      <c r="T36" s="90">
        <f t="shared" si="4"/>
        <v>29363.708873479864</v>
      </c>
      <c r="U36" s="90">
        <f t="shared" si="4"/>
        <v>29561.227956863208</v>
      </c>
      <c r="V36" s="90">
        <f t="shared" si="4"/>
        <v>29769.414044090554</v>
      </c>
      <c r="W36" s="90">
        <f t="shared" si="4"/>
        <v>29988.383423305553</v>
      </c>
      <c r="X36" s="90">
        <f t="shared" si="4"/>
        <v>30218.259237512964</v>
      </c>
      <c r="Y36" s="90">
        <f t="shared" si="4"/>
        <v>30459.171552324166</v>
      </c>
      <c r="AA36" s="606">
        <f t="shared" si="1"/>
        <v>576846.56460065942</v>
      </c>
      <c r="AB36" s="607">
        <f t="shared" si="2"/>
        <v>576846.56460065942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61423.082592600607</v>
      </c>
      <c r="F39" s="93">
        <f t="shared" si="5"/>
        <v>58138.62126540106</v>
      </c>
      <c r="G39" s="93">
        <f t="shared" si="5"/>
        <v>51762.755766959963</v>
      </c>
      <c r="H39" s="93">
        <f t="shared" si="5"/>
        <v>50005.012238927193</v>
      </c>
      <c r="I39" s="93">
        <f t="shared" si="5"/>
        <v>51535.128688043565</v>
      </c>
      <c r="J39" s="93">
        <f t="shared" si="5"/>
        <v>54158.005851558191</v>
      </c>
      <c r="K39" s="93">
        <f t="shared" si="5"/>
        <v>56791.630941407144</v>
      </c>
      <c r="L39" s="93">
        <f t="shared" si="5"/>
        <v>59410.947576428414</v>
      </c>
      <c r="M39" s="93">
        <f t="shared" si="5"/>
        <v>62025.000268964643</v>
      </c>
      <c r="N39" s="93">
        <f t="shared" si="5"/>
        <v>64629.239415101867</v>
      </c>
      <c r="O39" s="93">
        <f t="shared" si="5"/>
        <v>67223.630423545386</v>
      </c>
      <c r="P39" s="93">
        <f t="shared" si="5"/>
        <v>70123.061255215522</v>
      </c>
      <c r="Q39" s="93">
        <f t="shared" si="5"/>
        <v>73012.555877394247</v>
      </c>
      <c r="R39" s="93">
        <f t="shared" si="5"/>
        <v>75892.06080060589</v>
      </c>
      <c r="S39" s="93">
        <f t="shared" si="5"/>
        <v>78761.516220183825</v>
      </c>
      <c r="T39" s="93">
        <f t="shared" si="5"/>
        <v>81604.63091973291</v>
      </c>
      <c r="U39" s="93">
        <f t="shared" si="5"/>
        <v>84033.217388771474</v>
      </c>
      <c r="V39" s="93">
        <f t="shared" si="5"/>
        <v>86451.136853966018</v>
      </c>
      <c r="W39" s="93">
        <f t="shared" si="5"/>
        <v>88858.273027172938</v>
      </c>
      <c r="X39" s="93">
        <f t="shared" si="5"/>
        <v>91254.502765387457</v>
      </c>
      <c r="Y39" s="93">
        <f t="shared" si="5"/>
        <v>93639.696002998156</v>
      </c>
      <c r="AA39" s="606">
        <f>SUM(F39:Y39)</f>
        <v>1399310.6235477659</v>
      </c>
      <c r="AB39" s="607">
        <f t="shared" si="2"/>
        <v>1399310.6235477659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12068</v>
      </c>
      <c r="G41" s="90">
        <f t="shared" ref="G41:Y41" si="7">+G108</f>
        <v>12068</v>
      </c>
      <c r="H41" s="90">
        <f t="shared" si="7"/>
        <v>12068</v>
      </c>
      <c r="I41" s="90">
        <f t="shared" si="7"/>
        <v>12068</v>
      </c>
      <c r="J41" s="90">
        <f t="shared" si="7"/>
        <v>12068</v>
      </c>
      <c r="K41" s="90">
        <f t="shared" si="7"/>
        <v>12068</v>
      </c>
      <c r="L41" s="90">
        <f t="shared" si="7"/>
        <v>12068</v>
      </c>
      <c r="M41" s="90">
        <f t="shared" si="7"/>
        <v>12068</v>
      </c>
      <c r="N41" s="90">
        <f t="shared" si="7"/>
        <v>12068</v>
      </c>
      <c r="O41" s="90">
        <f t="shared" si="7"/>
        <v>12068</v>
      </c>
      <c r="P41" s="90">
        <f t="shared" si="7"/>
        <v>12068</v>
      </c>
      <c r="Q41" s="90">
        <f t="shared" si="7"/>
        <v>12068</v>
      </c>
      <c r="R41" s="90">
        <f t="shared" si="7"/>
        <v>12068</v>
      </c>
      <c r="S41" s="90">
        <f t="shared" si="7"/>
        <v>12068</v>
      </c>
      <c r="T41" s="90">
        <f t="shared" si="7"/>
        <v>12068</v>
      </c>
      <c r="U41" s="90">
        <f t="shared" si="7"/>
        <v>12068</v>
      </c>
      <c r="V41" s="90">
        <f t="shared" si="7"/>
        <v>12068</v>
      </c>
      <c r="W41" s="90">
        <f t="shared" si="7"/>
        <v>12068</v>
      </c>
      <c r="X41" s="90">
        <f t="shared" si="7"/>
        <v>12068</v>
      </c>
      <c r="Y41" s="90">
        <f t="shared" si="7"/>
        <v>12068</v>
      </c>
      <c r="AA41" s="606">
        <f t="shared" si="6"/>
        <v>241360</v>
      </c>
      <c r="AB41" s="607">
        <f t="shared" si="2"/>
        <v>241360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46070.62126540106</v>
      </c>
      <c r="G44" s="93">
        <f t="shared" si="8"/>
        <v>39694.755766959963</v>
      </c>
      <c r="H44" s="93">
        <f t="shared" si="8"/>
        <v>37937.012238927193</v>
      </c>
      <c r="I44" s="93">
        <f t="shared" si="8"/>
        <v>39467.128688043565</v>
      </c>
      <c r="J44" s="93">
        <f t="shared" si="8"/>
        <v>42090.005851558191</v>
      </c>
      <c r="K44" s="93">
        <f t="shared" si="8"/>
        <v>44723.630941407144</v>
      </c>
      <c r="L44" s="93">
        <f t="shared" si="8"/>
        <v>47342.947576428414</v>
      </c>
      <c r="M44" s="93">
        <f t="shared" si="8"/>
        <v>49957.000268964643</v>
      </c>
      <c r="N44" s="93">
        <f t="shared" si="8"/>
        <v>52561.239415101867</v>
      </c>
      <c r="O44" s="93">
        <f t="shared" si="8"/>
        <v>55155.630423545386</v>
      </c>
      <c r="P44" s="93">
        <f t="shared" si="8"/>
        <v>58055.061255215522</v>
      </c>
      <c r="Q44" s="93">
        <f t="shared" si="8"/>
        <v>60944.555877394247</v>
      </c>
      <c r="R44" s="93">
        <f t="shared" si="8"/>
        <v>63824.06080060589</v>
      </c>
      <c r="S44" s="93">
        <f t="shared" si="8"/>
        <v>66693.516220183825</v>
      </c>
      <c r="T44" s="93">
        <f t="shared" si="8"/>
        <v>69536.63091973291</v>
      </c>
      <c r="U44" s="93">
        <f t="shared" si="8"/>
        <v>71965.217388771474</v>
      </c>
      <c r="V44" s="93">
        <f t="shared" si="8"/>
        <v>74383.136853966018</v>
      </c>
      <c r="W44" s="93">
        <f t="shared" si="8"/>
        <v>76790.273027172938</v>
      </c>
      <c r="X44" s="93">
        <f t="shared" si="8"/>
        <v>79186.502765387457</v>
      </c>
      <c r="Y44" s="93">
        <f t="shared" si="8"/>
        <v>81571.696002998156</v>
      </c>
      <c r="AA44" s="606">
        <f t="shared" si="6"/>
        <v>1157950.6235477659</v>
      </c>
      <c r="AB44" s="607">
        <f t="shared" si="2"/>
        <v>1157950.6235477659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F171</f>
        <v>0</v>
      </c>
      <c r="G46" s="104">
        <f t="shared" ref="G46:Y46" si="9">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46070.62126540106</v>
      </c>
      <c r="G49" s="93">
        <f t="shared" si="10"/>
        <v>39694.755766959963</v>
      </c>
      <c r="H49" s="93">
        <f t="shared" si="10"/>
        <v>37937.012238927193</v>
      </c>
      <c r="I49" s="93">
        <f t="shared" si="10"/>
        <v>39467.128688043565</v>
      </c>
      <c r="J49" s="93">
        <f t="shared" si="10"/>
        <v>42090.005851558191</v>
      </c>
      <c r="K49" s="93">
        <f t="shared" si="10"/>
        <v>44723.630941407144</v>
      </c>
      <c r="L49" s="93">
        <f t="shared" si="10"/>
        <v>47342.947576428414</v>
      </c>
      <c r="M49" s="93">
        <f t="shared" si="10"/>
        <v>49957.000268964643</v>
      </c>
      <c r="N49" s="93">
        <f t="shared" si="10"/>
        <v>52561.239415101867</v>
      </c>
      <c r="O49" s="93">
        <f t="shared" si="10"/>
        <v>55155.630423545386</v>
      </c>
      <c r="P49" s="93">
        <f t="shared" si="10"/>
        <v>58055.061255215522</v>
      </c>
      <c r="Q49" s="93">
        <f t="shared" si="10"/>
        <v>60944.555877394247</v>
      </c>
      <c r="R49" s="93">
        <f t="shared" si="10"/>
        <v>63824.06080060589</v>
      </c>
      <c r="S49" s="93">
        <f t="shared" si="10"/>
        <v>66693.516220183825</v>
      </c>
      <c r="T49" s="93">
        <f t="shared" si="10"/>
        <v>69536.63091973291</v>
      </c>
      <c r="U49" s="93">
        <f t="shared" si="10"/>
        <v>71965.217388771474</v>
      </c>
      <c r="V49" s="93">
        <f t="shared" si="10"/>
        <v>74383.136853966018</v>
      </c>
      <c r="W49" s="93">
        <f t="shared" si="10"/>
        <v>76790.273027172938</v>
      </c>
      <c r="X49" s="93">
        <f t="shared" si="10"/>
        <v>79186.502765387457</v>
      </c>
      <c r="Y49" s="93">
        <f t="shared" si="10"/>
        <v>81571.696002998156</v>
      </c>
      <c r="AA49" s="606">
        <f t="shared" si="6"/>
        <v>1157950.6235477659</v>
      </c>
      <c r="AB49" s="607">
        <f t="shared" si="2"/>
        <v>1157950.6235477659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-4100.2852926206942</v>
      </c>
      <c r="G51" s="55">
        <f t="shared" si="11"/>
        <v>-3532.8332632594365</v>
      </c>
      <c r="H51" s="90">
        <f t="shared" si="11"/>
        <v>-3376.3940892645201</v>
      </c>
      <c r="I51" s="90">
        <f t="shared" si="11"/>
        <v>-3512.5744532358772</v>
      </c>
      <c r="J51" s="90">
        <f t="shared" si="11"/>
        <v>-3746.0105207886791</v>
      </c>
      <c r="K51" s="90">
        <f t="shared" si="11"/>
        <v>-3980.4031537852356</v>
      </c>
      <c r="L51" s="90">
        <f t="shared" si="11"/>
        <v>-4213.5223343021289</v>
      </c>
      <c r="M51" s="90">
        <f t="shared" si="11"/>
        <v>-4446.173023937853</v>
      </c>
      <c r="N51" s="90">
        <f t="shared" si="11"/>
        <v>-4677.9503079440656</v>
      </c>
      <c r="O51" s="90">
        <f t="shared" si="11"/>
        <v>-4908.8511076955392</v>
      </c>
      <c r="P51" s="90">
        <f t="shared" si="11"/>
        <v>-5166.9004517141811</v>
      </c>
      <c r="Q51" s="90">
        <f t="shared" si="11"/>
        <v>-5424.0654730880879</v>
      </c>
      <c r="R51" s="90">
        <f t="shared" si="11"/>
        <v>-5680.341411253924</v>
      </c>
      <c r="S51" s="90">
        <f t="shared" si="11"/>
        <v>-5935.72294359636</v>
      </c>
      <c r="T51" s="90">
        <f t="shared" si="11"/>
        <v>-6188.7601518562287</v>
      </c>
      <c r="U51" s="90">
        <f t="shared" si="11"/>
        <v>-6404.9043476006609</v>
      </c>
      <c r="V51" s="90">
        <f t="shared" si="11"/>
        <v>-6620.0991800029751</v>
      </c>
      <c r="W51" s="90">
        <f t="shared" si="11"/>
        <v>-6834.3342994183913</v>
      </c>
      <c r="X51" s="90">
        <f t="shared" si="11"/>
        <v>-7047.5987461194836</v>
      </c>
      <c r="Y51" s="90">
        <f t="shared" si="11"/>
        <v>-7259.8809442668353</v>
      </c>
      <c r="AA51" s="606">
        <f t="shared" si="6"/>
        <v>-103057.60549575117</v>
      </c>
      <c r="AB51" s="607">
        <f t="shared" si="2"/>
        <v>-103057.60549575117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-14689.617590473126</v>
      </c>
      <c r="G52" s="89">
        <f t="shared" si="12"/>
        <v>-12656.672876295183</v>
      </c>
      <c r="H52" s="89">
        <f t="shared" si="12"/>
        <v>-12096.216352381934</v>
      </c>
      <c r="I52" s="89">
        <f t="shared" si="12"/>
        <v>-12584.093982182689</v>
      </c>
      <c r="J52" s="89">
        <f t="shared" si="12"/>
        <v>-13420.398365769328</v>
      </c>
      <c r="K52" s="89">
        <f t="shared" si="12"/>
        <v>-14260.129725667668</v>
      </c>
      <c r="L52" s="89">
        <f t="shared" si="12"/>
        <v>-15095.298834744199</v>
      </c>
      <c r="M52" s="89">
        <f t="shared" si="12"/>
        <v>-15928.789535759375</v>
      </c>
      <c r="N52" s="89">
        <f t="shared" si="12"/>
        <v>-16759.151187505231</v>
      </c>
      <c r="O52" s="89">
        <f t="shared" si="12"/>
        <v>-17586.372760547445</v>
      </c>
      <c r="P52" s="89">
        <f t="shared" si="12"/>
        <v>-18510.856281225468</v>
      </c>
      <c r="Q52" s="89">
        <f t="shared" si="12"/>
        <v>-19432.171641507157</v>
      </c>
      <c r="R52" s="89">
        <f t="shared" si="12"/>
        <v>-20350.301786273187</v>
      </c>
      <c r="S52" s="89">
        <f t="shared" si="12"/>
        <v>-21265.227646805612</v>
      </c>
      <c r="T52" s="89">
        <f t="shared" si="12"/>
        <v>-22171.754768756837</v>
      </c>
      <c r="U52" s="89">
        <f t="shared" si="12"/>
        <v>-22946.109564409784</v>
      </c>
      <c r="V52" s="89">
        <f t="shared" si="12"/>
        <v>-23717.063185887066</v>
      </c>
      <c r="W52" s="89">
        <f t="shared" si="12"/>
        <v>-24484.578554714091</v>
      </c>
      <c r="X52" s="89">
        <f t="shared" si="12"/>
        <v>-25248.616406743786</v>
      </c>
      <c r="Y52" s="89">
        <f t="shared" si="12"/>
        <v>-26009.135270555962</v>
      </c>
      <c r="AA52" s="606">
        <f t="shared" si="6"/>
        <v>-369212.55631820514</v>
      </c>
      <c r="AB52" s="607">
        <f t="shared" si="2"/>
        <v>-369212.55631820514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27280.718382307234</v>
      </c>
      <c r="G54" s="93">
        <f t="shared" si="13"/>
        <v>23505.249627405341</v>
      </c>
      <c r="H54" s="93">
        <f t="shared" si="13"/>
        <v>22464.401797280741</v>
      </c>
      <c r="I54" s="93">
        <f t="shared" si="13"/>
        <v>23370.460252624995</v>
      </c>
      <c r="J54" s="93">
        <f t="shared" si="13"/>
        <v>24923.596965000183</v>
      </c>
      <c r="K54" s="93">
        <f t="shared" si="13"/>
        <v>26483.098061954239</v>
      </c>
      <c r="L54" s="93">
        <f t="shared" si="13"/>
        <v>28034.126407382086</v>
      </c>
      <c r="M54" s="93">
        <f t="shared" si="13"/>
        <v>29582.037709267417</v>
      </c>
      <c r="N54" s="93">
        <f t="shared" si="13"/>
        <v>31124.137919652574</v>
      </c>
      <c r="O54" s="93">
        <f t="shared" si="13"/>
        <v>32660.406555302401</v>
      </c>
      <c r="P54" s="93">
        <f t="shared" si="13"/>
        <v>34377.304522275874</v>
      </c>
      <c r="Q54" s="93">
        <f t="shared" si="13"/>
        <v>36088.318762799005</v>
      </c>
      <c r="R54" s="93">
        <f t="shared" si="13"/>
        <v>37793.417603078778</v>
      </c>
      <c r="S54" s="93">
        <f t="shared" si="13"/>
        <v>39492.56562978185</v>
      </c>
      <c r="T54" s="93">
        <f t="shared" si="13"/>
        <v>41176.115999119844</v>
      </c>
      <c r="U54" s="93">
        <f t="shared" si="13"/>
        <v>42614.203476761031</v>
      </c>
      <c r="V54" s="93">
        <f t="shared" si="13"/>
        <v>44045.974488075983</v>
      </c>
      <c r="W54" s="93">
        <f t="shared" si="13"/>
        <v>45471.360173040455</v>
      </c>
      <c r="X54" s="93">
        <f t="shared" si="13"/>
        <v>46890.287612524182</v>
      </c>
      <c r="Y54" s="93">
        <f t="shared" si="13"/>
        <v>48302.679788175366</v>
      </c>
      <c r="AA54" s="606">
        <f t="shared" si="6"/>
        <v>685680.46173380956</v>
      </c>
      <c r="AB54" s="607">
        <f t="shared" si="2"/>
        <v>685680.46173380956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237" t="s">
        <v>137</v>
      </c>
      <c r="B58" s="557"/>
      <c r="C58" s="55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58138.62126540106</v>
      </c>
      <c r="G64" s="24">
        <f t="shared" si="15"/>
        <v>51762.755766959963</v>
      </c>
      <c r="H64" s="20">
        <f t="shared" si="15"/>
        <v>50005.012238927193</v>
      </c>
      <c r="I64" s="20">
        <f t="shared" si="15"/>
        <v>51535.128688043565</v>
      </c>
      <c r="J64" s="20">
        <f t="shared" si="15"/>
        <v>54158.005851558191</v>
      </c>
      <c r="K64" s="20">
        <f t="shared" si="15"/>
        <v>56791.630941407144</v>
      </c>
      <c r="L64" s="20">
        <f t="shared" si="15"/>
        <v>59410.947576428414</v>
      </c>
      <c r="M64" s="20">
        <f t="shared" si="15"/>
        <v>62025.000268964643</v>
      </c>
      <c r="N64" s="20">
        <f t="shared" si="15"/>
        <v>64629.239415101867</v>
      </c>
      <c r="O64" s="20">
        <f t="shared" si="15"/>
        <v>67223.630423545386</v>
      </c>
      <c r="P64" s="20">
        <f t="shared" si="15"/>
        <v>70123.061255215522</v>
      </c>
      <c r="Q64" s="20">
        <f t="shared" si="15"/>
        <v>73012.555877394247</v>
      </c>
      <c r="R64" s="20">
        <f t="shared" si="15"/>
        <v>75892.06080060589</v>
      </c>
      <c r="S64" s="20">
        <f t="shared" si="15"/>
        <v>78761.516220183825</v>
      </c>
      <c r="T64" s="20">
        <f t="shared" si="15"/>
        <v>81604.63091973291</v>
      </c>
      <c r="U64" s="20">
        <f t="shared" si="15"/>
        <v>84033.217388771474</v>
      </c>
      <c r="V64" s="20">
        <f t="shared" si="15"/>
        <v>86451.136853966018</v>
      </c>
      <c r="W64" s="20">
        <f t="shared" si="15"/>
        <v>88858.273027172938</v>
      </c>
      <c r="X64" s="20">
        <f t="shared" si="15"/>
        <v>91254.502765387457</v>
      </c>
      <c r="Y64" s="20">
        <f t="shared" si="15"/>
        <v>93639.696002998156</v>
      </c>
      <c r="AA64" s="606">
        <f t="shared" si="6"/>
        <v>1399310.6235477659</v>
      </c>
      <c r="AB64" s="607">
        <f t="shared" si="2"/>
        <v>1399310.6235477659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58138.62126540106</v>
      </c>
      <c r="G69" s="95">
        <f t="shared" si="17"/>
        <v>51762.755766959963</v>
      </c>
      <c r="H69" s="95">
        <f t="shared" si="17"/>
        <v>50005.012238927193</v>
      </c>
      <c r="I69" s="95">
        <f t="shared" si="17"/>
        <v>51535.128688043565</v>
      </c>
      <c r="J69" s="95">
        <f t="shared" si="17"/>
        <v>54158.005851558191</v>
      </c>
      <c r="K69" s="95">
        <f t="shared" si="17"/>
        <v>56791.630941407144</v>
      </c>
      <c r="L69" s="95">
        <f t="shared" si="17"/>
        <v>59410.947576428414</v>
      </c>
      <c r="M69" s="95">
        <f t="shared" si="17"/>
        <v>62025.000268964643</v>
      </c>
      <c r="N69" s="95">
        <f t="shared" si="17"/>
        <v>64629.239415101867</v>
      </c>
      <c r="O69" s="95">
        <f t="shared" si="17"/>
        <v>67223.630423545386</v>
      </c>
      <c r="P69" s="95">
        <f t="shared" si="17"/>
        <v>70123.061255215522</v>
      </c>
      <c r="Q69" s="95">
        <f t="shared" si="17"/>
        <v>73012.555877394247</v>
      </c>
      <c r="R69" s="95">
        <f t="shared" si="17"/>
        <v>75892.06080060589</v>
      </c>
      <c r="S69" s="95">
        <f t="shared" si="17"/>
        <v>78761.516220183825</v>
      </c>
      <c r="T69" s="95">
        <f t="shared" si="17"/>
        <v>81604.63091973291</v>
      </c>
      <c r="U69" s="95">
        <f t="shared" si="17"/>
        <v>84033.217388771474</v>
      </c>
      <c r="V69" s="95">
        <f t="shared" si="17"/>
        <v>86451.136853966018</v>
      </c>
      <c r="W69" s="95">
        <f t="shared" si="17"/>
        <v>88858.273027172938</v>
      </c>
      <c r="X69" s="95">
        <f t="shared" si="17"/>
        <v>91254.502765387457</v>
      </c>
      <c r="Y69" s="95">
        <f t="shared" si="17"/>
        <v>93639.696002998156</v>
      </c>
      <c r="AA69" s="606">
        <f t="shared" si="6"/>
        <v>1399310.6235477659</v>
      </c>
      <c r="AB69" s="607">
        <f t="shared" si="2"/>
        <v>1399310.6235477659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-18174.660295344198</v>
      </c>
      <c r="G71" s="100">
        <f t="shared" si="18"/>
        <v>-10452.006248044076</v>
      </c>
      <c r="H71" s="100">
        <f t="shared" si="18"/>
        <v>-10535.417110711989</v>
      </c>
      <c r="I71" s="100">
        <f t="shared" si="18"/>
        <v>-11897.765289517385</v>
      </c>
      <c r="J71" s="100">
        <f t="shared" si="18"/>
        <v>-13652.639032367711</v>
      </c>
      <c r="K71" s="100">
        <f t="shared" si="18"/>
        <v>-15358.739423651097</v>
      </c>
      <c r="L71" s="100">
        <f t="shared" si="18"/>
        <v>-17013.230120160952</v>
      </c>
      <c r="M71" s="100">
        <f t="shared" si="18"/>
        <v>-18619.799926256215</v>
      </c>
      <c r="N71" s="100">
        <f t="shared" si="18"/>
        <v>-19770.533684212271</v>
      </c>
      <c r="O71" s="100">
        <f t="shared" si="18"/>
        <v>-20830.132637376031</v>
      </c>
      <c r="P71" s="100">
        <f t="shared" si="18"/>
        <v>-22011.188921702626</v>
      </c>
      <c r="Q71" s="100">
        <f t="shared" si="18"/>
        <v>-23191.145883728284</v>
      </c>
      <c r="R71" s="100">
        <f t="shared" si="18"/>
        <v>-24364.075386290089</v>
      </c>
      <c r="S71" s="100">
        <f t="shared" si="18"/>
        <v>-25535.859359535018</v>
      </c>
      <c r="T71" s="100">
        <f t="shared" si="18"/>
        <v>-26693.947109376044</v>
      </c>
      <c r="U71" s="100">
        <f t="shared" si="18"/>
        <v>-27685.922681143489</v>
      </c>
      <c r="V71" s="100">
        <f t="shared" si="18"/>
        <v>-28670.594554653024</v>
      </c>
      <c r="W71" s="100">
        <f t="shared" si="18"/>
        <v>-29653.821623265529</v>
      </c>
      <c r="X71" s="100">
        <f t="shared" si="18"/>
        <v>-30629.647341626252</v>
      </c>
      <c r="Y71" s="100">
        <f t="shared" si="18"/>
        <v>-31603.92498395584</v>
      </c>
      <c r="AA71" s="606">
        <f t="shared" si="6"/>
        <v>-426345.05161291809</v>
      </c>
      <c r="AB71" s="607">
        <f t="shared" si="2"/>
        <v>-426345.05161291809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39963.960970056862</v>
      </c>
      <c r="G73" s="28">
        <f t="shared" si="19"/>
        <v>41310.749518915887</v>
      </c>
      <c r="H73" s="28">
        <f t="shared" si="19"/>
        <v>39469.595128215202</v>
      </c>
      <c r="I73" s="28">
        <f t="shared" si="19"/>
        <v>39637.363398526184</v>
      </c>
      <c r="J73" s="28">
        <f t="shared" si="19"/>
        <v>40505.36681919048</v>
      </c>
      <c r="K73" s="28">
        <f t="shared" si="19"/>
        <v>41432.891517756048</v>
      </c>
      <c r="L73" s="28">
        <f t="shared" si="19"/>
        <v>42397.717456267463</v>
      </c>
      <c r="M73" s="28">
        <f t="shared" si="19"/>
        <v>43405.200342708427</v>
      </c>
      <c r="N73" s="28">
        <f t="shared" si="19"/>
        <v>44858.705730889596</v>
      </c>
      <c r="O73" s="28">
        <f t="shared" si="19"/>
        <v>46393.497786169355</v>
      </c>
      <c r="P73" s="28">
        <f t="shared" si="19"/>
        <v>48111.872333512896</v>
      </c>
      <c r="Q73" s="28">
        <f t="shared" si="19"/>
        <v>49821.409993665962</v>
      </c>
      <c r="R73" s="28">
        <f t="shared" si="19"/>
        <v>51527.985414315801</v>
      </c>
      <c r="S73" s="28">
        <f t="shared" si="19"/>
        <v>53225.656860648807</v>
      </c>
      <c r="T73" s="28">
        <f t="shared" si="19"/>
        <v>54910.683810356866</v>
      </c>
      <c r="U73" s="28">
        <f t="shared" si="19"/>
        <v>56347.294707627982</v>
      </c>
      <c r="V73" s="28">
        <f t="shared" si="19"/>
        <v>57780.542299312991</v>
      </c>
      <c r="W73" s="28">
        <f t="shared" si="19"/>
        <v>59204.451403907413</v>
      </c>
      <c r="X73" s="28">
        <f t="shared" si="19"/>
        <v>60624.855423761204</v>
      </c>
      <c r="Y73" s="28">
        <f t="shared" si="19"/>
        <v>62035.771019042317</v>
      </c>
      <c r="AA73" s="606">
        <f t="shared" si="6"/>
        <v>972965.57193484774</v>
      </c>
      <c r="AB73" s="607">
        <f t="shared" si="2"/>
        <v>972965.57193484774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27280.718382307234</v>
      </c>
      <c r="G76" s="95">
        <f t="shared" si="21"/>
        <v>23505.249627405341</v>
      </c>
      <c r="H76" s="28">
        <f t="shared" si="21"/>
        <v>22464.401797280741</v>
      </c>
      <c r="I76" s="28">
        <f t="shared" si="21"/>
        <v>23370.460252624995</v>
      </c>
      <c r="J76" s="28">
        <f t="shared" si="21"/>
        <v>24923.596965000183</v>
      </c>
      <c r="K76" s="28">
        <f t="shared" si="21"/>
        <v>26483.098061954239</v>
      </c>
      <c r="L76" s="28">
        <f t="shared" si="21"/>
        <v>28034.126407382086</v>
      </c>
      <c r="M76" s="28">
        <f t="shared" si="21"/>
        <v>29582.037709267417</v>
      </c>
      <c r="N76" s="28">
        <f t="shared" si="21"/>
        <v>31124.137919652574</v>
      </c>
      <c r="O76" s="28">
        <f t="shared" si="21"/>
        <v>32660.406555302401</v>
      </c>
      <c r="P76" s="28">
        <f t="shared" si="21"/>
        <v>34377.304522275874</v>
      </c>
      <c r="Q76" s="28">
        <f t="shared" si="21"/>
        <v>36088.318762799005</v>
      </c>
      <c r="R76" s="28">
        <f t="shared" si="21"/>
        <v>37793.417603078778</v>
      </c>
      <c r="S76" s="28">
        <f t="shared" si="21"/>
        <v>39492.56562978185</v>
      </c>
      <c r="T76" s="28">
        <f t="shared" si="21"/>
        <v>41176.115999119844</v>
      </c>
      <c r="U76" s="28">
        <f t="shared" si="21"/>
        <v>42614.203476761031</v>
      </c>
      <c r="V76" s="28">
        <f t="shared" si="21"/>
        <v>44045.974488075983</v>
      </c>
      <c r="W76" s="28">
        <f t="shared" si="21"/>
        <v>45471.360173040455</v>
      </c>
      <c r="X76" s="28">
        <f t="shared" si="21"/>
        <v>46890.287612524182</v>
      </c>
      <c r="Y76" s="28">
        <f t="shared" si="21"/>
        <v>48302.679788175366</v>
      </c>
      <c r="AA76" s="606">
        <f t="shared" si="6"/>
        <v>685680.46173380956</v>
      </c>
      <c r="AB76" s="607">
        <f>AA76</f>
        <v>685680.46173380956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39963.960970056862</v>
      </c>
      <c r="G77" s="95">
        <f t="shared" si="22"/>
        <v>41310.749518915887</v>
      </c>
      <c r="H77" s="28">
        <f t="shared" si="22"/>
        <v>39469.595128215202</v>
      </c>
      <c r="I77" s="28">
        <f t="shared" si="22"/>
        <v>39637.363398526184</v>
      </c>
      <c r="J77" s="28">
        <f t="shared" si="22"/>
        <v>40505.36681919048</v>
      </c>
      <c r="K77" s="28">
        <f t="shared" si="22"/>
        <v>41432.891517756048</v>
      </c>
      <c r="L77" s="28">
        <f t="shared" si="22"/>
        <v>42397.717456267463</v>
      </c>
      <c r="M77" s="28">
        <f t="shared" si="22"/>
        <v>43405.200342708427</v>
      </c>
      <c r="N77" s="28">
        <f t="shared" si="22"/>
        <v>44858.705730889596</v>
      </c>
      <c r="O77" s="28">
        <f t="shared" si="22"/>
        <v>46393.497786169355</v>
      </c>
      <c r="P77" s="28">
        <f t="shared" si="22"/>
        <v>48111.872333512896</v>
      </c>
      <c r="Q77" s="28">
        <f t="shared" si="22"/>
        <v>49821.409993665962</v>
      </c>
      <c r="R77" s="28">
        <f t="shared" si="22"/>
        <v>51527.985414315801</v>
      </c>
      <c r="S77" s="28">
        <f t="shared" si="22"/>
        <v>53225.656860648807</v>
      </c>
      <c r="T77" s="28">
        <f t="shared" si="22"/>
        <v>54910.683810356866</v>
      </c>
      <c r="U77" s="28">
        <f t="shared" si="22"/>
        <v>56347.294707627982</v>
      </c>
      <c r="V77" s="28">
        <f t="shared" si="22"/>
        <v>57780.542299312991</v>
      </c>
      <c r="W77" s="28">
        <f t="shared" si="22"/>
        <v>59204.451403907413</v>
      </c>
      <c r="X77" s="28">
        <f t="shared" si="22"/>
        <v>60624.855423761204</v>
      </c>
      <c r="Y77" s="28">
        <f t="shared" si="22"/>
        <v>62035.771019042317</v>
      </c>
      <c r="AA77" s="606">
        <f t="shared" si="6"/>
        <v>972965.57193484774</v>
      </c>
      <c r="AB77" s="607">
        <f>AA77</f>
        <v>972965.57193484774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6.5" thickBot="1">
      <c r="A86" s="1237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58138.62126540106</v>
      </c>
      <c r="G88" s="200">
        <f t="shared" ref="G88:Y88" si="24">G69</f>
        <v>51762.755766959963</v>
      </c>
      <c r="H88" s="200">
        <f t="shared" si="24"/>
        <v>50005.012238927193</v>
      </c>
      <c r="I88" s="200">
        <f t="shared" si="24"/>
        <v>51535.128688043565</v>
      </c>
      <c r="J88" s="200">
        <f t="shared" si="24"/>
        <v>54158.005851558191</v>
      </c>
      <c r="K88" s="200">
        <f t="shared" si="24"/>
        <v>56791.630941407144</v>
      </c>
      <c r="L88" s="200">
        <f t="shared" si="24"/>
        <v>59410.947576428414</v>
      </c>
      <c r="M88" s="200">
        <f t="shared" si="24"/>
        <v>62025.000268964643</v>
      </c>
      <c r="N88" s="200">
        <f t="shared" si="24"/>
        <v>64629.239415101867</v>
      </c>
      <c r="O88" s="200">
        <f t="shared" si="24"/>
        <v>67223.630423545386</v>
      </c>
      <c r="P88" s="200">
        <f t="shared" si="24"/>
        <v>70123.061255215522</v>
      </c>
      <c r="Q88" s="200">
        <f t="shared" si="24"/>
        <v>73012.555877394247</v>
      </c>
      <c r="R88" s="200">
        <f t="shared" si="24"/>
        <v>75892.06080060589</v>
      </c>
      <c r="S88" s="200">
        <f t="shared" si="24"/>
        <v>78761.516220183825</v>
      </c>
      <c r="T88" s="200">
        <f t="shared" si="24"/>
        <v>81604.63091973291</v>
      </c>
      <c r="U88" s="200">
        <f t="shared" si="24"/>
        <v>84033.217388771474</v>
      </c>
      <c r="V88" s="200">
        <f t="shared" si="24"/>
        <v>86451.136853966018</v>
      </c>
      <c r="W88" s="200">
        <f t="shared" si="24"/>
        <v>88858.273027172938</v>
      </c>
      <c r="X88" s="200">
        <f t="shared" si="24"/>
        <v>91254.502765387457</v>
      </c>
      <c r="Y88" s="200">
        <f t="shared" si="24"/>
        <v>93639.696002998156</v>
      </c>
      <c r="AA88" s="606">
        <f t="shared" si="6"/>
        <v>1399310.6235477659</v>
      </c>
      <c r="AB88" s="607">
        <f t="shared" si="20"/>
        <v>1399310.6235477659</v>
      </c>
    </row>
    <row r="89" spans="1:28" s="199" customFormat="1">
      <c r="A89" s="199" t="s">
        <v>53</v>
      </c>
      <c r="F89" s="110">
        <f>F125+F126</f>
        <v>-18174.660295344198</v>
      </c>
      <c r="G89" s="110">
        <f t="shared" ref="G89:Y89" si="25">G125+G126</f>
        <v>-10452.006248044076</v>
      </c>
      <c r="H89" s="110">
        <f t="shared" si="25"/>
        <v>-10535.417110711989</v>
      </c>
      <c r="I89" s="110">
        <f t="shared" si="25"/>
        <v>-11897.765289517385</v>
      </c>
      <c r="J89" s="110">
        <f t="shared" si="25"/>
        <v>-13652.639032367711</v>
      </c>
      <c r="K89" s="110">
        <f t="shared" si="25"/>
        <v>-15358.739423651097</v>
      </c>
      <c r="L89" s="110">
        <f t="shared" si="25"/>
        <v>-17013.230120160952</v>
      </c>
      <c r="M89" s="110">
        <f t="shared" si="25"/>
        <v>-18619.799926256215</v>
      </c>
      <c r="N89" s="110">
        <f t="shared" si="25"/>
        <v>-19770.533684212271</v>
      </c>
      <c r="O89" s="110">
        <f t="shared" si="25"/>
        <v>-20830.132637376031</v>
      </c>
      <c r="P89" s="110">
        <f t="shared" si="25"/>
        <v>-22011.188921702626</v>
      </c>
      <c r="Q89" s="110">
        <f t="shared" si="25"/>
        <v>-23191.145883728284</v>
      </c>
      <c r="R89" s="110">
        <f t="shared" si="25"/>
        <v>-24364.075386290089</v>
      </c>
      <c r="S89" s="110">
        <f t="shared" si="25"/>
        <v>-25535.859359535018</v>
      </c>
      <c r="T89" s="110">
        <f t="shared" si="25"/>
        <v>-26693.947109376044</v>
      </c>
      <c r="U89" s="110">
        <f t="shared" si="25"/>
        <v>-27685.922681143489</v>
      </c>
      <c r="V89" s="110">
        <f t="shared" si="25"/>
        <v>-28670.594554653024</v>
      </c>
      <c r="W89" s="110">
        <f t="shared" si="25"/>
        <v>-29653.821623265529</v>
      </c>
      <c r="X89" s="110">
        <f t="shared" si="25"/>
        <v>-30629.647341626252</v>
      </c>
      <c r="Y89" s="110">
        <f t="shared" si="25"/>
        <v>-31603.92498395584</v>
      </c>
      <c r="AA89" s="606">
        <f t="shared" si="6"/>
        <v>-426345.05161291809</v>
      </c>
      <c r="AB89" s="607">
        <f t="shared" si="20"/>
        <v>-426345.05161291809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468198.48001499078</v>
      </c>
      <c r="AA90" s="606">
        <f t="shared" si="6"/>
        <v>468198.48001499078</v>
      </c>
      <c r="AB90" s="607">
        <f t="shared" si="20"/>
        <v>468198.48001499078</v>
      </c>
    </row>
    <row r="91" spans="1:28" s="199" customFormat="1">
      <c r="A91" s="199" t="s">
        <v>55</v>
      </c>
      <c r="E91" s="148">
        <v>-452550.07051200402</v>
      </c>
      <c r="F91" s="200">
        <f>F88+F89+F90</f>
        <v>39963.960970056862</v>
      </c>
      <c r="G91" s="200">
        <f t="shared" ref="G91:Y91" si="26">G88+G89+G90</f>
        <v>41310.749518915887</v>
      </c>
      <c r="H91" s="200">
        <f t="shared" si="26"/>
        <v>39469.595128215202</v>
      </c>
      <c r="I91" s="200">
        <f t="shared" si="26"/>
        <v>39637.363398526184</v>
      </c>
      <c r="J91" s="200">
        <f t="shared" si="26"/>
        <v>40505.36681919048</v>
      </c>
      <c r="K91" s="200">
        <f t="shared" si="26"/>
        <v>41432.891517756048</v>
      </c>
      <c r="L91" s="200">
        <f t="shared" si="26"/>
        <v>42397.717456267463</v>
      </c>
      <c r="M91" s="200">
        <f t="shared" si="26"/>
        <v>43405.200342708427</v>
      </c>
      <c r="N91" s="200">
        <f t="shared" si="26"/>
        <v>44858.705730889596</v>
      </c>
      <c r="O91" s="200">
        <f t="shared" si="26"/>
        <v>46393.497786169355</v>
      </c>
      <c r="P91" s="200">
        <f t="shared" si="26"/>
        <v>48111.872333512896</v>
      </c>
      <c r="Q91" s="200">
        <f t="shared" si="26"/>
        <v>49821.409993665962</v>
      </c>
      <c r="R91" s="200">
        <f t="shared" si="26"/>
        <v>51527.985414315801</v>
      </c>
      <c r="S91" s="200">
        <f t="shared" si="26"/>
        <v>53225.656860648807</v>
      </c>
      <c r="T91" s="200">
        <f t="shared" si="26"/>
        <v>54910.683810356866</v>
      </c>
      <c r="U91" s="200">
        <f t="shared" si="26"/>
        <v>56347.294707627982</v>
      </c>
      <c r="V91" s="200">
        <f t="shared" si="26"/>
        <v>57780.542299312991</v>
      </c>
      <c r="W91" s="200">
        <f t="shared" si="26"/>
        <v>59204.451403907413</v>
      </c>
      <c r="X91" s="200">
        <f t="shared" si="26"/>
        <v>60624.855423761204</v>
      </c>
      <c r="Y91" s="200">
        <f t="shared" si="26"/>
        <v>530234.25103403314</v>
      </c>
      <c r="AA91" s="606">
        <f t="shared" si="6"/>
        <v>1441164.0519498386</v>
      </c>
      <c r="AB91" s="607">
        <f t="shared" si="20"/>
        <v>1441164.0519498386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1.0583211075175892E-10</v>
      </c>
      <c r="R94" s="204"/>
      <c r="U94" s="205" t="s">
        <v>58</v>
      </c>
      <c r="V94" s="206"/>
      <c r="W94" s="206"/>
      <c r="X94" s="206"/>
      <c r="Y94" s="207">
        <f>Y39</f>
        <v>93639.696002998156</v>
      </c>
      <c r="AA94" s="606">
        <f t="shared" si="6"/>
        <v>93639.696002998156</v>
      </c>
      <c r="AB94" s="607">
        <f t="shared" si="20"/>
        <v>93639.696002998156</v>
      </c>
    </row>
    <row r="95" spans="1:28" s="199" customFormat="1" ht="13.5" thickBot="1">
      <c r="A95" s="199" t="s">
        <v>59</v>
      </c>
      <c r="C95" s="232">
        <v>0.1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20"/>
        <v>1</v>
      </c>
    </row>
    <row r="96" spans="1:28" s="199" customFormat="1">
      <c r="C96" s="233"/>
      <c r="U96" s="208" t="s">
        <v>61</v>
      </c>
      <c r="V96" s="206"/>
      <c r="W96" s="206"/>
      <c r="X96" s="206"/>
      <c r="Y96" s="209">
        <f>Y94*Y95</f>
        <v>93639.696002998156</v>
      </c>
      <c r="AA96" s="606">
        <f t="shared" si="6"/>
        <v>93639.696002998156</v>
      </c>
      <c r="AB96" s="607">
        <f t="shared" si="20"/>
        <v>93639.696002998156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468198.48001499078</v>
      </c>
      <c r="AA98" s="606">
        <f t="shared" si="6"/>
        <v>468198.48001499078</v>
      </c>
      <c r="AB98" s="607">
        <f t="shared" si="20"/>
        <v>468198.48001499078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452550.07051200402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452550.07051200402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0.8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362040.05640960322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362040.05640960322</v>
      </c>
      <c r="F108" s="203">
        <f>ROUND(D108/$B$108,0)</f>
        <v>12068</v>
      </c>
      <c r="G108" s="203">
        <f>F108</f>
        <v>12068</v>
      </c>
      <c r="H108" s="203">
        <f t="shared" ref="H108:Y109" si="29">G108</f>
        <v>12068</v>
      </c>
      <c r="I108" s="203">
        <f t="shared" si="29"/>
        <v>12068</v>
      </c>
      <c r="J108" s="203">
        <f t="shared" si="29"/>
        <v>12068</v>
      </c>
      <c r="K108" s="203">
        <f t="shared" si="29"/>
        <v>12068</v>
      </c>
      <c r="L108" s="203">
        <f t="shared" si="29"/>
        <v>12068</v>
      </c>
      <c r="M108" s="203">
        <f t="shared" si="29"/>
        <v>12068</v>
      </c>
      <c r="N108" s="203">
        <f t="shared" si="29"/>
        <v>12068</v>
      </c>
      <c r="O108" s="203">
        <f t="shared" si="29"/>
        <v>12068</v>
      </c>
      <c r="P108" s="203">
        <f t="shared" si="29"/>
        <v>12068</v>
      </c>
      <c r="Q108" s="203">
        <f t="shared" si="29"/>
        <v>12068</v>
      </c>
      <c r="R108" s="203">
        <f t="shared" si="29"/>
        <v>12068</v>
      </c>
      <c r="S108" s="203">
        <f t="shared" si="29"/>
        <v>12068</v>
      </c>
      <c r="T108" s="203">
        <f t="shared" si="29"/>
        <v>12068</v>
      </c>
      <c r="U108" s="203">
        <f t="shared" si="29"/>
        <v>12068</v>
      </c>
      <c r="V108" s="203">
        <f t="shared" si="29"/>
        <v>12068</v>
      </c>
      <c r="W108" s="203">
        <f t="shared" si="29"/>
        <v>12068</v>
      </c>
      <c r="X108" s="203">
        <f t="shared" si="29"/>
        <v>12068</v>
      </c>
      <c r="Y108" s="203">
        <f t="shared" si="29"/>
        <v>12068</v>
      </c>
      <c r="AA108" s="606">
        <f t="shared" si="27"/>
        <v>241360</v>
      </c>
      <c r="AB108" s="607">
        <f t="shared" si="20"/>
        <v>241360</v>
      </c>
    </row>
    <row r="109" spans="1:28" s="199" customFormat="1">
      <c r="A109" s="199" t="s">
        <v>571</v>
      </c>
      <c r="D109" s="214">
        <f>'FPLE_Valuation Summary'!V12*D103</f>
        <v>53739.803493313157</v>
      </c>
      <c r="F109" s="203">
        <f>ROUND(D109/$B$108,0)</f>
        <v>1791</v>
      </c>
      <c r="G109" s="203">
        <f>F109</f>
        <v>1791</v>
      </c>
      <c r="H109" s="203">
        <f t="shared" si="29"/>
        <v>1791</v>
      </c>
      <c r="I109" s="203">
        <f t="shared" si="29"/>
        <v>1791</v>
      </c>
      <c r="J109" s="203">
        <f t="shared" si="29"/>
        <v>1791</v>
      </c>
      <c r="K109" s="203">
        <f t="shared" si="29"/>
        <v>1791</v>
      </c>
      <c r="L109" s="203">
        <f t="shared" si="29"/>
        <v>1791</v>
      </c>
      <c r="M109" s="203">
        <f t="shared" si="29"/>
        <v>1791</v>
      </c>
      <c r="N109" s="203">
        <f t="shared" si="29"/>
        <v>1791</v>
      </c>
      <c r="O109" s="203">
        <f t="shared" si="29"/>
        <v>1791</v>
      </c>
      <c r="P109" s="203">
        <f t="shared" si="29"/>
        <v>1791</v>
      </c>
      <c r="Q109" s="203">
        <f t="shared" si="29"/>
        <v>1791</v>
      </c>
      <c r="R109" s="203">
        <f t="shared" si="29"/>
        <v>1791</v>
      </c>
      <c r="S109" s="203">
        <f t="shared" si="29"/>
        <v>1791</v>
      </c>
      <c r="T109" s="203">
        <f t="shared" si="29"/>
        <v>1791</v>
      </c>
      <c r="U109" s="203">
        <f t="shared" si="29"/>
        <v>1791</v>
      </c>
      <c r="V109" s="203">
        <f t="shared" si="29"/>
        <v>1791</v>
      </c>
      <c r="W109" s="203">
        <f t="shared" si="29"/>
        <v>1791</v>
      </c>
      <c r="X109" s="203">
        <f t="shared" si="29"/>
        <v>1791</v>
      </c>
      <c r="Y109" s="203">
        <f t="shared" si="29"/>
        <v>1791</v>
      </c>
      <c r="AA109" s="606">
        <f t="shared" si="27"/>
        <v>35820</v>
      </c>
      <c r="AB109" s="607">
        <f t="shared" si="20"/>
        <v>35820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362040.05640960322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13576.502115360121</v>
      </c>
      <c r="G114" s="203">
        <f t="shared" si="30"/>
        <v>26135.671672209257</v>
      </c>
      <c r="H114" s="203">
        <f t="shared" si="30"/>
        <v>24173.414566469204</v>
      </c>
      <c r="I114" s="203">
        <f t="shared" si="30"/>
        <v>22363.214284421188</v>
      </c>
      <c r="J114" s="203">
        <f t="shared" si="30"/>
        <v>20683.348422680632</v>
      </c>
      <c r="K114" s="203">
        <f t="shared" si="30"/>
        <v>19133.816981247532</v>
      </c>
      <c r="L114" s="203">
        <f t="shared" si="30"/>
        <v>17696.517957301407</v>
      </c>
      <c r="M114" s="203">
        <f t="shared" si="30"/>
        <v>16371.451350842259</v>
      </c>
      <c r="N114" s="203">
        <f t="shared" si="30"/>
        <v>16154.227316996496</v>
      </c>
      <c r="O114" s="203">
        <f t="shared" si="30"/>
        <v>16150.606916432398</v>
      </c>
      <c r="P114" s="203">
        <f t="shared" si="30"/>
        <v>16154.227316996496</v>
      </c>
      <c r="Q114" s="203">
        <f t="shared" si="30"/>
        <v>16150.606916432398</v>
      </c>
      <c r="R114" s="203">
        <f t="shared" si="30"/>
        <v>16154.227316996496</v>
      </c>
      <c r="S114" s="203">
        <f t="shared" si="30"/>
        <v>16150.606916432398</v>
      </c>
      <c r="T114" s="203">
        <f t="shared" si="30"/>
        <v>16154.227316996496</v>
      </c>
      <c r="U114" s="203">
        <f t="shared" si="30"/>
        <v>16150.606916432398</v>
      </c>
      <c r="V114" s="203">
        <f t="shared" si="30"/>
        <v>16154.227316996496</v>
      </c>
      <c r="W114" s="203">
        <f t="shared" si="30"/>
        <v>16150.606916432398</v>
      </c>
      <c r="X114" s="203">
        <f t="shared" si="30"/>
        <v>16154.227316996496</v>
      </c>
      <c r="Y114" s="203">
        <f t="shared" si="30"/>
        <v>16150.606916432398</v>
      </c>
      <c r="AA114" s="606">
        <f t="shared" si="27"/>
        <v>353962.94275110489</v>
      </c>
      <c r="AB114" s="607">
        <f t="shared" si="20"/>
        <v>353962.94275110489</v>
      </c>
    </row>
    <row r="115" spans="1:28" s="199" customFormat="1">
      <c r="A115" s="199" t="s">
        <v>571</v>
      </c>
      <c r="D115" s="214">
        <f>D109</f>
        <v>53739.803493313157</v>
      </c>
      <c r="F115" s="203">
        <f>$D$115*F113</f>
        <v>2015.2426309992434</v>
      </c>
      <c r="G115" s="203">
        <f t="shared" ref="G115:Y115" si="31">$D$115*G113</f>
        <v>3879.476414182277</v>
      </c>
      <c r="H115" s="203">
        <f t="shared" si="31"/>
        <v>3588.2066792485193</v>
      </c>
      <c r="I115" s="203">
        <f t="shared" si="31"/>
        <v>3319.5076617819536</v>
      </c>
      <c r="J115" s="203">
        <f t="shared" si="31"/>
        <v>3070.1549735729805</v>
      </c>
      <c r="K115" s="203">
        <f t="shared" si="31"/>
        <v>2840.1486146216002</v>
      </c>
      <c r="L115" s="203">
        <f t="shared" si="31"/>
        <v>2626.8015947531471</v>
      </c>
      <c r="M115" s="203">
        <f t="shared" si="31"/>
        <v>2430.1139139676211</v>
      </c>
      <c r="N115" s="203">
        <f t="shared" si="31"/>
        <v>2397.8700318716333</v>
      </c>
      <c r="O115" s="203">
        <f t="shared" si="31"/>
        <v>2397.3326338366996</v>
      </c>
      <c r="P115" s="203">
        <f t="shared" si="31"/>
        <v>2397.8700318716333</v>
      </c>
      <c r="Q115" s="203">
        <f t="shared" si="31"/>
        <v>2397.3326338366996</v>
      </c>
      <c r="R115" s="203">
        <f t="shared" si="31"/>
        <v>2397.8700318716333</v>
      </c>
      <c r="S115" s="203">
        <f t="shared" si="31"/>
        <v>2397.3326338366996</v>
      </c>
      <c r="T115" s="203">
        <f t="shared" si="31"/>
        <v>2397.8700318716333</v>
      </c>
      <c r="U115" s="203">
        <f t="shared" si="31"/>
        <v>2397.3326338366996</v>
      </c>
      <c r="V115" s="203">
        <f t="shared" si="31"/>
        <v>2397.8700318716333</v>
      </c>
      <c r="W115" s="203">
        <f t="shared" si="31"/>
        <v>2397.3326338366996</v>
      </c>
      <c r="X115" s="203">
        <f t="shared" si="31"/>
        <v>2397.8700318716333</v>
      </c>
      <c r="Y115" s="203">
        <f t="shared" si="31"/>
        <v>2397.3326338366996</v>
      </c>
      <c r="AA115" s="606">
        <f t="shared" si="27"/>
        <v>52540.868477377335</v>
      </c>
      <c r="AB115" s="607">
        <f t="shared" si="20"/>
        <v>52540.868477377335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58138.62126540106</v>
      </c>
      <c r="G120" s="203">
        <f t="shared" ref="G120:Y120" si="33">G39</f>
        <v>51762.755766959963</v>
      </c>
      <c r="H120" s="203">
        <f t="shared" si="33"/>
        <v>50005.012238927193</v>
      </c>
      <c r="I120" s="203">
        <f t="shared" si="33"/>
        <v>51535.128688043565</v>
      </c>
      <c r="J120" s="203">
        <f t="shared" si="33"/>
        <v>54158.005851558191</v>
      </c>
      <c r="K120" s="203">
        <f t="shared" si="33"/>
        <v>56791.630941407144</v>
      </c>
      <c r="L120" s="203">
        <f t="shared" si="33"/>
        <v>59410.947576428414</v>
      </c>
      <c r="M120" s="203">
        <f t="shared" si="33"/>
        <v>62025.000268964643</v>
      </c>
      <c r="N120" s="203">
        <f t="shared" si="33"/>
        <v>64629.239415101867</v>
      </c>
      <c r="O120" s="203">
        <f t="shared" si="33"/>
        <v>67223.630423545386</v>
      </c>
      <c r="P120" s="203">
        <f t="shared" si="33"/>
        <v>70123.061255215522</v>
      </c>
      <c r="Q120" s="203">
        <f t="shared" si="33"/>
        <v>73012.555877394247</v>
      </c>
      <c r="R120" s="203">
        <f t="shared" si="33"/>
        <v>75892.06080060589</v>
      </c>
      <c r="S120" s="203">
        <f t="shared" si="33"/>
        <v>78761.516220183825</v>
      </c>
      <c r="T120" s="203">
        <f t="shared" si="33"/>
        <v>81604.63091973291</v>
      </c>
      <c r="U120" s="203">
        <f t="shared" si="33"/>
        <v>84033.217388771474</v>
      </c>
      <c r="V120" s="203">
        <f t="shared" si="33"/>
        <v>86451.136853966018</v>
      </c>
      <c r="W120" s="203">
        <f t="shared" si="33"/>
        <v>88858.273027172938</v>
      </c>
      <c r="X120" s="203">
        <f t="shared" si="33"/>
        <v>91254.502765387457</v>
      </c>
      <c r="Y120" s="203">
        <f t="shared" si="33"/>
        <v>93639.696002998156</v>
      </c>
      <c r="AA120" s="606">
        <f t="shared" si="27"/>
        <v>1399310.6235477659</v>
      </c>
      <c r="AB120" s="607">
        <f t="shared" si="20"/>
        <v>1399310.6235477659</v>
      </c>
    </row>
    <row r="121" spans="1:28" s="199" customFormat="1">
      <c r="A121" s="199" t="s">
        <v>74</v>
      </c>
      <c r="F121" s="203">
        <f>-F114</f>
        <v>-13576.502115360121</v>
      </c>
      <c r="G121" s="203">
        <f t="shared" ref="G121:Y121" si="34">-G114</f>
        <v>-26135.671672209257</v>
      </c>
      <c r="H121" s="203">
        <f t="shared" si="34"/>
        <v>-24173.414566469204</v>
      </c>
      <c r="I121" s="203">
        <f t="shared" si="34"/>
        <v>-22363.214284421188</v>
      </c>
      <c r="J121" s="203">
        <f t="shared" si="34"/>
        <v>-20683.348422680632</v>
      </c>
      <c r="K121" s="203">
        <f t="shared" si="34"/>
        <v>-19133.816981247532</v>
      </c>
      <c r="L121" s="203">
        <f t="shared" si="34"/>
        <v>-17696.517957301407</v>
      </c>
      <c r="M121" s="203">
        <f t="shared" si="34"/>
        <v>-16371.451350842259</v>
      </c>
      <c r="N121" s="203">
        <f t="shared" si="34"/>
        <v>-16154.227316996496</v>
      </c>
      <c r="O121" s="203">
        <f t="shared" si="34"/>
        <v>-16150.606916432398</v>
      </c>
      <c r="P121" s="203">
        <f t="shared" si="34"/>
        <v>-16154.227316996496</v>
      </c>
      <c r="Q121" s="203">
        <f t="shared" si="34"/>
        <v>-16150.606916432398</v>
      </c>
      <c r="R121" s="203">
        <f t="shared" si="34"/>
        <v>-16154.227316996496</v>
      </c>
      <c r="S121" s="203">
        <f t="shared" si="34"/>
        <v>-16150.606916432398</v>
      </c>
      <c r="T121" s="203">
        <f t="shared" si="34"/>
        <v>-16154.227316996496</v>
      </c>
      <c r="U121" s="203">
        <f t="shared" si="34"/>
        <v>-16150.606916432398</v>
      </c>
      <c r="V121" s="203">
        <f t="shared" si="34"/>
        <v>-16154.227316996496</v>
      </c>
      <c r="W121" s="203">
        <f t="shared" si="34"/>
        <v>-16150.606916432398</v>
      </c>
      <c r="X121" s="203">
        <f t="shared" si="34"/>
        <v>-16154.227316996496</v>
      </c>
      <c r="Y121" s="203">
        <f t="shared" si="34"/>
        <v>-16150.606916432398</v>
      </c>
      <c r="AA121" s="606">
        <f t="shared" si="27"/>
        <v>-353962.94275110489</v>
      </c>
      <c r="AB121" s="607">
        <f t="shared" si="20"/>
        <v>-353962.94275110489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44562.11915004094</v>
      </c>
      <c r="G123" s="203">
        <f t="shared" ref="G123:Y123" si="36">SUM(G120:G122)</f>
        <v>25627.084094750706</v>
      </c>
      <c r="H123" s="203">
        <f t="shared" si="36"/>
        <v>25831.597672457989</v>
      </c>
      <c r="I123" s="203">
        <f t="shared" si="36"/>
        <v>29171.914403622377</v>
      </c>
      <c r="J123" s="203">
        <f t="shared" si="36"/>
        <v>33474.657428877559</v>
      </c>
      <c r="K123" s="203">
        <f t="shared" si="36"/>
        <v>37657.813960159612</v>
      </c>
      <c r="L123" s="203">
        <f t="shared" si="36"/>
        <v>41714.429619127011</v>
      </c>
      <c r="M123" s="203">
        <f t="shared" si="36"/>
        <v>45653.548918122382</v>
      </c>
      <c r="N123" s="203">
        <f t="shared" si="36"/>
        <v>48475.01209810537</v>
      </c>
      <c r="O123" s="203">
        <f t="shared" si="36"/>
        <v>51073.023507112986</v>
      </c>
      <c r="P123" s="203">
        <f t="shared" si="36"/>
        <v>53968.833938219024</v>
      </c>
      <c r="Q123" s="203">
        <f t="shared" si="36"/>
        <v>56861.948960961847</v>
      </c>
      <c r="R123" s="203">
        <f t="shared" si="36"/>
        <v>59737.833483609393</v>
      </c>
      <c r="S123" s="203">
        <f t="shared" si="36"/>
        <v>62610.909303751425</v>
      </c>
      <c r="T123" s="203">
        <f t="shared" si="36"/>
        <v>65450.403602736413</v>
      </c>
      <c r="U123" s="203">
        <f t="shared" si="36"/>
        <v>67882.610472339074</v>
      </c>
      <c r="V123" s="203">
        <f t="shared" si="36"/>
        <v>70296.909536969528</v>
      </c>
      <c r="W123" s="203">
        <f t="shared" si="36"/>
        <v>72707.666110740538</v>
      </c>
      <c r="X123" s="203">
        <f t="shared" si="36"/>
        <v>75100.275448390967</v>
      </c>
      <c r="Y123" s="203">
        <f t="shared" si="36"/>
        <v>77489.089086565757</v>
      </c>
      <c r="AA123" s="606">
        <f t="shared" si="27"/>
        <v>1045347.6807966608</v>
      </c>
      <c r="AB123" s="607">
        <f t="shared" si="20"/>
        <v>1045347.6807966608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-3966.0286043536435</v>
      </c>
      <c r="G125" s="203">
        <f t="shared" ref="G125:Y125" si="37">-G123*$C$125</f>
        <v>-2280.8104844328127</v>
      </c>
      <c r="H125" s="203">
        <f t="shared" si="37"/>
        <v>-2299.0121928487611</v>
      </c>
      <c r="I125" s="203">
        <f t="shared" si="37"/>
        <v>-2596.3003819223914</v>
      </c>
      <c r="J125" s="203">
        <f t="shared" si="37"/>
        <v>-2979.2445111701027</v>
      </c>
      <c r="K125" s="203">
        <f t="shared" si="37"/>
        <v>-3351.5454424542054</v>
      </c>
      <c r="L125" s="203">
        <f t="shared" si="37"/>
        <v>-3712.5842361023037</v>
      </c>
      <c r="M125" s="203">
        <f t="shared" si="37"/>
        <v>-4063.1658537128919</v>
      </c>
      <c r="N125" s="203">
        <f t="shared" si="37"/>
        <v>-4314.2760767313775</v>
      </c>
      <c r="O125" s="203">
        <f t="shared" si="37"/>
        <v>-4545.4990921330555</v>
      </c>
      <c r="P125" s="203">
        <f t="shared" si="37"/>
        <v>-4803.2262205014931</v>
      </c>
      <c r="Q125" s="203">
        <f t="shared" si="37"/>
        <v>-5060.7134575256041</v>
      </c>
      <c r="R125" s="203">
        <f t="shared" si="37"/>
        <v>-5316.667180041236</v>
      </c>
      <c r="S125" s="203">
        <f t="shared" si="37"/>
        <v>-5572.3709280338762</v>
      </c>
      <c r="T125" s="203">
        <f t="shared" si="37"/>
        <v>-5825.0859206435407</v>
      </c>
      <c r="U125" s="203">
        <f t="shared" si="37"/>
        <v>-6041.5523320381772</v>
      </c>
      <c r="V125" s="203">
        <f t="shared" si="37"/>
        <v>-6256.424948790288</v>
      </c>
      <c r="W125" s="203">
        <f t="shared" si="37"/>
        <v>-6470.9822838559076</v>
      </c>
      <c r="X125" s="203">
        <f t="shared" si="37"/>
        <v>-6683.9245149067956</v>
      </c>
      <c r="Y125" s="203">
        <f t="shared" si="37"/>
        <v>-6896.5289287043524</v>
      </c>
      <c r="AA125" s="606">
        <f t="shared" si="27"/>
        <v>-93035.943590902825</v>
      </c>
      <c r="AB125" s="607">
        <f t="shared" si="20"/>
        <v>-93035.943590902825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-14208.631690990554</v>
      </c>
      <c r="G126" s="203">
        <f t="shared" ref="G126:Y126" si="38">-(G123+G125)*$C$126</f>
        <v>-8171.195763611262</v>
      </c>
      <c r="H126" s="203">
        <f t="shared" si="38"/>
        <v>-8236.4049178632285</v>
      </c>
      <c r="I126" s="203">
        <f t="shared" si="38"/>
        <v>-9301.4649075949947</v>
      </c>
      <c r="J126" s="203">
        <f t="shared" si="38"/>
        <v>-10673.39452119761</v>
      </c>
      <c r="K126" s="203">
        <f t="shared" si="38"/>
        <v>-12007.193981196891</v>
      </c>
      <c r="L126" s="203">
        <f t="shared" si="38"/>
        <v>-13300.645884058647</v>
      </c>
      <c r="M126" s="203">
        <f t="shared" si="38"/>
        <v>-14556.634072543322</v>
      </c>
      <c r="N126" s="203">
        <f t="shared" si="38"/>
        <v>-15456.257607480895</v>
      </c>
      <c r="O126" s="203">
        <f t="shared" si="38"/>
        <v>-16284.633545242976</v>
      </c>
      <c r="P126" s="203">
        <f t="shared" si="38"/>
        <v>-17207.962701201133</v>
      </c>
      <c r="Q126" s="203">
        <f t="shared" si="38"/>
        <v>-18130.432426202682</v>
      </c>
      <c r="R126" s="203">
        <f t="shared" si="38"/>
        <v>-19047.408206248852</v>
      </c>
      <c r="S126" s="203">
        <f t="shared" si="38"/>
        <v>-19963.48843150114</v>
      </c>
      <c r="T126" s="203">
        <f t="shared" si="38"/>
        <v>-20868.861188732502</v>
      </c>
      <c r="U126" s="203">
        <f t="shared" si="38"/>
        <v>-21644.370349105313</v>
      </c>
      <c r="V126" s="203">
        <f t="shared" si="38"/>
        <v>-22414.169605862735</v>
      </c>
      <c r="W126" s="203">
        <f t="shared" si="38"/>
        <v>-23182.83933940962</v>
      </c>
      <c r="X126" s="203">
        <f t="shared" si="38"/>
        <v>-23945.722826719455</v>
      </c>
      <c r="Y126" s="203">
        <f t="shared" si="38"/>
        <v>-24707.396055251487</v>
      </c>
      <c r="AA126" s="606">
        <f t="shared" si="27"/>
        <v>-333309.10802201531</v>
      </c>
      <c r="AB126" s="607">
        <f t="shared" si="20"/>
        <v>-333309.10802201531</v>
      </c>
    </row>
    <row r="127" spans="1:28">
      <c r="A127" s="313"/>
      <c r="B127" s="8"/>
      <c r="C127" s="8"/>
      <c r="D127" s="8"/>
      <c r="E127" s="8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296"/>
      <c r="Y127" s="296"/>
      <c r="AA127" s="606">
        <f t="shared" si="27"/>
        <v>0</v>
      </c>
      <c r="AB127" s="607">
        <f t="shared" si="20"/>
        <v>0</v>
      </c>
    </row>
    <row r="128" spans="1:28">
      <c r="A128" s="314"/>
      <c r="B128" s="8"/>
      <c r="C128" s="8"/>
      <c r="D128" s="8"/>
      <c r="E128" s="8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R128" s="315"/>
      <c r="S128" s="315"/>
      <c r="T128" s="315"/>
      <c r="U128" s="315"/>
      <c r="V128" s="315"/>
      <c r="W128" s="315"/>
      <c r="X128" s="315"/>
      <c r="Y128" s="315"/>
      <c r="AA128" s="606">
        <f t="shared" si="27"/>
        <v>0</v>
      </c>
      <c r="AB128" s="607">
        <f t="shared" si="20"/>
        <v>0</v>
      </c>
    </row>
    <row r="129" spans="1:28" s="206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27280.718382307234</v>
      </c>
      <c r="G143" s="220">
        <f t="shared" ref="G143:Y143" si="46">G76</f>
        <v>23505.249627405341</v>
      </c>
      <c r="H143" s="220">
        <f t="shared" si="46"/>
        <v>22464.401797280741</v>
      </c>
      <c r="I143" s="220">
        <f t="shared" si="46"/>
        <v>23370.460252624995</v>
      </c>
      <c r="J143" s="220">
        <f t="shared" si="46"/>
        <v>24923.596965000183</v>
      </c>
      <c r="K143" s="220">
        <f t="shared" si="46"/>
        <v>26483.098061954239</v>
      </c>
      <c r="L143" s="220">
        <f t="shared" si="46"/>
        <v>28034.126407382086</v>
      </c>
      <c r="M143" s="220">
        <f t="shared" si="46"/>
        <v>29582.037709267417</v>
      </c>
      <c r="N143" s="220">
        <f t="shared" si="46"/>
        <v>31124.137919652574</v>
      </c>
      <c r="O143" s="220">
        <f t="shared" si="46"/>
        <v>32660.406555302401</v>
      </c>
      <c r="P143" s="220">
        <f t="shared" si="46"/>
        <v>34377.304522275874</v>
      </c>
      <c r="Q143" s="220">
        <f t="shared" si="46"/>
        <v>36088.318762799005</v>
      </c>
      <c r="R143" s="220">
        <f t="shared" si="46"/>
        <v>37793.417603078778</v>
      </c>
      <c r="S143" s="220">
        <f t="shared" si="46"/>
        <v>39492.56562978185</v>
      </c>
      <c r="T143" s="220">
        <f t="shared" si="46"/>
        <v>41176.115999119844</v>
      </c>
      <c r="U143" s="220">
        <f t="shared" si="46"/>
        <v>42614.203476761031</v>
      </c>
      <c r="V143" s="220">
        <f t="shared" si="46"/>
        <v>44045.974488075983</v>
      </c>
      <c r="W143" s="220">
        <f t="shared" si="46"/>
        <v>45471.360173040455</v>
      </c>
      <c r="X143" s="220">
        <f t="shared" si="46"/>
        <v>46890.287612524182</v>
      </c>
      <c r="Y143" s="220">
        <f t="shared" si="46"/>
        <v>48302.679788175366</v>
      </c>
      <c r="AA143" s="606">
        <f t="shared" si="27"/>
        <v>685680.46173380956</v>
      </c>
      <c r="AB143" s="607">
        <f t="shared" si="40"/>
        <v>685680.46173380956</v>
      </c>
    </row>
    <row r="144" spans="1:28" s="199" customFormat="1">
      <c r="A144" s="124" t="s">
        <v>91</v>
      </c>
      <c r="F144" s="213">
        <f>F141+F143</f>
        <v>27280.718382307234</v>
      </c>
      <c r="G144" s="213">
        <f t="shared" ref="G144:Y144" si="47">G141+G143</f>
        <v>23505.249627405341</v>
      </c>
      <c r="H144" s="213">
        <f t="shared" si="47"/>
        <v>22464.401797280741</v>
      </c>
      <c r="I144" s="213">
        <f t="shared" si="47"/>
        <v>23370.460252624995</v>
      </c>
      <c r="J144" s="213">
        <f t="shared" si="47"/>
        <v>24923.596965000183</v>
      </c>
      <c r="K144" s="213">
        <f t="shared" si="47"/>
        <v>26483.098061954239</v>
      </c>
      <c r="L144" s="213">
        <f t="shared" si="47"/>
        <v>28034.126407382086</v>
      </c>
      <c r="M144" s="213">
        <f t="shared" si="47"/>
        <v>29582.037709267417</v>
      </c>
      <c r="N144" s="213">
        <f t="shared" si="47"/>
        <v>31124.137919652574</v>
      </c>
      <c r="O144" s="213">
        <f t="shared" si="47"/>
        <v>32660.406555302401</v>
      </c>
      <c r="P144" s="213">
        <f t="shared" si="47"/>
        <v>34377.304522275874</v>
      </c>
      <c r="Q144" s="213">
        <f t="shared" si="47"/>
        <v>36088.318762799005</v>
      </c>
      <c r="R144" s="213">
        <f t="shared" si="47"/>
        <v>37793.417603078778</v>
      </c>
      <c r="S144" s="213">
        <f t="shared" si="47"/>
        <v>39492.56562978185</v>
      </c>
      <c r="T144" s="213">
        <f t="shared" si="47"/>
        <v>41176.115999119844</v>
      </c>
      <c r="U144" s="213">
        <f t="shared" si="47"/>
        <v>42614.203476761031</v>
      </c>
      <c r="V144" s="213">
        <f t="shared" si="47"/>
        <v>44045.974488075983</v>
      </c>
      <c r="W144" s="213">
        <f t="shared" si="47"/>
        <v>45471.360173040455</v>
      </c>
      <c r="X144" s="213">
        <f t="shared" si="47"/>
        <v>46890.287612524182</v>
      </c>
      <c r="Y144" s="213">
        <f t="shared" si="47"/>
        <v>48302.679788175366</v>
      </c>
      <c r="AA144" s="606">
        <f t="shared" si="27"/>
        <v>685680.46173380956</v>
      </c>
      <c r="AB144" s="607">
        <f t="shared" si="40"/>
        <v>685680.46173380956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>
      <c r="AA152" s="541"/>
    </row>
    <row r="153" spans="1:28" s="199" customFormat="1">
      <c r="AA153" s="541"/>
    </row>
    <row r="154" spans="1:28" s="199" customFormat="1" ht="13.5" thickBot="1">
      <c r="A154" s="199" t="s">
        <v>57</v>
      </c>
      <c r="C154" s="203">
        <f>NPV(C155,F151:Y151)</f>
        <v>0</v>
      </c>
      <c r="AA154" s="541"/>
    </row>
    <row r="155" spans="1:28" s="199" customFormat="1" ht="13.5" thickBot="1">
      <c r="A155" s="199" t="s">
        <v>59</v>
      </c>
      <c r="C155" s="146">
        <v>0.1</v>
      </c>
      <c r="AA155" s="541"/>
    </row>
    <row r="156" spans="1:28" s="199" customFormat="1">
      <c r="AA156" s="541"/>
    </row>
    <row r="157" spans="1:28" s="199" customFormat="1" ht="13.5" thickBot="1">
      <c r="AA157" s="541"/>
    </row>
    <row r="158" spans="1:28" s="199" customFormat="1">
      <c r="A158" s="112" t="s">
        <v>83</v>
      </c>
      <c r="B158" s="132"/>
      <c r="C158" s="132"/>
      <c r="D158" s="133"/>
      <c r="AA158" s="541"/>
    </row>
    <row r="159" spans="1:28" s="199" customFormat="1">
      <c r="A159" s="134" t="s">
        <v>84</v>
      </c>
      <c r="B159" s="135"/>
      <c r="C159" s="135"/>
      <c r="D159" s="136">
        <f>-E91*C76</f>
        <v>452550.07051200402</v>
      </c>
      <c r="AA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</row>
    <row r="161" spans="1:27" s="199" customFormat="1">
      <c r="A161" s="134" t="s">
        <v>86</v>
      </c>
      <c r="B161" s="135"/>
      <c r="C161" s="135"/>
      <c r="D161" s="139">
        <f>C154-D160</f>
        <v>0</v>
      </c>
      <c r="AA161" s="541"/>
    </row>
    <row r="162" spans="1:27" s="199" customFormat="1" ht="13.5" thickBot="1">
      <c r="A162" s="140" t="s">
        <v>87</v>
      </c>
      <c r="B162" s="109"/>
      <c r="C162" s="109"/>
      <c r="D162" s="263">
        <f>SUM(D159:D161)</f>
        <v>452550.07051200402</v>
      </c>
      <c r="AA162" s="541"/>
    </row>
    <row r="163" spans="1:27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7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7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7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7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7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7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7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7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7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7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7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7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7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7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7" s="54" customFormat="1" outlineLevel="1">
      <c r="A338" s="53"/>
      <c r="AA338" s="603"/>
    </row>
    <row r="339" spans="1:27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7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7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7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7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7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7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7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7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7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7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7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7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7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7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7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7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7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7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7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7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7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7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7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7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7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7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7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7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7" s="71" customFormat="1" outlineLevel="1">
      <c r="A544" s="70"/>
      <c r="B544" s="70"/>
      <c r="C544" s="70"/>
      <c r="D544" s="70"/>
      <c r="E544" s="70"/>
      <c r="F544" s="70"/>
      <c r="G544" s="70"/>
      <c r="AA544" s="605"/>
    </row>
    <row r="545" spans="1:27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</row>
    <row r="546" spans="1:27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</row>
    <row r="547" spans="1:27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</row>
    <row r="548" spans="1:27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</row>
    <row r="549" spans="1:27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</row>
    <row r="550" spans="1:27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</row>
    <row r="551" spans="1:27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</row>
    <row r="552" spans="1:27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</row>
    <row r="553" spans="1:27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</row>
    <row r="554" spans="1:27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</row>
    <row r="555" spans="1:27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</row>
    <row r="556" spans="1:27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</row>
    <row r="557" spans="1:27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</row>
    <row r="558" spans="1:27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</row>
    <row r="559" spans="1:27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</row>
    <row r="560" spans="1:27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</row>
    <row r="561" spans="1:27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</row>
    <row r="562" spans="1:27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</row>
    <row r="563" spans="1:27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</row>
    <row r="564" spans="1:27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</row>
    <row r="565" spans="1:27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</row>
    <row r="566" spans="1:27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</row>
    <row r="567" spans="1:27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</row>
    <row r="568" spans="1:27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</row>
    <row r="569" spans="1:27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</row>
    <row r="570" spans="1:27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</row>
    <row r="571" spans="1:27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</row>
    <row r="572" spans="1:27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</row>
    <row r="573" spans="1:27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</row>
    <row r="574" spans="1:27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</row>
    <row r="575" spans="1:27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</row>
    <row r="576" spans="1:27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</row>
    <row r="577" spans="1:27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</row>
    <row r="578" spans="1:27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</row>
    <row r="579" spans="1:27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</row>
    <row r="580" spans="1:27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</row>
    <row r="581" spans="1:27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</row>
    <row r="582" spans="1:27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</row>
    <row r="583" spans="1:27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</row>
    <row r="584" spans="1:27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</row>
    <row r="585" spans="1:27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</row>
    <row r="586" spans="1:27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</row>
    <row r="587" spans="1:27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</row>
    <row r="588" spans="1:27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</row>
    <row r="589" spans="1:27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</row>
    <row r="590" spans="1:27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</row>
    <row r="591" spans="1:27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</row>
    <row r="592" spans="1:27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</row>
    <row r="593" spans="1:27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</row>
    <row r="594" spans="1:27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</row>
    <row r="595" spans="1:27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</row>
    <row r="596" spans="1:27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</row>
    <row r="597" spans="1:27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</row>
    <row r="598" spans="1:27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</row>
    <row r="599" spans="1:27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</row>
    <row r="600" spans="1:27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7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7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7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7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7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7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7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7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2:AD85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16384" width="9.140625" style="8"/>
  </cols>
  <sheetData>
    <row r="2" spans="1:28" ht="18.75">
      <c r="A2" s="270" t="s">
        <v>122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04">
        <f>[6]FS!I$16-'Maine Hydro'!E15</f>
        <v>26905.845715068495</v>
      </c>
      <c r="F15" s="104">
        <f>[6]FS!J$16-'Maine Hydro'!F15</f>
        <v>15712.33112986667</v>
      </c>
      <c r="G15" s="104">
        <f>[6]FS!K$16-'Maine Hydro'!G15</f>
        <v>11630.756945333334</v>
      </c>
      <c r="H15" s="104">
        <f>[6]FS!L$16-'Maine Hydro'!H15</f>
        <v>11578.872527733336</v>
      </c>
      <c r="I15" s="104">
        <f>[6]FS!M$16-'Maine Hydro'!I15</f>
        <v>11846.942018666667</v>
      </c>
      <c r="J15" s="104">
        <f>[6]FS!N$16-'Maine Hydro'!J15</f>
        <v>12724.653416400002</v>
      </c>
      <c r="K15" s="104">
        <f>[6]FS!O$16-'Maine Hydro'!K15</f>
        <v>14507.747901253331</v>
      </c>
      <c r="L15" s="104">
        <f>[6]FS!P$16-'Maine Hydro'!L15</f>
        <v>16290.842386106668</v>
      </c>
      <c r="M15" s="104">
        <f>[6]FS!Q$16-'Maine Hydro'!M15</f>
        <v>18073.936870959995</v>
      </c>
      <c r="N15" s="104">
        <f>[6]FS!R$16-'Maine Hydro'!N15</f>
        <v>19857.031355813328</v>
      </c>
      <c r="O15" s="104">
        <f>[6]FS!S$16-'Maine Hydro'!O15</f>
        <v>21640.125840666668</v>
      </c>
      <c r="P15" s="104">
        <f>[6]FS!T$16-'Maine Hydro'!P15</f>
        <v>25110.328637813356</v>
      </c>
      <c r="Q15" s="104">
        <f>[6]FS!U$16-'Maine Hydro'!Q15</f>
        <v>28580.531434960012</v>
      </c>
      <c r="R15" s="104">
        <f>[6]FS!V$16-'Maine Hydro'!R15</f>
        <v>32050.734232106675</v>
      </c>
      <c r="S15" s="104">
        <f>[6]FS!W$16-'Maine Hydro'!S15</f>
        <v>35520.937029253335</v>
      </c>
      <c r="T15" s="104">
        <f>[6]FS!X$16-'Maine Hydro'!T15</f>
        <v>38991.139826400002</v>
      </c>
      <c r="U15" s="104">
        <f>[6]FS!Y$16-'Maine Hydro'!U15</f>
        <v>39462.423286266661</v>
      </c>
      <c r="V15" s="104">
        <f>[6]FS!Z$16-'Maine Hydro'!V15</f>
        <v>39933.706746133343</v>
      </c>
      <c r="W15" s="104">
        <f>[6]FS!AA$16-'Maine Hydro'!W15</f>
        <v>40404.990206000002</v>
      </c>
      <c r="X15" s="104">
        <f>[6]FS!AB$16-'Maine Hydro'!X15</f>
        <v>40876.273665866669</v>
      </c>
      <c r="Y15" s="104">
        <f>[6]FS!AC$16-'Maine Hydro'!Y15</f>
        <v>41347.557125733336</v>
      </c>
      <c r="Z15" s="22"/>
      <c r="AA15" s="606">
        <f t="shared" si="1"/>
        <v>516141.86258333339</v>
      </c>
      <c r="AB15" s="607">
        <f t="shared" si="2"/>
        <v>516141.86258333339</v>
      </c>
    </row>
    <row r="16" spans="1:28">
      <c r="A16" s="4" t="s">
        <v>12</v>
      </c>
      <c r="B16" s="12"/>
      <c r="C16" s="12"/>
      <c r="D16" s="90"/>
      <c r="E16" s="104">
        <f>[6]FS!I$14-'Maine Hydro'!E16</f>
        <v>65111.053692678834</v>
      </c>
      <c r="F16" s="104">
        <f>[6]FS!J$14-'Maine Hydro'!F16</f>
        <v>95058.14430236815</v>
      </c>
      <c r="G16" s="104">
        <f>[6]FS!K$14-'Maine Hydro'!G16</f>
        <v>90292.334251403809</v>
      </c>
      <c r="H16" s="104">
        <f>[6]FS!L$14-'Maine Hydro'!H16</f>
        <v>83782.97557830812</v>
      </c>
      <c r="I16" s="104">
        <f>[6]FS!M$14-'Maine Hydro'!I16</f>
        <v>87082.760963439927</v>
      </c>
      <c r="J16" s="104">
        <f>[6]FS!N$14-'Maine Hydro'!J16</f>
        <v>96604.983100891099</v>
      </c>
      <c r="K16" s="104">
        <f>[6]FS!O$14-'Maine Hydro'!K16</f>
        <v>96244.535140991211</v>
      </c>
      <c r="L16" s="104">
        <f>[6]FS!P$14-'Maine Hydro'!L16</f>
        <v>98614.427185058594</v>
      </c>
      <c r="M16" s="104">
        <f>[6]FS!Q$14-'Maine Hydro'!M16</f>
        <v>102005.71395874022</v>
      </c>
      <c r="N16" s="104">
        <f>[6]FS!R$14-'Maine Hydro'!N16</f>
        <v>98620.04417419435</v>
      </c>
      <c r="O16" s="104">
        <f>[6]FS!S$14-'Maine Hydro'!O16</f>
        <v>100844.9843978882</v>
      </c>
      <c r="P16" s="104">
        <f>[6]FS!T$14-'Maine Hydro'!P16</f>
        <v>105636.18743896486</v>
      </c>
      <c r="Q16" s="104">
        <f>[6]FS!U$14-'Maine Hydro'!Q16</f>
        <v>107377.9224395752</v>
      </c>
      <c r="R16" s="104">
        <f>[6]FS!V$14-'Maine Hydro'!R16</f>
        <v>107439.01245117189</v>
      </c>
      <c r="S16" s="104">
        <f>[6]FS!W$14-'Maine Hydro'!S16</f>
        <v>110970.90667724609</v>
      </c>
      <c r="T16" s="104">
        <f>[6]FS!X$14-'Maine Hydro'!T16</f>
        <v>115464.68528747559</v>
      </c>
      <c r="U16" s="104">
        <f>[6]FS!Y$14-'Maine Hydro'!U16</f>
        <v>114476.04812622069</v>
      </c>
      <c r="V16" s="104">
        <f>[6]FS!Z$14-'Maine Hydro'!V16</f>
        <v>115624.74388122559</v>
      </c>
      <c r="W16" s="104">
        <f>[6]FS!AA$14-'Maine Hydro'!W16</f>
        <v>120966.43661499025</v>
      </c>
      <c r="X16" s="104">
        <f>[6]FS!AB$14-'Maine Hydro'!X16</f>
        <v>117343.3275604248</v>
      </c>
      <c r="Y16" s="104">
        <f>[6]FS!AC$14-'Maine Hydro'!Y16</f>
        <v>120412.12448120117</v>
      </c>
      <c r="Z16" s="22"/>
      <c r="AA16" s="606">
        <f t="shared" si="1"/>
        <v>2084862.2980117798</v>
      </c>
      <c r="AB16" s="607">
        <f t="shared" si="2"/>
        <v>2084862.2980117798</v>
      </c>
    </row>
    <row r="17" spans="1:28">
      <c r="A17" s="4" t="s">
        <v>13</v>
      </c>
      <c r="B17" s="12"/>
      <c r="C17" s="12"/>
      <c r="D17" s="90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92016.899407747333</v>
      </c>
      <c r="F20" s="90">
        <f t="shared" si="3"/>
        <v>110770.47543223482</v>
      </c>
      <c r="G20" s="90">
        <f t="shared" si="3"/>
        <v>101923.09119673714</v>
      </c>
      <c r="H20" s="90">
        <f t="shared" si="3"/>
        <v>95361.848106041463</v>
      </c>
      <c r="I20" s="90">
        <f t="shared" si="3"/>
        <v>98929.702982106595</v>
      </c>
      <c r="J20" s="90">
        <f t="shared" si="3"/>
        <v>109329.6365172911</v>
      </c>
      <c r="K20" s="90">
        <f t="shared" si="3"/>
        <v>110752.28304224454</v>
      </c>
      <c r="L20" s="90">
        <f t="shared" si="3"/>
        <v>114905.26957116526</v>
      </c>
      <c r="M20" s="90">
        <f t="shared" si="3"/>
        <v>120079.65082970021</v>
      </c>
      <c r="N20" s="90">
        <f t="shared" si="3"/>
        <v>118477.07553000769</v>
      </c>
      <c r="O20" s="90">
        <f t="shared" si="3"/>
        <v>122485.11023855486</v>
      </c>
      <c r="P20" s="90">
        <f t="shared" si="3"/>
        <v>130746.51607677821</v>
      </c>
      <c r="Q20" s="90">
        <f t="shared" si="3"/>
        <v>135958.45387453522</v>
      </c>
      <c r="R20" s="90">
        <f t="shared" si="3"/>
        <v>139489.74668327856</v>
      </c>
      <c r="S20" s="90">
        <f t="shared" si="3"/>
        <v>146491.84370649944</v>
      </c>
      <c r="T20" s="90">
        <f t="shared" si="3"/>
        <v>154455.82511387559</v>
      </c>
      <c r="U20" s="90">
        <f t="shared" si="3"/>
        <v>153938.47141248736</v>
      </c>
      <c r="V20" s="90">
        <f t="shared" si="3"/>
        <v>155558.45062735892</v>
      </c>
      <c r="W20" s="90">
        <f t="shared" si="3"/>
        <v>161371.42682099025</v>
      </c>
      <c r="X20" s="90">
        <f t="shared" si="3"/>
        <v>158219.60122629147</v>
      </c>
      <c r="Y20" s="90">
        <f t="shared" si="3"/>
        <v>161759.68160693452</v>
      </c>
      <c r="Z20" s="22"/>
      <c r="AA20" s="606">
        <f t="shared" si="1"/>
        <v>2601004.1605951129</v>
      </c>
      <c r="AB20" s="607">
        <f t="shared" si="2"/>
        <v>2601004.1605951129</v>
      </c>
    </row>
    <row r="21" spans="1:28">
      <c r="A21" s="4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[6]FS!I$24</f>
        <v>60233.134763614493</v>
      </c>
      <c r="F24" s="104">
        <f>[6]FS!J$24</f>
        <v>58281.420826749731</v>
      </c>
      <c r="G24" s="104">
        <f>[6]FS!K$24</f>
        <v>58091.999030227496</v>
      </c>
      <c r="H24" s="104">
        <f>[6]FS!L$24</f>
        <v>53402.860669859037</v>
      </c>
      <c r="I24" s="104">
        <f>[6]FS!M$24</f>
        <v>55432.302563015306</v>
      </c>
      <c r="J24" s="104">
        <f>[6]FS!N$24</f>
        <v>62030.847486102182</v>
      </c>
      <c r="K24" s="104">
        <f>[6]FS!O$24</f>
        <v>59802.478372707803</v>
      </c>
      <c r="L24" s="104">
        <f>[6]FS!P$24</f>
        <v>62704.814837133345</v>
      </c>
      <c r="M24" s="104">
        <f>[6]FS!Q$24</f>
        <v>63257.915614720114</v>
      </c>
      <c r="N24" s="104">
        <f>[6]FS!R$24</f>
        <v>59459.363102232128</v>
      </c>
      <c r="O24" s="104">
        <f>[6]FS!S$24</f>
        <v>60953.449997543612</v>
      </c>
      <c r="P24" s="104">
        <f>[6]FS!T$24</f>
        <v>60062.736159120497</v>
      </c>
      <c r="Q24" s="104">
        <f>[6]FS!U$24</f>
        <v>59659.225684806253</v>
      </c>
      <c r="R24" s="104">
        <f>[6]FS!V$24</f>
        <v>57842.082031597172</v>
      </c>
      <c r="S24" s="104">
        <f>[6]FS!W$24</f>
        <v>57125.564575314027</v>
      </c>
      <c r="T24" s="104">
        <f>[6]FS!X$24</f>
        <v>56513.914499164857</v>
      </c>
      <c r="U24" s="104">
        <f>[6]FS!Y$24</f>
        <v>54889.464173535249</v>
      </c>
      <c r="V24" s="104">
        <f>[6]FS!Z$24</f>
        <v>58066.439025729145</v>
      </c>
      <c r="W24" s="104">
        <f>[6]FS!AA$24</f>
        <v>60804.209229680979</v>
      </c>
      <c r="X24" s="104">
        <f>[6]FS!AB$24</f>
        <v>57029.271844949733</v>
      </c>
      <c r="Y24" s="104">
        <f>[6]FS!AC$24</f>
        <v>61213.893019905765</v>
      </c>
      <c r="AA24" s="606">
        <f t="shared" si="1"/>
        <v>1176624.2527440945</v>
      </c>
      <c r="AB24" s="607">
        <f t="shared" si="2"/>
        <v>1176624.2527440945</v>
      </c>
    </row>
    <row r="25" spans="1:28">
      <c r="A25" s="4" t="s">
        <v>1</v>
      </c>
      <c r="D25" s="90"/>
      <c r="E25" s="104">
        <f>[6]FS!I$33+[6]FS!I$34-'Maine Hydro'!E25+15000</f>
        <v>17551.064133300002</v>
      </c>
      <c r="F25" s="104">
        <f>[6]FS!J$33+[6]FS!J$34-'Maine Hydro'!F25</f>
        <v>14230.472847630605</v>
      </c>
      <c r="G25" s="104">
        <f>[6]FS!K$33+[6]FS!K$34-'Maine Hydro'!G25</f>
        <v>11440.285607920985</v>
      </c>
      <c r="H25" s="104">
        <f>[6]FS!L$33+[6]FS!L$34-'Maine Hydro'!H25</f>
        <v>13927.534504304735</v>
      </c>
      <c r="I25" s="104">
        <f>[6]FS!M$33+[6]FS!M$34-'Maine Hydro'!I25</f>
        <v>15268.631401092083</v>
      </c>
      <c r="J25" s="104">
        <f>[6]FS!N$33+[6]FS!N$34-'Maine Hydro'!J25</f>
        <v>17647.234268155844</v>
      </c>
      <c r="K25" s="104">
        <f>[6]FS!O$33+[6]FS!O$34-'Maine Hydro'!K25</f>
        <v>18026.787691357204</v>
      </c>
      <c r="L25" s="104">
        <f>[6]FS!P$33+[6]FS!P$34-'Maine Hydro'!L25</f>
        <v>18418.520093788553</v>
      </c>
      <c r="M25" s="104">
        <f>[6]FS!Q$33+[6]FS!Q$34-'Maine Hydro'!M25</f>
        <v>18816.526873986804</v>
      </c>
      <c r="N25" s="104">
        <f>[6]FS!R$33+[6]FS!R$34-'Maine Hydro'!N25</f>
        <v>19224.317227725311</v>
      </c>
      <c r="O25" s="104">
        <f>[6]FS!S$33+[6]FS!S$34-'Maine Hydro'!O25</f>
        <v>19929.746810525219</v>
      </c>
      <c r="P25" s="104">
        <f>[6]FS!T$33+[6]FS!T$34-'Maine Hydro'!P25</f>
        <v>20722.223551649218</v>
      </c>
      <c r="Q25" s="104">
        <f>[6]FS!U$33+[6]FS!U$34-'Maine Hydro'!Q25</f>
        <v>21541.779346854702</v>
      </c>
      <c r="R25" s="104">
        <f>[6]FS!V$33+[6]FS!V$34-'Maine Hydro'!R25</f>
        <v>22389.432859327448</v>
      </c>
      <c r="S25" s="104">
        <f>[6]FS!W$33+[6]FS!W$34-'Maine Hydro'!S25</f>
        <v>23266.243258043021</v>
      </c>
      <c r="T25" s="104">
        <f>[6]FS!X$33+[6]FS!X$34-'Maine Hydro'!T25</f>
        <v>24183.494527308238</v>
      </c>
      <c r="U25" s="104">
        <f>[6]FS!Y$33+[6]FS!Y$34-'Maine Hydro'!U25</f>
        <v>25181.831223966175</v>
      </c>
      <c r="V25" s="104">
        <f>[6]FS!Z$33+[6]FS!Z$34-'Maine Hydro'!V25</f>
        <v>26215.281353648097</v>
      </c>
      <c r="W25" s="104">
        <f>[6]FS!AA$33+[6]FS!AA$34-'Maine Hydro'!W25</f>
        <v>27285.165764153193</v>
      </c>
      <c r="X25" s="104">
        <f>[6]FS!AB$33+[6]FS!AB$34-'Maine Hydro'!X25</f>
        <v>28392.857106918003</v>
      </c>
      <c r="Y25" s="104">
        <f>[6]FS!AC$33+[6]FS!AC$34-'Maine Hydro'!Y25</f>
        <v>29539.781909954108</v>
      </c>
      <c r="AA25" s="606">
        <f t="shared" si="1"/>
        <v>415648.14822830952</v>
      </c>
      <c r="AB25" s="607">
        <f t="shared" si="2"/>
        <v>415648.14822830952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'[6]WYMIV-Assum-Calcs'!I$171+'[6]WYM123-Assum-Calcs'!I$309+[6]AVEC!I$138+[6]MASON!I$166</f>
        <v>1975.6666666666667</v>
      </c>
      <c r="F27" s="104">
        <f>'[6]WYMIV-Assum-Calcs'!J$171+'[6]WYM123-Assum-Calcs'!J$309+[6]AVEC!J$138+[6]MASON!J$166</f>
        <v>4025.6580000000004</v>
      </c>
      <c r="G27" s="104">
        <f>'[6]WYMIV-Assum-Calcs'!K$171+'[6]WYM123-Assum-Calcs'!K$309+[6]AVEC!K$138+[6]MASON!K$166</f>
        <v>2848.6492160000007</v>
      </c>
      <c r="H27" s="104">
        <f>'[6]WYMIV-Assum-Calcs'!L$171+'[6]WYM123-Assum-Calcs'!L$309+[6]AVEC!L$138+[6]MASON!L$166</f>
        <v>3285.6625643520001</v>
      </c>
      <c r="I27" s="104">
        <f>'[6]WYMIV-Assum-Calcs'!M$171+'[6]WYM123-Assum-Calcs'!M$309+[6]AVEC!M$138+[6]MASON!M$166</f>
        <v>2387.7250638151677</v>
      </c>
      <c r="J27" s="104">
        <f>'[6]WYMIV-Assum-Calcs'!N$171+'[6]WYM123-Assum-Calcs'!N$309+[6]AVEC!N$138+[6]MASON!N$166</f>
        <v>3787.6642746004932</v>
      </c>
      <c r="K27" s="104">
        <f>'[6]WYMIV-Assum-Calcs'!O$171+'[6]WYM123-Assum-Calcs'!O$309+[6]AVEC!O$138+[6]MASON!O$166</f>
        <v>3794.6513589055057</v>
      </c>
      <c r="L27" s="104">
        <f>'[6]WYMIV-Assum-Calcs'!P$171+'[6]WYM123-Assum-Calcs'!P$309+[6]AVEC!P$138+[6]MASON!P$166</f>
        <v>3969.2849849532299</v>
      </c>
      <c r="M27" s="104">
        <f>'[6]WYMIV-Assum-Calcs'!Q$171+'[6]WYM123-Assum-Calcs'!Q$309+[6]AVEC!Q$138+[6]MASON!Q$166</f>
        <v>4064.5478245921076</v>
      </c>
      <c r="N27" s="104">
        <f>'[6]WYMIV-Assum-Calcs'!R$171+'[6]WYM123-Assum-Calcs'!R$309+[6]AVEC!R$138+[6]MASON!R$166</f>
        <v>4162.0969723823182</v>
      </c>
      <c r="O27" s="104">
        <f>'[6]WYMIV-Assum-Calcs'!S$171+'[6]WYM123-Assum-Calcs'!S$309+[6]AVEC!S$138+[6]MASON!S$166</f>
        <v>4261.9872997194943</v>
      </c>
      <c r="P27" s="104">
        <f>'[6]WYMIV-Assum-Calcs'!T$171+'[6]WYM123-Assum-Calcs'!T$309+[6]AVEC!T$138+[6]MASON!T$166</f>
        <v>4364.2749949127619</v>
      </c>
      <c r="Q27" s="104">
        <f>'[6]WYMIV-Assum-Calcs'!U$171+'[6]WYM123-Assum-Calcs'!U$309+[6]AVEC!U$138+[6]MASON!U$166</f>
        <v>4469.0175947906682</v>
      </c>
      <c r="R27" s="104">
        <f>'[6]WYMIV-Assum-Calcs'!V$171+'[6]WYM123-Assum-Calcs'!V$309+[6]AVEC!V$138+[6]MASON!V$166</f>
        <v>4576.2740170656452</v>
      </c>
      <c r="S27" s="104">
        <f>'[6]WYMIV-Assum-Calcs'!W$171+'[6]WYM123-Assum-Calcs'!W$309+[6]AVEC!W$138+[6]MASON!W$166</f>
        <v>4686.1045934752201</v>
      </c>
      <c r="T27" s="104">
        <f>'[6]WYMIV-Assum-Calcs'!X$171+'[6]WYM123-Assum-Calcs'!X$309+[6]AVEC!X$138+[6]MASON!X$166</f>
        <v>4803.2572083121004</v>
      </c>
      <c r="U27" s="104">
        <f>'[6]WYMIV-Assum-Calcs'!Y$171+'[6]WYM123-Assum-Calcs'!Y$309+[6]AVEC!Y$138+[6]MASON!Y$166</f>
        <v>4923.3386385199019</v>
      </c>
      <c r="V27" s="104">
        <f>'[6]WYMIV-Assum-Calcs'!Z$171+'[6]WYM123-Assum-Calcs'!Z$309+[6]AVEC!Z$138+[6]MASON!Z$166</f>
        <v>5046.4221044828992</v>
      </c>
      <c r="W27" s="104">
        <f>'[6]WYMIV-Assum-Calcs'!AA$171+'[6]WYM123-Assum-Calcs'!AA$309+[6]AVEC!AA$138+[6]MASON!AA$166</f>
        <v>5172.5826570949712</v>
      </c>
      <c r="X27" s="104">
        <f>'[6]WYMIV-Assum-Calcs'!AB$171+'[6]WYM123-Assum-Calcs'!AB$309+[6]AVEC!AB$138+[6]MASON!AB$166</f>
        <v>5301.8972235223455</v>
      </c>
      <c r="Y27" s="104">
        <f>'[6]WYMIV-Assum-Calcs'!AC$171+'[6]WYM123-Assum-Calcs'!AC$309+[6]AVEC!AC$138+[6]MASON!AC$166</f>
        <v>5434.4446541104026</v>
      </c>
      <c r="AA27" s="606">
        <f t="shared" si="1"/>
        <v>85365.541245607237</v>
      </c>
      <c r="AB27" s="607">
        <f t="shared" si="2"/>
        <v>85365.541245607237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[6]FS!I$36-'Maine Hydro'!E29-15000</f>
        <v>861.28026059999866</v>
      </c>
      <c r="F29" s="104">
        <f>[6]FS!J$36-'Maine Hydro'!F29</f>
        <v>555.19908501400005</v>
      </c>
      <c r="G29" s="104">
        <f>[6]FS!K$36-'Maine Hydro'!G29</f>
        <v>532.94191105433606</v>
      </c>
      <c r="H29" s="104">
        <f>[6]FS!L$36-'Maine Hydro'!H29</f>
        <v>545.73251691964015</v>
      </c>
      <c r="I29" s="104">
        <f>[6]FS!M$36-'Maine Hydro'!I29</f>
        <v>558.28436480879179</v>
      </c>
      <c r="J29" s="104">
        <f>[6]FS!N$36-'Maine Hydro'!J29</f>
        <v>571.68318956420273</v>
      </c>
      <c r="K29" s="104">
        <f>[6]FS!O$36-'Maine Hydro'!K29</f>
        <v>585.40358611374359</v>
      </c>
      <c r="L29" s="104">
        <f>[6]FS!P$36-'Maine Hydro'!L29</f>
        <v>599.62889325630749</v>
      </c>
      <c r="M29" s="104">
        <f>[6]FS!Q$36-'Maine Hydro'!M29</f>
        <v>614.01998669445902</v>
      </c>
      <c r="N29" s="104">
        <f>[6]FS!R$36-'Maine Hydro'!N29</f>
        <v>628.75646637512591</v>
      </c>
      <c r="O29" s="104">
        <f>[6]FS!S$36-'Maine Hydro'!O29</f>
        <v>643.84662156812919</v>
      </c>
      <c r="P29" s="104">
        <f>[6]FS!T$36-'Maine Hydro'!P29</f>
        <v>659.29894048576421</v>
      </c>
      <c r="Q29" s="104">
        <f>[6]FS!U$36-'Maine Hydro'!Q29</f>
        <v>675.12211505742243</v>
      </c>
      <c r="R29" s="104">
        <f>[6]FS!V$36-'Maine Hydro'!R29</f>
        <v>691.32504581880085</v>
      </c>
      <c r="S29" s="104">
        <f>[6]FS!W$36-'Maine Hydro'!S29</f>
        <v>707.91684691845194</v>
      </c>
      <c r="T29" s="104">
        <f>[6]FS!X$36-'Maine Hydro'!T29</f>
        <v>725.61476809141323</v>
      </c>
      <c r="U29" s="104">
        <f>[6]FS!Y$36-'Maine Hydro'!U29</f>
        <v>743.75513729369845</v>
      </c>
      <c r="V29" s="104">
        <f>[6]FS!Z$36-'Maine Hydro'!V29</f>
        <v>762.34901572604076</v>
      </c>
      <c r="W29" s="104">
        <f>[6]FS!AA$36-'Maine Hydro'!W29</f>
        <v>781.40774111919177</v>
      </c>
      <c r="X29" s="104">
        <f>[6]FS!AB$36-'Maine Hydro'!X29</f>
        <v>800.94293464717157</v>
      </c>
      <c r="Y29" s="104">
        <f>[6]FS!AC$36-'Maine Hydro'!Y29</f>
        <v>820.9665080133509</v>
      </c>
      <c r="AA29" s="606">
        <f t="shared" si="1"/>
        <v>13204.19567454004</v>
      </c>
      <c r="AB29" s="607">
        <f t="shared" si="2"/>
        <v>13204.19567454004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[6]FS!I$35-'Maine Hydro'!E31</f>
        <v>1883.2504941999996</v>
      </c>
      <c r="F31" s="104">
        <f>[6]FS!J$35-'Maine Hydro'!F31</f>
        <v>4499.0479191208942</v>
      </c>
      <c r="G31" s="104">
        <f>[6]FS!K$35-'Maine Hydro'!G31</f>
        <v>4146.5956814488063</v>
      </c>
      <c r="H31" s="104">
        <f>[6]FS!L$35-'Maine Hydro'!H31</f>
        <v>4033.8082789133996</v>
      </c>
      <c r="I31" s="104">
        <f>[6]FS!M$35-'Maine Hydro'!I31</f>
        <v>3920.2565758619867</v>
      </c>
      <c r="J31" s="104">
        <f>[6]FS!N$35-'Maine Hydro'!J31</f>
        <v>3813.6255969985405</v>
      </c>
      <c r="K31" s="104">
        <f>[6]FS!O$35-'Maine Hydro'!K31</f>
        <v>3709.8949807601803</v>
      </c>
      <c r="L31" s="104">
        <f>[6]FS!P$35-'Maine Hydro'!L31</f>
        <v>3610.0431573530195</v>
      </c>
      <c r="M31" s="104">
        <f>[6]FS!Q$35-'Maine Hydro'!M31</f>
        <v>3511.8499834730192</v>
      </c>
      <c r="N31" s="104">
        <f>[6]FS!R$35-'Maine Hydro'!N31</f>
        <v>3416.3276639225514</v>
      </c>
      <c r="O31" s="104">
        <f>[6]FS!S$35-'Maine Hydro'!O31</f>
        <v>3323.4035514638581</v>
      </c>
      <c r="P31" s="104">
        <f>[6]FS!T$35-'Maine Hydro'!P31</f>
        <v>3233.0069748640408</v>
      </c>
      <c r="Q31" s="104">
        <f>[6]FS!U$35-'Maine Hydro'!Q31</f>
        <v>3145.0691851477395</v>
      </c>
      <c r="R31" s="104">
        <f>[6]FS!V$35-'Maine Hydro'!R31</f>
        <v>3059.5233033117211</v>
      </c>
      <c r="S31" s="104">
        <f>[6]FS!W$35-'Maine Hydro'!S31</f>
        <v>2976.3042694616415</v>
      </c>
      <c r="T31" s="104">
        <f>[6]FS!X$35-'Maine Hydro'!T31</f>
        <v>2898.1762823882727</v>
      </c>
      <c r="U31" s="104">
        <f>[6]FS!Y$35-'Maine Hydro'!U31</f>
        <v>2822.0991549755809</v>
      </c>
      <c r="V31" s="104">
        <f>[6]FS!Z$35-'Maine Hydro'!V31</f>
        <v>2748.0190521574714</v>
      </c>
      <c r="W31" s="104">
        <f>[6]FS!AA$35-'Maine Hydro'!W31</f>
        <v>2675.8835520383373</v>
      </c>
      <c r="X31" s="104">
        <f>[6]FS!AB$35-'Maine Hydro'!X31</f>
        <v>2605.6416087973303</v>
      </c>
      <c r="Y31" s="104">
        <f>[6]FS!AC$35-'Maine Hydro'!Y31</f>
        <v>2537.2435165664001</v>
      </c>
      <c r="AA31" s="606">
        <f t="shared" si="1"/>
        <v>66685.820289024792</v>
      </c>
      <c r="AB31" s="607">
        <f t="shared" si="2"/>
        <v>66685.820289024792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82504.396318381157</v>
      </c>
      <c r="F36" s="90">
        <f t="shared" si="4"/>
        <v>81591.798678515217</v>
      </c>
      <c r="G36" s="90">
        <f t="shared" si="4"/>
        <v>77060.471446651631</v>
      </c>
      <c r="H36" s="90">
        <f t="shared" si="4"/>
        <v>75195.598534348814</v>
      </c>
      <c r="I36" s="90">
        <f t="shared" si="4"/>
        <v>77567.199968593341</v>
      </c>
      <c r="J36" s="90">
        <f t="shared" si="4"/>
        <v>87851.054815421259</v>
      </c>
      <c r="K36" s="90">
        <f t="shared" si="4"/>
        <v>85919.215989844437</v>
      </c>
      <c r="L36" s="90">
        <f t="shared" si="4"/>
        <v>89302.291966484467</v>
      </c>
      <c r="M36" s="90">
        <f t="shared" si="4"/>
        <v>90264.860283466507</v>
      </c>
      <c r="N36" s="90">
        <f t="shared" si="4"/>
        <v>86890.861432637437</v>
      </c>
      <c r="O36" s="90">
        <f t="shared" si="4"/>
        <v>89112.434280820307</v>
      </c>
      <c r="P36" s="90">
        <f t="shared" si="4"/>
        <v>89041.540621032284</v>
      </c>
      <c r="Q36" s="90">
        <f t="shared" si="4"/>
        <v>89490.213926656797</v>
      </c>
      <c r="R36" s="90">
        <f t="shared" si="4"/>
        <v>88558.63725712079</v>
      </c>
      <c r="S36" s="90">
        <f t="shared" si="4"/>
        <v>88762.13354321236</v>
      </c>
      <c r="T36" s="90">
        <f t="shared" si="4"/>
        <v>89124.457285264885</v>
      </c>
      <c r="U36" s="90">
        <f t="shared" si="4"/>
        <v>88560.488328290608</v>
      </c>
      <c r="V36" s="90">
        <f t="shared" si="4"/>
        <v>92838.51055174366</v>
      </c>
      <c r="W36" s="90">
        <f t="shared" si="4"/>
        <v>96719.248944086692</v>
      </c>
      <c r="X36" s="90">
        <f t="shared" si="4"/>
        <v>94130.610718834592</v>
      </c>
      <c r="Y36" s="90">
        <f t="shared" si="4"/>
        <v>99546.329608550033</v>
      </c>
      <c r="AA36" s="606">
        <f t="shared" si="1"/>
        <v>1757527.9581815763</v>
      </c>
      <c r="AB36" s="607">
        <f t="shared" si="2"/>
        <v>1757527.9581815763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9512.5030893661751</v>
      </c>
      <c r="F39" s="93">
        <f t="shared" si="5"/>
        <v>29178.676753719599</v>
      </c>
      <c r="G39" s="93">
        <f t="shared" si="5"/>
        <v>24862.619750085505</v>
      </c>
      <c r="H39" s="93">
        <f t="shared" si="5"/>
        <v>20166.24957169265</v>
      </c>
      <c r="I39" s="93">
        <f t="shared" si="5"/>
        <v>21362.503013513255</v>
      </c>
      <c r="J39" s="93">
        <f t="shared" si="5"/>
        <v>21478.581701869844</v>
      </c>
      <c r="K39" s="93">
        <f t="shared" si="5"/>
        <v>24833.067052400103</v>
      </c>
      <c r="L39" s="93">
        <f t="shared" si="5"/>
        <v>25602.977604680797</v>
      </c>
      <c r="M39" s="93">
        <f t="shared" si="5"/>
        <v>29814.790546233708</v>
      </c>
      <c r="N39" s="93">
        <f t="shared" si="5"/>
        <v>31586.214097370248</v>
      </c>
      <c r="O39" s="93">
        <f t="shared" si="5"/>
        <v>33372.675957734551</v>
      </c>
      <c r="P39" s="93">
        <f t="shared" si="5"/>
        <v>41704.975455745924</v>
      </c>
      <c r="Q39" s="93">
        <f t="shared" si="5"/>
        <v>46468.239947878421</v>
      </c>
      <c r="R39" s="93">
        <f t="shared" si="5"/>
        <v>50931.109426157767</v>
      </c>
      <c r="S39" s="93">
        <f t="shared" si="5"/>
        <v>57729.710163287076</v>
      </c>
      <c r="T39" s="93">
        <f t="shared" si="5"/>
        <v>65331.367828610702</v>
      </c>
      <c r="U39" s="93">
        <f t="shared" si="5"/>
        <v>65377.983084196749</v>
      </c>
      <c r="V39" s="93">
        <f t="shared" si="5"/>
        <v>62719.940075615261</v>
      </c>
      <c r="W39" s="93">
        <f t="shared" si="5"/>
        <v>64652.177876903559</v>
      </c>
      <c r="X39" s="93">
        <f t="shared" si="5"/>
        <v>64088.990507456881</v>
      </c>
      <c r="Y39" s="93">
        <f t="shared" si="5"/>
        <v>62213.351998384489</v>
      </c>
      <c r="AA39" s="606">
        <f>SUM(F39:Y39)</f>
        <v>843476.20241353719</v>
      </c>
      <c r="AB39" s="607">
        <f t="shared" si="2"/>
        <v>843476.20241353719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6267</v>
      </c>
      <c r="G41" s="90">
        <f t="shared" ref="G41:Y41" si="7">+G108</f>
        <v>6267</v>
      </c>
      <c r="H41" s="90">
        <f t="shared" si="7"/>
        <v>6267</v>
      </c>
      <c r="I41" s="90">
        <f t="shared" si="7"/>
        <v>6267</v>
      </c>
      <c r="J41" s="90">
        <f t="shared" si="7"/>
        <v>6267</v>
      </c>
      <c r="K41" s="90">
        <f t="shared" si="7"/>
        <v>6267</v>
      </c>
      <c r="L41" s="90">
        <f t="shared" si="7"/>
        <v>6267</v>
      </c>
      <c r="M41" s="90">
        <f t="shared" si="7"/>
        <v>6267</v>
      </c>
      <c r="N41" s="90">
        <f t="shared" si="7"/>
        <v>6267</v>
      </c>
      <c r="O41" s="90">
        <f t="shared" si="7"/>
        <v>6267</v>
      </c>
      <c r="P41" s="90">
        <f t="shared" si="7"/>
        <v>6267</v>
      </c>
      <c r="Q41" s="90">
        <f t="shared" si="7"/>
        <v>6267</v>
      </c>
      <c r="R41" s="90">
        <f t="shared" si="7"/>
        <v>6267</v>
      </c>
      <c r="S41" s="90">
        <f t="shared" si="7"/>
        <v>6267</v>
      </c>
      <c r="T41" s="90">
        <f t="shared" si="7"/>
        <v>6267</v>
      </c>
      <c r="U41" s="90">
        <f t="shared" si="7"/>
        <v>6267</v>
      </c>
      <c r="V41" s="90">
        <f t="shared" si="7"/>
        <v>6267</v>
      </c>
      <c r="W41" s="90">
        <f t="shared" si="7"/>
        <v>6267</v>
      </c>
      <c r="X41" s="90">
        <f t="shared" si="7"/>
        <v>6267</v>
      </c>
      <c r="Y41" s="90">
        <f t="shared" si="7"/>
        <v>6267</v>
      </c>
      <c r="AA41" s="606">
        <f t="shared" si="6"/>
        <v>125340</v>
      </c>
      <c r="AB41" s="607">
        <f t="shared" si="2"/>
        <v>125340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22911.676753719599</v>
      </c>
      <c r="G44" s="93">
        <f t="shared" si="8"/>
        <v>18595.619750085505</v>
      </c>
      <c r="H44" s="93">
        <f t="shared" si="8"/>
        <v>13899.24957169265</v>
      </c>
      <c r="I44" s="93">
        <f t="shared" si="8"/>
        <v>15095.503013513255</v>
      </c>
      <c r="J44" s="93">
        <f t="shared" si="8"/>
        <v>15211.581701869844</v>
      </c>
      <c r="K44" s="93">
        <f t="shared" si="8"/>
        <v>18566.067052400103</v>
      </c>
      <c r="L44" s="93">
        <f t="shared" si="8"/>
        <v>19335.977604680797</v>
      </c>
      <c r="M44" s="93">
        <f t="shared" si="8"/>
        <v>23547.790546233708</v>
      </c>
      <c r="N44" s="93">
        <f t="shared" si="8"/>
        <v>25319.214097370248</v>
      </c>
      <c r="O44" s="93">
        <f t="shared" si="8"/>
        <v>27105.675957734551</v>
      </c>
      <c r="P44" s="93">
        <f t="shared" si="8"/>
        <v>35437.975455745924</v>
      </c>
      <c r="Q44" s="93">
        <f t="shared" si="8"/>
        <v>40201.239947878421</v>
      </c>
      <c r="R44" s="93">
        <f t="shared" si="8"/>
        <v>44664.109426157767</v>
      </c>
      <c r="S44" s="93">
        <f t="shared" si="8"/>
        <v>51462.710163287076</v>
      </c>
      <c r="T44" s="93">
        <f t="shared" si="8"/>
        <v>59064.367828610702</v>
      </c>
      <c r="U44" s="93">
        <f t="shared" si="8"/>
        <v>59110.983084196749</v>
      </c>
      <c r="V44" s="93">
        <f t="shared" si="8"/>
        <v>56452.940075615261</v>
      </c>
      <c r="W44" s="93">
        <f t="shared" si="8"/>
        <v>58385.177876903559</v>
      </c>
      <c r="X44" s="93">
        <f t="shared" si="8"/>
        <v>57821.990507456881</v>
      </c>
      <c r="Y44" s="93">
        <f t="shared" si="8"/>
        <v>55946.351998384489</v>
      </c>
      <c r="AA44" s="606">
        <f t="shared" si="6"/>
        <v>718136.20241353696</v>
      </c>
      <c r="AB44" s="607">
        <f t="shared" si="2"/>
        <v>718136.20241353696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+F171</f>
        <v>0</v>
      </c>
      <c r="G46" s="104">
        <f t="shared" ref="G46:Y46" si="9">+G171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22911.676753719599</v>
      </c>
      <c r="G49" s="93">
        <f t="shared" si="10"/>
        <v>18595.619750085505</v>
      </c>
      <c r="H49" s="93">
        <f t="shared" si="10"/>
        <v>13899.24957169265</v>
      </c>
      <c r="I49" s="93">
        <f t="shared" si="10"/>
        <v>15095.503013513255</v>
      </c>
      <c r="J49" s="93">
        <f t="shared" si="10"/>
        <v>15211.581701869844</v>
      </c>
      <c r="K49" s="93">
        <f t="shared" si="10"/>
        <v>18566.067052400103</v>
      </c>
      <c r="L49" s="93">
        <f t="shared" si="10"/>
        <v>19335.977604680797</v>
      </c>
      <c r="M49" s="93">
        <f t="shared" si="10"/>
        <v>23547.790546233708</v>
      </c>
      <c r="N49" s="93">
        <f t="shared" si="10"/>
        <v>25319.214097370248</v>
      </c>
      <c r="O49" s="93">
        <f t="shared" si="10"/>
        <v>27105.675957734551</v>
      </c>
      <c r="P49" s="93">
        <f t="shared" si="10"/>
        <v>35437.975455745924</v>
      </c>
      <c r="Q49" s="93">
        <f t="shared" si="10"/>
        <v>40201.239947878421</v>
      </c>
      <c r="R49" s="93">
        <f t="shared" si="10"/>
        <v>44664.109426157767</v>
      </c>
      <c r="S49" s="93">
        <f t="shared" si="10"/>
        <v>51462.710163287076</v>
      </c>
      <c r="T49" s="93">
        <f t="shared" si="10"/>
        <v>59064.367828610702</v>
      </c>
      <c r="U49" s="93">
        <f t="shared" si="10"/>
        <v>59110.983084196749</v>
      </c>
      <c r="V49" s="93">
        <f t="shared" si="10"/>
        <v>56452.940075615261</v>
      </c>
      <c r="W49" s="93">
        <f t="shared" si="10"/>
        <v>58385.177876903559</v>
      </c>
      <c r="X49" s="93">
        <f t="shared" si="10"/>
        <v>57821.990507456881</v>
      </c>
      <c r="Y49" s="93">
        <f t="shared" si="10"/>
        <v>55946.351998384489</v>
      </c>
      <c r="AA49" s="606">
        <f t="shared" si="6"/>
        <v>718136.20241353696</v>
      </c>
      <c r="AB49" s="607">
        <f t="shared" si="2"/>
        <v>718136.20241353696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-2039.1392310810443</v>
      </c>
      <c r="G51" s="55">
        <f t="shared" si="11"/>
        <v>-1655.0101577576099</v>
      </c>
      <c r="H51" s="90">
        <f t="shared" si="11"/>
        <v>-1237.0332118806457</v>
      </c>
      <c r="I51" s="90">
        <f t="shared" si="11"/>
        <v>-1343.4997682026797</v>
      </c>
      <c r="J51" s="90">
        <f t="shared" si="11"/>
        <v>-1353.8307714664161</v>
      </c>
      <c r="K51" s="90">
        <f t="shared" si="11"/>
        <v>-1652.379967663609</v>
      </c>
      <c r="L51" s="90">
        <f t="shared" si="11"/>
        <v>-1720.9020068165908</v>
      </c>
      <c r="M51" s="90">
        <f t="shared" si="11"/>
        <v>-2095.7533586147997</v>
      </c>
      <c r="N51" s="90">
        <f t="shared" si="11"/>
        <v>-2253.410054665952</v>
      </c>
      <c r="O51" s="90">
        <f t="shared" si="11"/>
        <v>-2412.4051602383747</v>
      </c>
      <c r="P51" s="90">
        <f t="shared" si="11"/>
        <v>-3153.9798155613871</v>
      </c>
      <c r="Q51" s="90">
        <f t="shared" si="11"/>
        <v>-3577.9103553611794</v>
      </c>
      <c r="R51" s="90">
        <f t="shared" si="11"/>
        <v>-3975.1057389280413</v>
      </c>
      <c r="S51" s="90">
        <f t="shared" si="11"/>
        <v>-4580.1812045325496</v>
      </c>
      <c r="T51" s="90">
        <f t="shared" si="11"/>
        <v>-5256.7287367463523</v>
      </c>
      <c r="U51" s="90">
        <f t="shared" si="11"/>
        <v>-5260.8774944935103</v>
      </c>
      <c r="V51" s="90">
        <f t="shared" si="11"/>
        <v>-5024.3116667297581</v>
      </c>
      <c r="W51" s="90">
        <f t="shared" si="11"/>
        <v>-5196.2808310444161</v>
      </c>
      <c r="X51" s="90">
        <f t="shared" si="11"/>
        <v>-5146.1571551636625</v>
      </c>
      <c r="Y51" s="90">
        <f t="shared" si="11"/>
        <v>-4979.2253278562193</v>
      </c>
      <c r="AA51" s="606">
        <f t="shared" si="6"/>
        <v>-63914.122014804794</v>
      </c>
      <c r="AB51" s="607">
        <f t="shared" si="2"/>
        <v>-63914.122014804794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-7305.3881329234937</v>
      </c>
      <c r="G52" s="89">
        <f t="shared" si="12"/>
        <v>-5929.213357314763</v>
      </c>
      <c r="H52" s="89">
        <f t="shared" si="12"/>
        <v>-4431.7757259342015</v>
      </c>
      <c r="I52" s="89">
        <f t="shared" si="12"/>
        <v>-4813.2011358587006</v>
      </c>
      <c r="J52" s="89">
        <f t="shared" si="12"/>
        <v>-4850.2128256411997</v>
      </c>
      <c r="K52" s="89">
        <f t="shared" si="12"/>
        <v>-5919.7904796577732</v>
      </c>
      <c r="L52" s="89">
        <f t="shared" si="12"/>
        <v>-6165.2764592524709</v>
      </c>
      <c r="M52" s="89">
        <f t="shared" si="12"/>
        <v>-7508.213015666618</v>
      </c>
      <c r="N52" s="89">
        <f t="shared" si="12"/>
        <v>-8073.0314149465021</v>
      </c>
      <c r="O52" s="89">
        <f t="shared" si="12"/>
        <v>-8642.6447791236624</v>
      </c>
      <c r="P52" s="89">
        <f t="shared" si="12"/>
        <v>-11299.398474064588</v>
      </c>
      <c r="Q52" s="89">
        <f t="shared" si="12"/>
        <v>-12818.165357381034</v>
      </c>
      <c r="R52" s="89">
        <f t="shared" si="12"/>
        <v>-14241.151290530404</v>
      </c>
      <c r="S52" s="89">
        <f t="shared" si="12"/>
        <v>-16408.885135564084</v>
      </c>
      <c r="T52" s="89">
        <f t="shared" si="12"/>
        <v>-18832.673682152523</v>
      </c>
      <c r="U52" s="89">
        <f t="shared" si="12"/>
        <v>-18847.536956396132</v>
      </c>
      <c r="V52" s="89">
        <f t="shared" si="12"/>
        <v>-18000.019943109924</v>
      </c>
      <c r="W52" s="89">
        <f t="shared" si="12"/>
        <v>-18616.1139660507</v>
      </c>
      <c r="X52" s="89">
        <f t="shared" si="12"/>
        <v>-18436.541673302625</v>
      </c>
      <c r="Y52" s="89">
        <f t="shared" si="12"/>
        <v>-17838.494334684892</v>
      </c>
      <c r="AA52" s="606">
        <f t="shared" si="6"/>
        <v>-228977.72813955627</v>
      </c>
      <c r="AB52" s="607">
        <f t="shared" si="2"/>
        <v>-228977.72813955627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13567.149389715061</v>
      </c>
      <c r="G54" s="93">
        <f t="shared" si="13"/>
        <v>11011.396235013133</v>
      </c>
      <c r="H54" s="93">
        <f t="shared" si="13"/>
        <v>8230.4406338778026</v>
      </c>
      <c r="I54" s="93">
        <f t="shared" si="13"/>
        <v>8938.8021094518735</v>
      </c>
      <c r="J54" s="93">
        <f t="shared" si="13"/>
        <v>9007.5381047622286</v>
      </c>
      <c r="K54" s="93">
        <f t="shared" si="13"/>
        <v>10993.896605078722</v>
      </c>
      <c r="L54" s="93">
        <f t="shared" si="13"/>
        <v>11449.799138611734</v>
      </c>
      <c r="M54" s="93">
        <f t="shared" si="13"/>
        <v>13943.824171952292</v>
      </c>
      <c r="N54" s="93">
        <f t="shared" si="13"/>
        <v>14992.772627757793</v>
      </c>
      <c r="O54" s="93">
        <f t="shared" si="13"/>
        <v>16050.626018372515</v>
      </c>
      <c r="P54" s="93">
        <f t="shared" si="13"/>
        <v>20984.597166119951</v>
      </c>
      <c r="Q54" s="93">
        <f t="shared" si="13"/>
        <v>23805.16423513621</v>
      </c>
      <c r="R54" s="93">
        <f t="shared" si="13"/>
        <v>26447.852396699323</v>
      </c>
      <c r="S54" s="93">
        <f t="shared" si="13"/>
        <v>30473.643823190443</v>
      </c>
      <c r="T54" s="93">
        <f t="shared" si="13"/>
        <v>34974.965409711833</v>
      </c>
      <c r="U54" s="93">
        <f t="shared" si="13"/>
        <v>35002.568633307106</v>
      </c>
      <c r="V54" s="93">
        <f t="shared" si="13"/>
        <v>33428.608465775578</v>
      </c>
      <c r="W54" s="93">
        <f t="shared" si="13"/>
        <v>34572.783079808447</v>
      </c>
      <c r="X54" s="93">
        <f t="shared" si="13"/>
        <v>34239.291678990601</v>
      </c>
      <c r="Y54" s="93">
        <f t="shared" si="13"/>
        <v>33128.632335843373</v>
      </c>
      <c r="AA54" s="606">
        <f t="shared" si="6"/>
        <v>425244.35225917597</v>
      </c>
      <c r="AB54" s="607">
        <f t="shared" si="2"/>
        <v>425244.35225917597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29178.676753719599</v>
      </c>
      <c r="G64" s="24">
        <f t="shared" si="15"/>
        <v>24862.619750085505</v>
      </c>
      <c r="H64" s="20">
        <f t="shared" si="15"/>
        <v>20166.24957169265</v>
      </c>
      <c r="I64" s="20">
        <f t="shared" si="15"/>
        <v>21362.503013513255</v>
      </c>
      <c r="J64" s="20">
        <f t="shared" si="15"/>
        <v>21478.581701869844</v>
      </c>
      <c r="K64" s="20">
        <f t="shared" si="15"/>
        <v>24833.067052400103</v>
      </c>
      <c r="L64" s="20">
        <f t="shared" si="15"/>
        <v>25602.977604680797</v>
      </c>
      <c r="M64" s="20">
        <f t="shared" si="15"/>
        <v>29814.790546233708</v>
      </c>
      <c r="N64" s="20">
        <f t="shared" si="15"/>
        <v>31586.214097370248</v>
      </c>
      <c r="O64" s="20">
        <f t="shared" si="15"/>
        <v>33372.675957734551</v>
      </c>
      <c r="P64" s="20">
        <f t="shared" si="15"/>
        <v>41704.975455745924</v>
      </c>
      <c r="Q64" s="20">
        <f t="shared" si="15"/>
        <v>46468.239947878421</v>
      </c>
      <c r="R64" s="20">
        <f t="shared" si="15"/>
        <v>50931.109426157767</v>
      </c>
      <c r="S64" s="20">
        <f t="shared" si="15"/>
        <v>57729.710163287076</v>
      </c>
      <c r="T64" s="20">
        <f t="shared" si="15"/>
        <v>65331.367828610702</v>
      </c>
      <c r="U64" s="20">
        <f t="shared" si="15"/>
        <v>65377.983084196749</v>
      </c>
      <c r="V64" s="20">
        <f t="shared" si="15"/>
        <v>62719.940075615261</v>
      </c>
      <c r="W64" s="20">
        <f t="shared" si="15"/>
        <v>64652.177876903559</v>
      </c>
      <c r="X64" s="20">
        <f t="shared" si="15"/>
        <v>64088.990507456881</v>
      </c>
      <c r="Y64" s="20">
        <f t="shared" si="15"/>
        <v>62213.351998384489</v>
      </c>
      <c r="AA64" s="606">
        <f t="shared" si="6"/>
        <v>843476.20241353719</v>
      </c>
      <c r="AB64" s="607">
        <f t="shared" si="2"/>
        <v>843476.20241353719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29178.676753719599</v>
      </c>
      <c r="G69" s="95">
        <f t="shared" si="17"/>
        <v>24862.619750085505</v>
      </c>
      <c r="H69" s="95">
        <f t="shared" si="17"/>
        <v>20166.24957169265</v>
      </c>
      <c r="I69" s="95">
        <f t="shared" si="17"/>
        <v>21362.503013513255</v>
      </c>
      <c r="J69" s="95">
        <f t="shared" si="17"/>
        <v>21478.581701869844</v>
      </c>
      <c r="K69" s="95">
        <f t="shared" si="17"/>
        <v>24833.067052400103</v>
      </c>
      <c r="L69" s="95">
        <f t="shared" si="17"/>
        <v>25602.977604680797</v>
      </c>
      <c r="M69" s="95">
        <f t="shared" si="17"/>
        <v>29814.790546233708</v>
      </c>
      <c r="N69" s="95">
        <f t="shared" si="17"/>
        <v>31586.214097370248</v>
      </c>
      <c r="O69" s="95">
        <f t="shared" si="17"/>
        <v>33372.675957734551</v>
      </c>
      <c r="P69" s="95">
        <f t="shared" si="17"/>
        <v>41704.975455745924</v>
      </c>
      <c r="Q69" s="95">
        <f t="shared" si="17"/>
        <v>46468.239947878421</v>
      </c>
      <c r="R69" s="95">
        <f t="shared" si="17"/>
        <v>50931.109426157767</v>
      </c>
      <c r="S69" s="95">
        <f t="shared" si="17"/>
        <v>57729.710163287076</v>
      </c>
      <c r="T69" s="95">
        <f t="shared" si="17"/>
        <v>65331.367828610702</v>
      </c>
      <c r="U69" s="95">
        <f t="shared" si="17"/>
        <v>65377.983084196749</v>
      </c>
      <c r="V69" s="95">
        <f t="shared" si="17"/>
        <v>62719.940075615261</v>
      </c>
      <c r="W69" s="95">
        <f t="shared" si="17"/>
        <v>64652.177876903559</v>
      </c>
      <c r="X69" s="95">
        <f t="shared" si="17"/>
        <v>64088.990507456881</v>
      </c>
      <c r="Y69" s="95">
        <f t="shared" si="17"/>
        <v>62213.351998384489</v>
      </c>
      <c r="AA69" s="606">
        <f t="shared" si="6"/>
        <v>843476.20241353719</v>
      </c>
      <c r="AB69" s="607">
        <f t="shared" si="2"/>
        <v>843476.20241353719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-9025.1245576906113</v>
      </c>
      <c r="G71" s="100">
        <f t="shared" si="18"/>
        <v>-4604.8851659176426</v>
      </c>
      <c r="H71" s="100">
        <f t="shared" si="18"/>
        <v>-3105.0615555726899</v>
      </c>
      <c r="I71" s="100">
        <f t="shared" si="18"/>
        <v>-3976.3400226610802</v>
      </c>
      <c r="J71" s="100">
        <f t="shared" si="18"/>
        <v>-4379.4653884885574</v>
      </c>
      <c r="K71" s="100">
        <f t="shared" si="18"/>
        <v>-6075.7710834229547</v>
      </c>
      <c r="L71" s="100">
        <f t="shared" si="18"/>
        <v>-6694.1879838390678</v>
      </c>
      <c r="M71" s="100">
        <f t="shared" si="18"/>
        <v>-8692.6148106676628</v>
      </c>
      <c r="N71" s="100">
        <f t="shared" si="18"/>
        <v>-9461.0962860997242</v>
      </c>
      <c r="O71" s="100">
        <f t="shared" si="18"/>
        <v>-10190.471528850989</v>
      </c>
      <c r="P71" s="100">
        <f t="shared" si="18"/>
        <v>-13588.033106113242</v>
      </c>
      <c r="Q71" s="100">
        <f t="shared" si="18"/>
        <v>-15531.497302231166</v>
      </c>
      <c r="R71" s="100">
        <f t="shared" si="18"/>
        <v>-17350.911845945713</v>
      </c>
      <c r="S71" s="100">
        <f t="shared" si="18"/>
        <v>-20124.487929585586</v>
      </c>
      <c r="T71" s="100">
        <f t="shared" si="18"/>
        <v>-23224.057235386143</v>
      </c>
      <c r="U71" s="100">
        <f t="shared" si="18"/>
        <v>-23243.836040378592</v>
      </c>
      <c r="V71" s="100">
        <f t="shared" si="18"/>
        <v>-22158.986426326952</v>
      </c>
      <c r="W71" s="100">
        <f t="shared" si="18"/>
        <v>-22947.816386584069</v>
      </c>
      <c r="X71" s="100">
        <f t="shared" si="18"/>
        <v>-22717.353644953557</v>
      </c>
      <c r="Y71" s="100">
        <f t="shared" si="18"/>
        <v>-21953.141252030066</v>
      </c>
      <c r="AA71" s="606">
        <f t="shared" si="6"/>
        <v>-269045.13955274608</v>
      </c>
      <c r="AB71" s="607">
        <f t="shared" si="2"/>
        <v>-269045.13955274608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20153.552196028988</v>
      </c>
      <c r="G73" s="28">
        <f t="shared" si="19"/>
        <v>20257.734584167862</v>
      </c>
      <c r="H73" s="28">
        <f t="shared" si="19"/>
        <v>17061.188016119959</v>
      </c>
      <c r="I73" s="28">
        <f t="shared" si="19"/>
        <v>17386.162990852175</v>
      </c>
      <c r="J73" s="28">
        <f t="shared" si="19"/>
        <v>17099.116313381288</v>
      </c>
      <c r="K73" s="28">
        <f t="shared" si="19"/>
        <v>18757.295968977149</v>
      </c>
      <c r="L73" s="28">
        <f t="shared" si="19"/>
        <v>18908.78962084173</v>
      </c>
      <c r="M73" s="28">
        <f t="shared" si="19"/>
        <v>21122.175735566045</v>
      </c>
      <c r="N73" s="28">
        <f t="shared" si="19"/>
        <v>22125.117811270524</v>
      </c>
      <c r="O73" s="28">
        <f t="shared" si="19"/>
        <v>23182.20442888356</v>
      </c>
      <c r="P73" s="28">
        <f t="shared" si="19"/>
        <v>28116.942349632682</v>
      </c>
      <c r="Q73" s="28">
        <f t="shared" si="19"/>
        <v>30936.742645647253</v>
      </c>
      <c r="R73" s="28">
        <f t="shared" si="19"/>
        <v>33580.197580212058</v>
      </c>
      <c r="S73" s="28">
        <f t="shared" si="19"/>
        <v>37605.22223370149</v>
      </c>
      <c r="T73" s="28">
        <f t="shared" si="19"/>
        <v>42107.31059322456</v>
      </c>
      <c r="U73" s="28">
        <f t="shared" si="19"/>
        <v>42134.147043818157</v>
      </c>
      <c r="V73" s="28">
        <f t="shared" si="19"/>
        <v>40560.953649288305</v>
      </c>
      <c r="W73" s="28">
        <f t="shared" si="19"/>
        <v>41704.36149031949</v>
      </c>
      <c r="X73" s="28">
        <f t="shared" si="19"/>
        <v>41371.636862503321</v>
      </c>
      <c r="Y73" s="28">
        <f t="shared" si="19"/>
        <v>40260.210746354423</v>
      </c>
      <c r="AA73" s="606">
        <f t="shared" si="6"/>
        <v>574431.06286079111</v>
      </c>
      <c r="AB73" s="607">
        <f t="shared" si="2"/>
        <v>574431.06286079111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13567.149389715061</v>
      </c>
      <c r="G76" s="95">
        <f t="shared" si="21"/>
        <v>11011.396235013133</v>
      </c>
      <c r="H76" s="28">
        <f t="shared" si="21"/>
        <v>8230.4406338778026</v>
      </c>
      <c r="I76" s="28">
        <f t="shared" si="21"/>
        <v>8938.8021094518735</v>
      </c>
      <c r="J76" s="28">
        <f t="shared" si="21"/>
        <v>9007.5381047622286</v>
      </c>
      <c r="K76" s="28">
        <f t="shared" si="21"/>
        <v>10993.896605078722</v>
      </c>
      <c r="L76" s="28">
        <f t="shared" si="21"/>
        <v>11449.799138611734</v>
      </c>
      <c r="M76" s="28">
        <f t="shared" si="21"/>
        <v>13943.824171952292</v>
      </c>
      <c r="N76" s="28">
        <f t="shared" si="21"/>
        <v>14992.772627757793</v>
      </c>
      <c r="O76" s="28">
        <f t="shared" si="21"/>
        <v>16050.626018372515</v>
      </c>
      <c r="P76" s="28">
        <f t="shared" si="21"/>
        <v>20984.597166119951</v>
      </c>
      <c r="Q76" s="28">
        <f t="shared" si="21"/>
        <v>23805.16423513621</v>
      </c>
      <c r="R76" s="28">
        <f t="shared" si="21"/>
        <v>26447.852396699323</v>
      </c>
      <c r="S76" s="28">
        <f t="shared" si="21"/>
        <v>30473.643823190443</v>
      </c>
      <c r="T76" s="28">
        <f t="shared" si="21"/>
        <v>34974.965409711833</v>
      </c>
      <c r="U76" s="28">
        <f t="shared" si="21"/>
        <v>35002.568633307106</v>
      </c>
      <c r="V76" s="28">
        <f t="shared" si="21"/>
        <v>33428.608465775578</v>
      </c>
      <c r="W76" s="28">
        <f t="shared" si="21"/>
        <v>34572.783079808447</v>
      </c>
      <c r="X76" s="28">
        <f t="shared" si="21"/>
        <v>34239.291678990601</v>
      </c>
      <c r="Y76" s="28">
        <f t="shared" si="21"/>
        <v>33128.632335843373</v>
      </c>
      <c r="AA76" s="606">
        <f t="shared" si="6"/>
        <v>425244.35225917597</v>
      </c>
      <c r="AB76" s="607">
        <f>AA76</f>
        <v>425244.35225917597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20153.552196028988</v>
      </c>
      <c r="G77" s="95">
        <f t="shared" si="22"/>
        <v>20257.734584167862</v>
      </c>
      <c r="H77" s="28">
        <f t="shared" si="22"/>
        <v>17061.188016119959</v>
      </c>
      <c r="I77" s="28">
        <f t="shared" si="22"/>
        <v>17386.162990852175</v>
      </c>
      <c r="J77" s="28">
        <f t="shared" si="22"/>
        <v>17099.116313381288</v>
      </c>
      <c r="K77" s="28">
        <f t="shared" si="22"/>
        <v>18757.295968977149</v>
      </c>
      <c r="L77" s="28">
        <f t="shared" si="22"/>
        <v>18908.78962084173</v>
      </c>
      <c r="M77" s="28">
        <f t="shared" si="22"/>
        <v>21122.175735566045</v>
      </c>
      <c r="N77" s="28">
        <f t="shared" si="22"/>
        <v>22125.117811270524</v>
      </c>
      <c r="O77" s="28">
        <f t="shared" si="22"/>
        <v>23182.20442888356</v>
      </c>
      <c r="P77" s="28">
        <f t="shared" si="22"/>
        <v>28116.942349632682</v>
      </c>
      <c r="Q77" s="28">
        <f t="shared" si="22"/>
        <v>30936.742645647253</v>
      </c>
      <c r="R77" s="28">
        <f t="shared" si="22"/>
        <v>33580.197580212058</v>
      </c>
      <c r="S77" s="28">
        <f t="shared" si="22"/>
        <v>37605.22223370149</v>
      </c>
      <c r="T77" s="28">
        <f t="shared" si="22"/>
        <v>42107.31059322456</v>
      </c>
      <c r="U77" s="28">
        <f t="shared" si="22"/>
        <v>42134.147043818157</v>
      </c>
      <c r="V77" s="28">
        <f t="shared" si="22"/>
        <v>40560.953649288305</v>
      </c>
      <c r="W77" s="28">
        <f t="shared" si="22"/>
        <v>41704.36149031949</v>
      </c>
      <c r="X77" s="28">
        <f t="shared" si="22"/>
        <v>41371.636862503321</v>
      </c>
      <c r="Y77" s="28">
        <f t="shared" si="22"/>
        <v>40260.210746354423</v>
      </c>
      <c r="AA77" s="606">
        <f t="shared" si="6"/>
        <v>574431.06286079111</v>
      </c>
      <c r="AB77" s="607">
        <f>AA77</f>
        <v>574431.06286079111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29178.676753719599</v>
      </c>
      <c r="G88" s="200">
        <f t="shared" ref="G88:Y88" si="24">G69</f>
        <v>24862.619750085505</v>
      </c>
      <c r="H88" s="200">
        <f t="shared" si="24"/>
        <v>20166.24957169265</v>
      </c>
      <c r="I88" s="200">
        <f t="shared" si="24"/>
        <v>21362.503013513255</v>
      </c>
      <c r="J88" s="200">
        <f t="shared" si="24"/>
        <v>21478.581701869844</v>
      </c>
      <c r="K88" s="200">
        <f t="shared" si="24"/>
        <v>24833.067052400103</v>
      </c>
      <c r="L88" s="200">
        <f t="shared" si="24"/>
        <v>25602.977604680797</v>
      </c>
      <c r="M88" s="200">
        <f t="shared" si="24"/>
        <v>29814.790546233708</v>
      </c>
      <c r="N88" s="200">
        <f t="shared" si="24"/>
        <v>31586.214097370248</v>
      </c>
      <c r="O88" s="200">
        <f t="shared" si="24"/>
        <v>33372.675957734551</v>
      </c>
      <c r="P88" s="200">
        <f t="shared" si="24"/>
        <v>41704.975455745924</v>
      </c>
      <c r="Q88" s="200">
        <f t="shared" si="24"/>
        <v>46468.239947878421</v>
      </c>
      <c r="R88" s="200">
        <f t="shared" si="24"/>
        <v>50931.109426157767</v>
      </c>
      <c r="S88" s="200">
        <f t="shared" si="24"/>
        <v>57729.710163287076</v>
      </c>
      <c r="T88" s="200">
        <f t="shared" si="24"/>
        <v>65331.367828610702</v>
      </c>
      <c r="U88" s="200">
        <f t="shared" si="24"/>
        <v>65377.983084196749</v>
      </c>
      <c r="V88" s="200">
        <f t="shared" si="24"/>
        <v>62719.940075615261</v>
      </c>
      <c r="W88" s="200">
        <f t="shared" si="24"/>
        <v>64652.177876903559</v>
      </c>
      <c r="X88" s="200">
        <f t="shared" si="24"/>
        <v>64088.990507456881</v>
      </c>
      <c r="Y88" s="200">
        <f t="shared" si="24"/>
        <v>62213.351998384489</v>
      </c>
      <c r="AA88" s="606">
        <f t="shared" si="6"/>
        <v>843476.20241353719</v>
      </c>
      <c r="AB88" s="607">
        <f t="shared" si="20"/>
        <v>843476.20241353719</v>
      </c>
    </row>
    <row r="89" spans="1:28" s="199" customFormat="1">
      <c r="A89" s="199" t="s">
        <v>53</v>
      </c>
      <c r="F89" s="110">
        <f>F125+F126</f>
        <v>-9025.1245576906113</v>
      </c>
      <c r="G89" s="110">
        <f t="shared" ref="G89:Y89" si="25">G125+G126</f>
        <v>-4604.8851659176426</v>
      </c>
      <c r="H89" s="110">
        <f t="shared" si="25"/>
        <v>-3105.0615555726899</v>
      </c>
      <c r="I89" s="110">
        <f t="shared" si="25"/>
        <v>-3976.3400226610802</v>
      </c>
      <c r="J89" s="110">
        <f t="shared" si="25"/>
        <v>-4379.4653884885574</v>
      </c>
      <c r="K89" s="110">
        <f t="shared" si="25"/>
        <v>-6075.7710834229547</v>
      </c>
      <c r="L89" s="110">
        <f t="shared" si="25"/>
        <v>-6694.1879838390678</v>
      </c>
      <c r="M89" s="110">
        <f t="shared" si="25"/>
        <v>-8692.6148106676628</v>
      </c>
      <c r="N89" s="110">
        <f t="shared" si="25"/>
        <v>-9461.0962860997242</v>
      </c>
      <c r="O89" s="110">
        <f t="shared" si="25"/>
        <v>-10190.471528850989</v>
      </c>
      <c r="P89" s="110">
        <f t="shared" si="25"/>
        <v>-13588.033106113242</v>
      </c>
      <c r="Q89" s="110">
        <f t="shared" si="25"/>
        <v>-15531.497302231166</v>
      </c>
      <c r="R89" s="110">
        <f t="shared" si="25"/>
        <v>-17350.911845945713</v>
      </c>
      <c r="S89" s="110">
        <f t="shared" si="25"/>
        <v>-20124.487929585586</v>
      </c>
      <c r="T89" s="110">
        <f t="shared" si="25"/>
        <v>-23224.057235386143</v>
      </c>
      <c r="U89" s="110">
        <f t="shared" si="25"/>
        <v>-23243.836040378592</v>
      </c>
      <c r="V89" s="110">
        <f t="shared" si="25"/>
        <v>-22158.986426326952</v>
      </c>
      <c r="W89" s="110">
        <f t="shared" si="25"/>
        <v>-22947.816386584069</v>
      </c>
      <c r="X89" s="110">
        <f t="shared" si="25"/>
        <v>-22717.353644953557</v>
      </c>
      <c r="Y89" s="110">
        <f t="shared" si="25"/>
        <v>-21953.141252030066</v>
      </c>
      <c r="AA89" s="606">
        <f t="shared" si="6"/>
        <v>-269045.13955274608</v>
      </c>
      <c r="AB89" s="607">
        <f t="shared" si="20"/>
        <v>-269045.13955274608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155533.37999596121</v>
      </c>
      <c r="AA90" s="606">
        <f t="shared" si="6"/>
        <v>155533.37999596121</v>
      </c>
      <c r="AB90" s="607">
        <f t="shared" si="20"/>
        <v>155533.37999596121</v>
      </c>
    </row>
    <row r="91" spans="1:28" s="199" customFormat="1">
      <c r="A91" s="199" t="s">
        <v>55</v>
      </c>
      <c r="E91" s="148">
        <v>-208892.97581728408</v>
      </c>
      <c r="F91" s="200">
        <f>F88+F89+F90</f>
        <v>20153.552196028988</v>
      </c>
      <c r="G91" s="200">
        <f t="shared" ref="G91:Y91" si="26">G88+G89+G90</f>
        <v>20257.734584167862</v>
      </c>
      <c r="H91" s="200">
        <f t="shared" si="26"/>
        <v>17061.188016119959</v>
      </c>
      <c r="I91" s="200">
        <f t="shared" si="26"/>
        <v>17386.162990852175</v>
      </c>
      <c r="J91" s="200">
        <f t="shared" si="26"/>
        <v>17099.116313381288</v>
      </c>
      <c r="K91" s="200">
        <f t="shared" si="26"/>
        <v>18757.295968977149</v>
      </c>
      <c r="L91" s="200">
        <f t="shared" si="26"/>
        <v>18908.78962084173</v>
      </c>
      <c r="M91" s="200">
        <f t="shared" si="26"/>
        <v>21122.175735566045</v>
      </c>
      <c r="N91" s="200">
        <f t="shared" si="26"/>
        <v>22125.117811270524</v>
      </c>
      <c r="O91" s="200">
        <f t="shared" si="26"/>
        <v>23182.20442888356</v>
      </c>
      <c r="P91" s="200">
        <f t="shared" si="26"/>
        <v>28116.942349632682</v>
      </c>
      <c r="Q91" s="200">
        <f t="shared" si="26"/>
        <v>30936.742645647253</v>
      </c>
      <c r="R91" s="200">
        <f t="shared" si="26"/>
        <v>33580.197580212058</v>
      </c>
      <c r="S91" s="200">
        <f t="shared" si="26"/>
        <v>37605.22223370149</v>
      </c>
      <c r="T91" s="200">
        <f t="shared" si="26"/>
        <v>42107.31059322456</v>
      </c>
      <c r="U91" s="200">
        <f t="shared" si="26"/>
        <v>42134.147043818157</v>
      </c>
      <c r="V91" s="200">
        <f t="shared" si="26"/>
        <v>40560.953649288305</v>
      </c>
      <c r="W91" s="200">
        <f t="shared" si="26"/>
        <v>41704.36149031949</v>
      </c>
      <c r="X91" s="200">
        <f t="shared" si="26"/>
        <v>41371.636862503321</v>
      </c>
      <c r="Y91" s="200">
        <f t="shared" si="26"/>
        <v>195793.59074231563</v>
      </c>
      <c r="AA91" s="606">
        <f t="shared" si="6"/>
        <v>729964.44285675231</v>
      </c>
      <c r="AB91" s="607">
        <f t="shared" si="20"/>
        <v>729964.44285675231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3.9984992294161166E-10</v>
      </c>
      <c r="R94" s="204"/>
      <c r="U94" s="205" t="s">
        <v>58</v>
      </c>
      <c r="V94" s="206"/>
      <c r="W94" s="206"/>
      <c r="X94" s="206"/>
      <c r="Y94" s="207">
        <f>Y39</f>
        <v>62213.351998384489</v>
      </c>
      <c r="AA94" s="606">
        <f t="shared" si="6"/>
        <v>62213.351998384489</v>
      </c>
      <c r="AB94" s="607">
        <f t="shared" si="20"/>
        <v>62213.351998384489</v>
      </c>
    </row>
    <row r="95" spans="1:28" s="199" customFormat="1" ht="13.5" thickBot="1">
      <c r="A95" s="199" t="s">
        <v>59</v>
      </c>
      <c r="C95" s="232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31106.675999192244</v>
      </c>
      <c r="AA96" s="606">
        <f t="shared" si="6"/>
        <v>31106.675999192244</v>
      </c>
      <c r="AB96" s="607">
        <f t="shared" si="20"/>
        <v>31106.675999192244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155533.37999596121</v>
      </c>
      <c r="AA98" s="606">
        <f t="shared" si="6"/>
        <v>155533.37999596121</v>
      </c>
      <c r="AB98" s="607">
        <f t="shared" si="20"/>
        <v>155533.37999596121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208892.97581728408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208892.97581728408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188003.67823555568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188003.67823555568</v>
      </c>
      <c r="F108" s="203">
        <f>ROUND(D108/$B$108,0)</f>
        <v>6267</v>
      </c>
      <c r="G108" s="203">
        <f>F108</f>
        <v>6267</v>
      </c>
      <c r="H108" s="203">
        <f t="shared" ref="H108:Y109" si="29">G108</f>
        <v>6267</v>
      </c>
      <c r="I108" s="203">
        <f t="shared" si="29"/>
        <v>6267</v>
      </c>
      <c r="J108" s="203">
        <f t="shared" si="29"/>
        <v>6267</v>
      </c>
      <c r="K108" s="203">
        <f t="shared" si="29"/>
        <v>6267</v>
      </c>
      <c r="L108" s="203">
        <f t="shared" si="29"/>
        <v>6267</v>
      </c>
      <c r="M108" s="203">
        <f t="shared" si="29"/>
        <v>6267</v>
      </c>
      <c r="N108" s="203">
        <f t="shared" si="29"/>
        <v>6267</v>
      </c>
      <c r="O108" s="203">
        <f t="shared" si="29"/>
        <v>6267</v>
      </c>
      <c r="P108" s="203">
        <f t="shared" si="29"/>
        <v>6267</v>
      </c>
      <c r="Q108" s="203">
        <f t="shared" si="29"/>
        <v>6267</v>
      </c>
      <c r="R108" s="203">
        <f t="shared" si="29"/>
        <v>6267</v>
      </c>
      <c r="S108" s="203">
        <f t="shared" si="29"/>
        <v>6267</v>
      </c>
      <c r="T108" s="203">
        <f t="shared" si="29"/>
        <v>6267</v>
      </c>
      <c r="U108" s="203">
        <f t="shared" si="29"/>
        <v>6267</v>
      </c>
      <c r="V108" s="203">
        <f t="shared" si="29"/>
        <v>6267</v>
      </c>
      <c r="W108" s="203">
        <f t="shared" si="29"/>
        <v>6267</v>
      </c>
      <c r="X108" s="203">
        <f t="shared" si="29"/>
        <v>6267</v>
      </c>
      <c r="Y108" s="203">
        <f t="shared" si="29"/>
        <v>6267</v>
      </c>
      <c r="AA108" s="606">
        <f t="shared" si="27"/>
        <v>125340</v>
      </c>
      <c r="AB108" s="607">
        <f t="shared" si="20"/>
        <v>125340</v>
      </c>
    </row>
    <row r="109" spans="1:28" s="199" customFormat="1">
      <c r="A109" s="199" t="s">
        <v>571</v>
      </c>
      <c r="D109" s="214">
        <f>D103*'FPLE_Valuation Summary'!V13</f>
        <v>27906.527317983382</v>
      </c>
      <c r="F109" s="203">
        <f>ROUND(D109/$B$108,0)</f>
        <v>930</v>
      </c>
      <c r="G109" s="203">
        <f>F109</f>
        <v>930</v>
      </c>
      <c r="H109" s="203">
        <f t="shared" si="29"/>
        <v>930</v>
      </c>
      <c r="I109" s="203">
        <f t="shared" si="29"/>
        <v>930</v>
      </c>
      <c r="J109" s="203">
        <f t="shared" si="29"/>
        <v>930</v>
      </c>
      <c r="K109" s="203">
        <f t="shared" si="29"/>
        <v>930</v>
      </c>
      <c r="L109" s="203">
        <f t="shared" si="29"/>
        <v>930</v>
      </c>
      <c r="M109" s="203">
        <f t="shared" si="29"/>
        <v>930</v>
      </c>
      <c r="N109" s="203">
        <f t="shared" si="29"/>
        <v>930</v>
      </c>
      <c r="O109" s="203">
        <f t="shared" si="29"/>
        <v>930</v>
      </c>
      <c r="P109" s="203">
        <f t="shared" si="29"/>
        <v>930</v>
      </c>
      <c r="Q109" s="203">
        <f t="shared" si="29"/>
        <v>930</v>
      </c>
      <c r="R109" s="203">
        <f t="shared" si="29"/>
        <v>930</v>
      </c>
      <c r="S109" s="203">
        <f t="shared" si="29"/>
        <v>930</v>
      </c>
      <c r="T109" s="203">
        <f t="shared" si="29"/>
        <v>930</v>
      </c>
      <c r="U109" s="203">
        <f t="shared" si="29"/>
        <v>930</v>
      </c>
      <c r="V109" s="203">
        <f t="shared" si="29"/>
        <v>930</v>
      </c>
      <c r="W109" s="203">
        <f t="shared" si="29"/>
        <v>930</v>
      </c>
      <c r="X109" s="203">
        <f t="shared" si="29"/>
        <v>930</v>
      </c>
      <c r="Y109" s="203">
        <f t="shared" si="29"/>
        <v>930</v>
      </c>
      <c r="AA109" s="606">
        <f t="shared" si="27"/>
        <v>18600</v>
      </c>
      <c r="AB109" s="607">
        <f t="shared" si="20"/>
        <v>18600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188003.67823555568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7050.1379338333381</v>
      </c>
      <c r="G114" s="203">
        <f t="shared" si="30"/>
        <v>13571.985531824765</v>
      </c>
      <c r="H114" s="203">
        <f t="shared" si="30"/>
        <v>12553.005595788052</v>
      </c>
      <c r="I114" s="203">
        <f t="shared" si="30"/>
        <v>11612.987204610274</v>
      </c>
      <c r="J114" s="203">
        <f t="shared" si="30"/>
        <v>10740.650137597297</v>
      </c>
      <c r="K114" s="203">
        <f t="shared" si="30"/>
        <v>9935.9943947491174</v>
      </c>
      <c r="L114" s="203">
        <f t="shared" si="30"/>
        <v>9189.6197921539624</v>
      </c>
      <c r="M114" s="203">
        <f t="shared" si="30"/>
        <v>8501.526329811828</v>
      </c>
      <c r="N114" s="203">
        <f t="shared" si="30"/>
        <v>8388.7241228704952</v>
      </c>
      <c r="O114" s="203">
        <f t="shared" si="30"/>
        <v>8386.8440860881383</v>
      </c>
      <c r="P114" s="203">
        <f t="shared" si="30"/>
        <v>8388.7241228704952</v>
      </c>
      <c r="Q114" s="203">
        <f t="shared" si="30"/>
        <v>8386.8440860881383</v>
      </c>
      <c r="R114" s="203">
        <f t="shared" si="30"/>
        <v>8388.7241228704952</v>
      </c>
      <c r="S114" s="203">
        <f t="shared" si="30"/>
        <v>8386.8440860881383</v>
      </c>
      <c r="T114" s="203">
        <f t="shared" si="30"/>
        <v>8388.7241228704952</v>
      </c>
      <c r="U114" s="203">
        <f t="shared" si="30"/>
        <v>8386.8440860881383</v>
      </c>
      <c r="V114" s="203">
        <f t="shared" si="30"/>
        <v>8388.7241228704952</v>
      </c>
      <c r="W114" s="203">
        <f t="shared" si="30"/>
        <v>8386.8440860881383</v>
      </c>
      <c r="X114" s="203">
        <f t="shared" si="30"/>
        <v>8388.7241228704952</v>
      </c>
      <c r="Y114" s="203">
        <f t="shared" si="30"/>
        <v>8386.8440860881383</v>
      </c>
      <c r="AA114" s="606">
        <f t="shared" si="27"/>
        <v>183809.31617412035</v>
      </c>
      <c r="AB114" s="607">
        <f t="shared" si="20"/>
        <v>183809.31617412035</v>
      </c>
    </row>
    <row r="115" spans="1:28" s="199" customFormat="1">
      <c r="A115" s="199" t="s">
        <v>571</v>
      </c>
      <c r="D115" s="214">
        <f>D109</f>
        <v>27906.527317983382</v>
      </c>
      <c r="F115" s="203">
        <f>$D$115*F113</f>
        <v>1046.4947744243768</v>
      </c>
      <c r="G115" s="203">
        <f t="shared" ref="G115:Y115" si="31">$D$115*G113</f>
        <v>2014.5722070852205</v>
      </c>
      <c r="H115" s="203">
        <f t="shared" si="31"/>
        <v>1863.3188290217504</v>
      </c>
      <c r="I115" s="203">
        <f t="shared" si="31"/>
        <v>1723.7861924318336</v>
      </c>
      <c r="J115" s="203">
        <f t="shared" si="31"/>
        <v>1594.2999056763906</v>
      </c>
      <c r="K115" s="203">
        <f t="shared" si="31"/>
        <v>1474.8599687554217</v>
      </c>
      <c r="L115" s="203">
        <f t="shared" si="31"/>
        <v>1364.0710553030276</v>
      </c>
      <c r="M115" s="203">
        <f t="shared" si="31"/>
        <v>1261.9331653192087</v>
      </c>
      <c r="N115" s="203">
        <f t="shared" si="31"/>
        <v>1245.1892489284185</v>
      </c>
      <c r="O115" s="203">
        <f t="shared" si="31"/>
        <v>1244.9101836552386</v>
      </c>
      <c r="P115" s="203">
        <f t="shared" si="31"/>
        <v>1245.1892489284185</v>
      </c>
      <c r="Q115" s="203">
        <f t="shared" si="31"/>
        <v>1244.9101836552386</v>
      </c>
      <c r="R115" s="203">
        <f t="shared" si="31"/>
        <v>1245.1892489284185</v>
      </c>
      <c r="S115" s="203">
        <f t="shared" si="31"/>
        <v>1244.9101836552386</v>
      </c>
      <c r="T115" s="203">
        <f t="shared" si="31"/>
        <v>1245.1892489284185</v>
      </c>
      <c r="U115" s="203">
        <f t="shared" si="31"/>
        <v>1244.9101836552386</v>
      </c>
      <c r="V115" s="203">
        <f t="shared" si="31"/>
        <v>1245.1892489284185</v>
      </c>
      <c r="W115" s="203">
        <f t="shared" si="31"/>
        <v>1244.9101836552386</v>
      </c>
      <c r="X115" s="203">
        <f t="shared" si="31"/>
        <v>1245.1892489284185</v>
      </c>
      <c r="Y115" s="203">
        <f t="shared" si="31"/>
        <v>1244.9101836552386</v>
      </c>
      <c r="AA115" s="606">
        <f t="shared" si="27"/>
        <v>27283.932693519178</v>
      </c>
      <c r="AB115" s="607">
        <f t="shared" si="20"/>
        <v>27283.932693519178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29178.676753719599</v>
      </c>
      <c r="G120" s="203">
        <f t="shared" ref="G120:Y120" si="33">G39</f>
        <v>24862.619750085505</v>
      </c>
      <c r="H120" s="203">
        <f t="shared" si="33"/>
        <v>20166.24957169265</v>
      </c>
      <c r="I120" s="203">
        <f t="shared" si="33"/>
        <v>21362.503013513255</v>
      </c>
      <c r="J120" s="203">
        <f t="shared" si="33"/>
        <v>21478.581701869844</v>
      </c>
      <c r="K120" s="203">
        <f t="shared" si="33"/>
        <v>24833.067052400103</v>
      </c>
      <c r="L120" s="203">
        <f t="shared" si="33"/>
        <v>25602.977604680797</v>
      </c>
      <c r="M120" s="203">
        <f t="shared" si="33"/>
        <v>29814.790546233708</v>
      </c>
      <c r="N120" s="203">
        <f t="shared" si="33"/>
        <v>31586.214097370248</v>
      </c>
      <c r="O120" s="203">
        <f t="shared" si="33"/>
        <v>33372.675957734551</v>
      </c>
      <c r="P120" s="203">
        <f t="shared" si="33"/>
        <v>41704.975455745924</v>
      </c>
      <c r="Q120" s="203">
        <f t="shared" si="33"/>
        <v>46468.239947878421</v>
      </c>
      <c r="R120" s="203">
        <f t="shared" si="33"/>
        <v>50931.109426157767</v>
      </c>
      <c r="S120" s="203">
        <f t="shared" si="33"/>
        <v>57729.710163287076</v>
      </c>
      <c r="T120" s="203">
        <f t="shared" si="33"/>
        <v>65331.367828610702</v>
      </c>
      <c r="U120" s="203">
        <f t="shared" si="33"/>
        <v>65377.983084196749</v>
      </c>
      <c r="V120" s="203">
        <f t="shared" si="33"/>
        <v>62719.940075615261</v>
      </c>
      <c r="W120" s="203">
        <f t="shared" si="33"/>
        <v>64652.177876903559</v>
      </c>
      <c r="X120" s="203">
        <f t="shared" si="33"/>
        <v>64088.990507456881</v>
      </c>
      <c r="Y120" s="203">
        <f t="shared" si="33"/>
        <v>62213.351998384489</v>
      </c>
      <c r="AA120" s="606">
        <f t="shared" si="27"/>
        <v>843476.20241353719</v>
      </c>
      <c r="AB120" s="607">
        <f t="shared" si="20"/>
        <v>843476.20241353719</v>
      </c>
    </row>
    <row r="121" spans="1:28" s="199" customFormat="1">
      <c r="A121" s="199" t="s">
        <v>74</v>
      </c>
      <c r="F121" s="203">
        <f>-F114</f>
        <v>-7050.1379338333381</v>
      </c>
      <c r="G121" s="203">
        <f t="shared" ref="G121:Y121" si="34">-G114</f>
        <v>-13571.985531824765</v>
      </c>
      <c r="H121" s="203">
        <f t="shared" si="34"/>
        <v>-12553.005595788052</v>
      </c>
      <c r="I121" s="203">
        <f t="shared" si="34"/>
        <v>-11612.987204610274</v>
      </c>
      <c r="J121" s="203">
        <f t="shared" si="34"/>
        <v>-10740.650137597297</v>
      </c>
      <c r="K121" s="203">
        <f t="shared" si="34"/>
        <v>-9935.9943947491174</v>
      </c>
      <c r="L121" s="203">
        <f t="shared" si="34"/>
        <v>-9189.6197921539624</v>
      </c>
      <c r="M121" s="203">
        <f t="shared" si="34"/>
        <v>-8501.526329811828</v>
      </c>
      <c r="N121" s="203">
        <f t="shared" si="34"/>
        <v>-8388.7241228704952</v>
      </c>
      <c r="O121" s="203">
        <f t="shared" si="34"/>
        <v>-8386.8440860881383</v>
      </c>
      <c r="P121" s="203">
        <f t="shared" si="34"/>
        <v>-8388.7241228704952</v>
      </c>
      <c r="Q121" s="203">
        <f t="shared" si="34"/>
        <v>-8386.8440860881383</v>
      </c>
      <c r="R121" s="203">
        <f t="shared" si="34"/>
        <v>-8388.7241228704952</v>
      </c>
      <c r="S121" s="203">
        <f t="shared" si="34"/>
        <v>-8386.8440860881383</v>
      </c>
      <c r="T121" s="203">
        <f t="shared" si="34"/>
        <v>-8388.7241228704952</v>
      </c>
      <c r="U121" s="203">
        <f t="shared" si="34"/>
        <v>-8386.8440860881383</v>
      </c>
      <c r="V121" s="203">
        <f t="shared" si="34"/>
        <v>-8388.7241228704952</v>
      </c>
      <c r="W121" s="203">
        <f t="shared" si="34"/>
        <v>-8386.8440860881383</v>
      </c>
      <c r="X121" s="203">
        <f t="shared" si="34"/>
        <v>-8388.7241228704952</v>
      </c>
      <c r="Y121" s="203">
        <f t="shared" si="34"/>
        <v>-8386.8440860881383</v>
      </c>
      <c r="AA121" s="606">
        <f t="shared" si="27"/>
        <v>-183809.31617412035</v>
      </c>
      <c r="AB121" s="607">
        <f t="shared" si="20"/>
        <v>-183809.31617412035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22128.53881988626</v>
      </c>
      <c r="G123" s="203">
        <f t="shared" ref="G123:Y123" si="36">SUM(G120:G122)</f>
        <v>11290.63421826074</v>
      </c>
      <c r="H123" s="203">
        <f t="shared" si="36"/>
        <v>7613.2439759045974</v>
      </c>
      <c r="I123" s="203">
        <f t="shared" si="36"/>
        <v>9749.515808902981</v>
      </c>
      <c r="J123" s="203">
        <f t="shared" si="36"/>
        <v>10737.931564272547</v>
      </c>
      <c r="K123" s="203">
        <f t="shared" si="36"/>
        <v>14897.072657650986</v>
      </c>
      <c r="L123" s="203">
        <f t="shared" si="36"/>
        <v>16413.357812526832</v>
      </c>
      <c r="M123" s="203">
        <f t="shared" si="36"/>
        <v>21313.264216421878</v>
      </c>
      <c r="N123" s="203">
        <f t="shared" si="36"/>
        <v>23197.489974499753</v>
      </c>
      <c r="O123" s="203">
        <f t="shared" si="36"/>
        <v>24985.831871646413</v>
      </c>
      <c r="P123" s="203">
        <f t="shared" si="36"/>
        <v>33316.251332875428</v>
      </c>
      <c r="Q123" s="203">
        <f t="shared" si="36"/>
        <v>38081.395861790283</v>
      </c>
      <c r="R123" s="203">
        <f t="shared" si="36"/>
        <v>42542.385303287272</v>
      </c>
      <c r="S123" s="203">
        <f t="shared" si="36"/>
        <v>49342.866077198938</v>
      </c>
      <c r="T123" s="203">
        <f t="shared" si="36"/>
        <v>56942.643705740207</v>
      </c>
      <c r="U123" s="203">
        <f t="shared" si="36"/>
        <v>56991.13899810861</v>
      </c>
      <c r="V123" s="203">
        <f t="shared" si="36"/>
        <v>54331.215952744766</v>
      </c>
      <c r="W123" s="203">
        <f t="shared" si="36"/>
        <v>56265.333790815421</v>
      </c>
      <c r="X123" s="203">
        <f t="shared" si="36"/>
        <v>55700.266384586386</v>
      </c>
      <c r="Y123" s="203">
        <f t="shared" si="36"/>
        <v>53826.507912296351</v>
      </c>
      <c r="AA123" s="606">
        <f t="shared" si="27"/>
        <v>659666.88623941655</v>
      </c>
      <c r="AB123" s="607">
        <f t="shared" si="20"/>
        <v>659666.88623941655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-1969.4399549698771</v>
      </c>
      <c r="G125" s="203">
        <f t="shared" ref="G125:Y125" si="37">-G123*$C$125</f>
        <v>-1004.8664454252058</v>
      </c>
      <c r="H125" s="203">
        <f t="shared" si="37"/>
        <v>-677.57871385550914</v>
      </c>
      <c r="I125" s="203">
        <f t="shared" si="37"/>
        <v>-867.70690699236525</v>
      </c>
      <c r="J125" s="203">
        <f t="shared" si="37"/>
        <v>-955.67590922025659</v>
      </c>
      <c r="K125" s="203">
        <f t="shared" si="37"/>
        <v>-1325.8394665309377</v>
      </c>
      <c r="L125" s="203">
        <f t="shared" si="37"/>
        <v>-1460.788845314888</v>
      </c>
      <c r="M125" s="203">
        <f t="shared" si="37"/>
        <v>-1896.8805152615471</v>
      </c>
      <c r="N125" s="203">
        <f t="shared" si="37"/>
        <v>-2064.5766077304779</v>
      </c>
      <c r="O125" s="203">
        <f t="shared" si="37"/>
        <v>-2223.7390365765305</v>
      </c>
      <c r="P125" s="203">
        <f t="shared" si="37"/>
        <v>-2965.1463686259131</v>
      </c>
      <c r="Q125" s="203">
        <f t="shared" si="37"/>
        <v>-3389.2442316993352</v>
      </c>
      <c r="R125" s="203">
        <f t="shared" si="37"/>
        <v>-3786.2722919925673</v>
      </c>
      <c r="S125" s="203">
        <f t="shared" si="37"/>
        <v>-4391.5150808707049</v>
      </c>
      <c r="T125" s="203">
        <f t="shared" si="37"/>
        <v>-5067.8952898108782</v>
      </c>
      <c r="U125" s="203">
        <f t="shared" si="37"/>
        <v>-5072.2113708316665</v>
      </c>
      <c r="V125" s="203">
        <f t="shared" si="37"/>
        <v>-4835.4782197942841</v>
      </c>
      <c r="W125" s="203">
        <f t="shared" si="37"/>
        <v>-5007.6147073825723</v>
      </c>
      <c r="X125" s="203">
        <f t="shared" si="37"/>
        <v>-4957.3237082281885</v>
      </c>
      <c r="Y125" s="203">
        <f t="shared" si="37"/>
        <v>-4790.5592041943746</v>
      </c>
      <c r="AA125" s="606">
        <f t="shared" si="27"/>
        <v>-58710.352875308075</v>
      </c>
      <c r="AB125" s="607">
        <f t="shared" si="20"/>
        <v>-58710.352875308075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-7055.6846027207339</v>
      </c>
      <c r="G126" s="203">
        <f t="shared" ref="G126:Y126" si="38">-(G123+G125)*$C$126</f>
        <v>-3600.0187204924364</v>
      </c>
      <c r="H126" s="203">
        <f t="shared" si="38"/>
        <v>-2427.4828417171807</v>
      </c>
      <c r="I126" s="203">
        <f t="shared" si="38"/>
        <v>-3108.6331156687152</v>
      </c>
      <c r="J126" s="203">
        <f t="shared" si="38"/>
        <v>-3423.789479268301</v>
      </c>
      <c r="K126" s="203">
        <f t="shared" si="38"/>
        <v>-4749.9316168920168</v>
      </c>
      <c r="L126" s="203">
        <f t="shared" si="38"/>
        <v>-5233.3991385241798</v>
      </c>
      <c r="M126" s="203">
        <f t="shared" si="38"/>
        <v>-6795.734295406116</v>
      </c>
      <c r="N126" s="203">
        <f t="shared" si="38"/>
        <v>-7396.5196783692454</v>
      </c>
      <c r="O126" s="203">
        <f t="shared" si="38"/>
        <v>-7966.7324922744583</v>
      </c>
      <c r="P126" s="203">
        <f t="shared" si="38"/>
        <v>-10622.88673748733</v>
      </c>
      <c r="Q126" s="203">
        <f t="shared" si="38"/>
        <v>-12142.253070531831</v>
      </c>
      <c r="R126" s="203">
        <f t="shared" si="38"/>
        <v>-13564.639553953146</v>
      </c>
      <c r="S126" s="203">
        <f t="shared" si="38"/>
        <v>-15732.97284871488</v>
      </c>
      <c r="T126" s="203">
        <f t="shared" si="38"/>
        <v>-18156.161945575266</v>
      </c>
      <c r="U126" s="203">
        <f t="shared" si="38"/>
        <v>-18171.624669546927</v>
      </c>
      <c r="V126" s="203">
        <f t="shared" si="38"/>
        <v>-17323.508206532668</v>
      </c>
      <c r="W126" s="203">
        <f t="shared" si="38"/>
        <v>-17940.201679201495</v>
      </c>
      <c r="X126" s="203">
        <f t="shared" si="38"/>
        <v>-17760.029936725368</v>
      </c>
      <c r="Y126" s="203">
        <f t="shared" si="38"/>
        <v>-17162.582047835691</v>
      </c>
      <c r="AA126" s="606">
        <f t="shared" si="27"/>
        <v>-210334.78667743798</v>
      </c>
      <c r="AB126" s="607">
        <f t="shared" si="20"/>
        <v>-210334.78667743798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13567.149389715061</v>
      </c>
      <c r="G143" s="220">
        <f t="shared" ref="G143:Y143" si="46">G76</f>
        <v>11011.396235013133</v>
      </c>
      <c r="H143" s="220">
        <f t="shared" si="46"/>
        <v>8230.4406338778026</v>
      </c>
      <c r="I143" s="220">
        <f t="shared" si="46"/>
        <v>8938.8021094518735</v>
      </c>
      <c r="J143" s="220">
        <f t="shared" si="46"/>
        <v>9007.5381047622286</v>
      </c>
      <c r="K143" s="220">
        <f t="shared" si="46"/>
        <v>10993.896605078722</v>
      </c>
      <c r="L143" s="220">
        <f t="shared" si="46"/>
        <v>11449.799138611734</v>
      </c>
      <c r="M143" s="220">
        <f t="shared" si="46"/>
        <v>13943.824171952292</v>
      </c>
      <c r="N143" s="220">
        <f t="shared" si="46"/>
        <v>14992.772627757793</v>
      </c>
      <c r="O143" s="220">
        <f t="shared" si="46"/>
        <v>16050.626018372515</v>
      </c>
      <c r="P143" s="220">
        <f t="shared" si="46"/>
        <v>20984.597166119951</v>
      </c>
      <c r="Q143" s="220">
        <f t="shared" si="46"/>
        <v>23805.16423513621</v>
      </c>
      <c r="R143" s="220">
        <f t="shared" si="46"/>
        <v>26447.852396699323</v>
      </c>
      <c r="S143" s="220">
        <f t="shared" si="46"/>
        <v>30473.643823190443</v>
      </c>
      <c r="T143" s="220">
        <f t="shared" si="46"/>
        <v>34974.965409711833</v>
      </c>
      <c r="U143" s="220">
        <f t="shared" si="46"/>
        <v>35002.568633307106</v>
      </c>
      <c r="V143" s="220">
        <f t="shared" si="46"/>
        <v>33428.608465775578</v>
      </c>
      <c r="W143" s="220">
        <f t="shared" si="46"/>
        <v>34572.783079808447</v>
      </c>
      <c r="X143" s="220">
        <f t="shared" si="46"/>
        <v>34239.291678990601</v>
      </c>
      <c r="Y143" s="220">
        <f t="shared" si="46"/>
        <v>33128.632335843373</v>
      </c>
      <c r="AA143" s="606">
        <f t="shared" si="27"/>
        <v>425244.35225917597</v>
      </c>
      <c r="AB143" s="607">
        <f t="shared" si="40"/>
        <v>425244.35225917597</v>
      </c>
    </row>
    <row r="144" spans="1:28" s="199" customFormat="1">
      <c r="A144" s="124" t="s">
        <v>91</v>
      </c>
      <c r="F144" s="213">
        <f>F141+F143</f>
        <v>13567.149389715061</v>
      </c>
      <c r="G144" s="213">
        <f t="shared" ref="G144:Y144" si="47">G141+G143</f>
        <v>11011.396235013133</v>
      </c>
      <c r="H144" s="213">
        <f t="shared" si="47"/>
        <v>8230.4406338778026</v>
      </c>
      <c r="I144" s="213">
        <f t="shared" si="47"/>
        <v>8938.8021094518735</v>
      </c>
      <c r="J144" s="213">
        <f t="shared" si="47"/>
        <v>9007.5381047622286</v>
      </c>
      <c r="K144" s="213">
        <f t="shared" si="47"/>
        <v>10993.896605078722</v>
      </c>
      <c r="L144" s="213">
        <f t="shared" si="47"/>
        <v>11449.799138611734</v>
      </c>
      <c r="M144" s="213">
        <f t="shared" si="47"/>
        <v>13943.824171952292</v>
      </c>
      <c r="N144" s="213">
        <f t="shared" si="47"/>
        <v>14992.772627757793</v>
      </c>
      <c r="O144" s="213">
        <f t="shared" si="47"/>
        <v>16050.626018372515</v>
      </c>
      <c r="P144" s="213">
        <f t="shared" si="47"/>
        <v>20984.597166119951</v>
      </c>
      <c r="Q144" s="213">
        <f t="shared" si="47"/>
        <v>23805.16423513621</v>
      </c>
      <c r="R144" s="213">
        <f t="shared" si="47"/>
        <v>26447.852396699323</v>
      </c>
      <c r="S144" s="213">
        <f t="shared" si="47"/>
        <v>30473.643823190443</v>
      </c>
      <c r="T144" s="213">
        <f t="shared" si="47"/>
        <v>34974.965409711833</v>
      </c>
      <c r="U144" s="213">
        <f t="shared" si="47"/>
        <v>35002.568633307106</v>
      </c>
      <c r="V144" s="213">
        <f t="shared" si="47"/>
        <v>33428.608465775578</v>
      </c>
      <c r="W144" s="213">
        <f t="shared" si="47"/>
        <v>34572.783079808447</v>
      </c>
      <c r="X144" s="213">
        <f t="shared" si="47"/>
        <v>34239.291678990601</v>
      </c>
      <c r="Y144" s="213">
        <f t="shared" si="47"/>
        <v>33128.632335843373</v>
      </c>
      <c r="AA144" s="606">
        <f t="shared" si="27"/>
        <v>425244.35225917597</v>
      </c>
      <c r="AB144" s="607">
        <f t="shared" si="40"/>
        <v>425244.35225917597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0</v>
      </c>
    </row>
    <row r="155" spans="1:28" s="199" customFormat="1" ht="13.5" thickBot="1">
      <c r="A155" s="199" t="s">
        <v>59</v>
      </c>
      <c r="C155" s="146">
        <v>0.1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208892.97581728408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0</v>
      </c>
    </row>
    <row r="162" spans="1:25" s="199" customFormat="1" ht="13.5" thickBot="1">
      <c r="A162" s="140" t="s">
        <v>87</v>
      </c>
      <c r="B162" s="109"/>
      <c r="C162" s="109"/>
      <c r="D162" s="158">
        <f>SUM(D159:D161)</f>
        <v>208892.97581728408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5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5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5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5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8"/>
      <c r="H186" s="39"/>
      <c r="I186" s="39"/>
      <c r="J186" s="39"/>
      <c r="K186" s="39"/>
      <c r="L186" s="39"/>
      <c r="M186" s="39"/>
      <c r="N186" s="39"/>
      <c r="O186" s="39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5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5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5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5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54" customFormat="1" outlineLevel="1">
      <c r="A340" s="53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58"/>
      <c r="C345" s="58"/>
      <c r="D345" s="5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3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17"/>
      <c r="C353" s="17"/>
      <c r="D353" s="17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1"/>
      <c r="H356" s="61"/>
      <c r="I356" s="61"/>
      <c r="J356" s="61"/>
      <c r="K356" s="61"/>
      <c r="L356" s="61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59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62"/>
      <c r="F362" s="62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59"/>
      <c r="B368" s="8"/>
      <c r="C368" s="8"/>
      <c r="D368" s="8"/>
      <c r="E368" s="62"/>
      <c r="F368" s="62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62"/>
      <c r="F377" s="62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64"/>
      <c r="H388" s="64"/>
      <c r="I388" s="64"/>
      <c r="J388" s="64"/>
      <c r="K388" s="64"/>
      <c r="L388" s="64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66"/>
      <c r="C501" s="66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21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8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21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</row>
    <row r="518" spans="1:25" outlineLevel="1">
      <c r="A518" s="8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67"/>
      <c r="F523" s="67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59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67"/>
      <c r="E539" s="67"/>
      <c r="F539" s="67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69"/>
      <c r="C542" s="69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79"/>
      <c r="C554" s="79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2"/>
      <c r="C568" s="82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5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85"/>
      <c r="C584" s="85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5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5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  <row r="85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29" width="10.28515625" style="8" bestFit="1" customWidth="1"/>
    <col min="30" max="16384" width="9.140625" style="8"/>
  </cols>
  <sheetData>
    <row r="2" spans="1:28" ht="18.75">
      <c r="A2" s="270" t="s">
        <v>106</v>
      </c>
      <c r="B2" s="592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0</v>
      </c>
      <c r="E10" s="104">
        <f>+[4]Financials!F12</f>
        <v>14435</v>
      </c>
      <c r="F10" s="104">
        <f>+[4]Financials!G12</f>
        <v>33420</v>
      </c>
      <c r="G10" s="104">
        <f>+[4]Financials!H12</f>
        <v>17200</v>
      </c>
      <c r="H10" s="104">
        <f>+[4]Financials!I12</f>
        <v>13650</v>
      </c>
      <c r="I10" s="104">
        <f>+[4]Financials!J12</f>
        <v>13650</v>
      </c>
      <c r="J10" s="104">
        <f>+[4]Financials!K12</f>
        <v>9100</v>
      </c>
      <c r="K10" s="104">
        <f>+[4]Financials!L12</f>
        <v>0</v>
      </c>
      <c r="L10" s="104">
        <f>+[4]Financials!M12</f>
        <v>0</v>
      </c>
      <c r="M10" s="104">
        <f>+[4]Financials!N12</f>
        <v>0</v>
      </c>
      <c r="N10" s="104">
        <f>+[4]Financials!O12</f>
        <v>0</v>
      </c>
      <c r="O10" s="104">
        <f>+[4]Financials!P12</f>
        <v>0</v>
      </c>
      <c r="P10" s="104">
        <f>+[4]Financials!Q12</f>
        <v>0</v>
      </c>
      <c r="Q10" s="104">
        <f>+[4]Financials!R12</f>
        <v>0</v>
      </c>
      <c r="R10" s="104">
        <f>+[4]Financials!S12</f>
        <v>0</v>
      </c>
      <c r="S10" s="104">
        <f>+[4]Financials!T12</f>
        <v>0</v>
      </c>
      <c r="T10" s="104">
        <f>+[4]Financials!U12</f>
        <v>0</v>
      </c>
      <c r="U10" s="104">
        <f>+[4]Financials!V12</f>
        <v>0</v>
      </c>
      <c r="V10" s="104">
        <f>+[4]Financials!W12</f>
        <v>0</v>
      </c>
      <c r="W10" s="104">
        <f>+[4]Financials!X12</f>
        <v>0</v>
      </c>
      <c r="X10" s="104">
        <f>+[4]Financials!Y12</f>
        <v>0</v>
      </c>
      <c r="Y10" s="104">
        <f>+[4]Financials!Z12</f>
        <v>0</v>
      </c>
      <c r="Z10" s="22"/>
      <c r="AA10" s="606">
        <f t="shared" ref="AA10:AA38" si="1">SUM(F10:Y10)</f>
        <v>87020</v>
      </c>
      <c r="AB10" s="607">
        <f>AA10*$C$60</f>
        <v>86149.8</v>
      </c>
    </row>
    <row r="11" spans="1:28">
      <c r="A11" s="4" t="s">
        <v>9</v>
      </c>
      <c r="B11" s="12"/>
      <c r="C11" s="12"/>
      <c r="D11" s="193">
        <v>0</v>
      </c>
      <c r="E11" s="196">
        <f>+[4]Financials!F15-E10-E16</f>
        <v>47101.346799999999</v>
      </c>
      <c r="F11" s="196">
        <f>+[4]Financials!G15-F10-F16</f>
        <v>95714.445447999999</v>
      </c>
      <c r="G11" s="196">
        <f>+[4]Financials!H15-G10-G16</f>
        <v>50814.615950080013</v>
      </c>
      <c r="H11" s="196">
        <f>+[4]Financials!I15-H10-H16</f>
        <v>37772.0854176672</v>
      </c>
      <c r="I11" s="196">
        <f>+[4]Financials!J15-I10-I16</f>
        <v>39304.958293004136</v>
      </c>
      <c r="J11" s="196">
        <f>+[4]Financials!K15-J10-J16</f>
        <v>26567.197297044855</v>
      </c>
      <c r="K11" s="196">
        <f>+[4]Financials!L15-K10-K16</f>
        <v>-2.3627188963873778</v>
      </c>
      <c r="L11" s="196">
        <f>+[4]Financials!M15-L10-L16</f>
        <v>-1.7540773592190817</v>
      </c>
      <c r="M11" s="196">
        <f>+[4]Financials!N15-M10-M16</f>
        <v>-1.4785639707697555</v>
      </c>
      <c r="N11" s="196">
        <f>+[4]Financials!O15-N10-N16</f>
        <v>-1.5296483669080772</v>
      </c>
      <c r="O11" s="196">
        <f>+[4]Financials!P15-O10-O16</f>
        <v>-1.186458068259526</v>
      </c>
      <c r="P11" s="196">
        <f>+[4]Financials!Q15-P10-P16</f>
        <v>0.88435353769455105</v>
      </c>
      <c r="Q11" s="196">
        <f>+[4]Financials!R15-Q10-Q16</f>
        <v>1.3236211251933128</v>
      </c>
      <c r="R11" s="196">
        <f>+[4]Financials!S15-R10-R16</f>
        <v>0.11581225745612755</v>
      </c>
      <c r="S11" s="196">
        <f>+[4]Financials!T15-S10-S16</f>
        <v>-1.5046248193830252</v>
      </c>
      <c r="T11" s="196">
        <f>+[4]Financials!U15-T10-T16</f>
        <v>2.0852168609853834</v>
      </c>
      <c r="U11" s="196">
        <f>+[4]Financials!V15-U10-U16</f>
        <v>1.7853819023584947</v>
      </c>
      <c r="V11" s="196">
        <f>+[4]Financials!W15-V10-V16</f>
        <v>0.56461008387850598</v>
      </c>
      <c r="W11" s="196">
        <f>+[4]Financials!X15-W10-W16</f>
        <v>-2.1951719642383978</v>
      </c>
      <c r="X11" s="196">
        <f>+[4]Financials!Y15-X10-X16</f>
        <v>1.6433066297904588</v>
      </c>
      <c r="Y11" s="196">
        <f>+[4]Financials!Z15-Y10-Y16</f>
        <v>-1.7858504302566871</v>
      </c>
      <c r="Z11" s="22"/>
      <c r="AA11" s="606">
        <f t="shared" si="1"/>
        <v>250167.90759431815</v>
      </c>
      <c r="AB11" s="607">
        <f t="shared" ref="AB11:AB74" si="2">AA11*$C$60</f>
        <v>247666.22851837496</v>
      </c>
    </row>
    <row r="12" spans="1:28">
      <c r="A12" s="4" t="s">
        <v>10</v>
      </c>
      <c r="B12" s="12"/>
      <c r="C12" s="12"/>
      <c r="D12" s="193">
        <v>0</v>
      </c>
      <c r="E12" s="193">
        <v>0</v>
      </c>
      <c r="F12" s="193">
        <v>0</v>
      </c>
      <c r="G12" s="193">
        <v>0</v>
      </c>
      <c r="H12" s="193">
        <v>0</v>
      </c>
      <c r="I12" s="193">
        <v>0</v>
      </c>
      <c r="J12" s="193">
        <v>0</v>
      </c>
      <c r="K12" s="193">
        <v>0</v>
      </c>
      <c r="L12" s="193">
        <v>0</v>
      </c>
      <c r="M12" s="193">
        <v>0</v>
      </c>
      <c r="N12" s="193">
        <v>0</v>
      </c>
      <c r="O12" s="193">
        <v>0</v>
      </c>
      <c r="P12" s="193">
        <v>0</v>
      </c>
      <c r="Q12" s="193">
        <v>0</v>
      </c>
      <c r="R12" s="193">
        <v>0</v>
      </c>
      <c r="S12" s="193">
        <v>0</v>
      </c>
      <c r="T12" s="193">
        <v>0</v>
      </c>
      <c r="U12" s="193">
        <v>0</v>
      </c>
      <c r="V12" s="193">
        <v>0</v>
      </c>
      <c r="W12" s="193">
        <v>0</v>
      </c>
      <c r="X12" s="193">
        <v>0</v>
      </c>
      <c r="Y12" s="193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0</v>
      </c>
      <c r="E15" s="193">
        <v>0</v>
      </c>
      <c r="F15" s="193">
        <v>0</v>
      </c>
      <c r="G15" s="193">
        <v>0</v>
      </c>
      <c r="H15" s="193">
        <v>0</v>
      </c>
      <c r="I15" s="193">
        <v>0</v>
      </c>
      <c r="J15" s="193">
        <v>0</v>
      </c>
      <c r="K15" s="193">
        <v>0</v>
      </c>
      <c r="L15" s="193">
        <v>0</v>
      </c>
      <c r="M15" s="193">
        <v>0</v>
      </c>
      <c r="N15" s="193">
        <v>0</v>
      </c>
      <c r="O15" s="193">
        <v>0</v>
      </c>
      <c r="P15" s="193">
        <v>0</v>
      </c>
      <c r="Q15" s="193">
        <v>0</v>
      </c>
      <c r="R15" s="193">
        <v>0</v>
      </c>
      <c r="S15" s="193">
        <v>0</v>
      </c>
      <c r="T15" s="193">
        <v>0</v>
      </c>
      <c r="U15" s="193">
        <v>0</v>
      </c>
      <c r="V15" s="193">
        <v>0</v>
      </c>
      <c r="W15" s="193">
        <v>0</v>
      </c>
      <c r="X15" s="193">
        <v>0</v>
      </c>
      <c r="Y15" s="193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0</v>
      </c>
      <c r="E16" s="104">
        <f>+'[4]Energy Sales'!D74</f>
        <v>32078.653200000001</v>
      </c>
      <c r="F16" s="104">
        <f>+'[4]Energy Sales'!E74</f>
        <v>86455.554552000001</v>
      </c>
      <c r="G16" s="104">
        <f>+'[4]Energy Sales'!F74</f>
        <v>149280.38404991999</v>
      </c>
      <c r="H16" s="104">
        <f>+'[4]Energy Sales'!G74</f>
        <v>165312.9145823328</v>
      </c>
      <c r="I16" s="104">
        <f>+'[4]Energy Sales'!H74</f>
        <v>173215.04170699586</v>
      </c>
      <c r="J16" s="104">
        <f>+'[4]Energy Sales'!I74</f>
        <v>206472.80270295514</v>
      </c>
      <c r="K16" s="104">
        <f>+'[4]Energy Sales'!J74</f>
        <v>259282.36271889639</v>
      </c>
      <c r="L16" s="104">
        <f>+'[4]Energy Sales'!K74</f>
        <v>262971.75407735922</v>
      </c>
      <c r="M16" s="104">
        <f>+'[4]Energy Sales'!L74</f>
        <v>271856.47856397077</v>
      </c>
      <c r="N16" s="104">
        <f>+'[4]Energy Sales'!M74</f>
        <v>267831.52964836691</v>
      </c>
      <c r="O16" s="104">
        <f>+'[4]Energy Sales'!N74</f>
        <v>279221.18645806826</v>
      </c>
      <c r="P16" s="104">
        <f>+'[4]Energy Sales'!O74</f>
        <v>276974.11564646231</v>
      </c>
      <c r="Q16" s="104">
        <f>+'[4]Energy Sales'!P74</f>
        <v>280188.67637887481</v>
      </c>
      <c r="R16" s="104">
        <f>+'[4]Energy Sales'!Q74</f>
        <v>290634.88418774254</v>
      </c>
      <c r="S16" s="104">
        <f>+'[4]Energy Sales'!R74</f>
        <v>322611.50462481938</v>
      </c>
      <c r="T16" s="104">
        <f>+'[4]Energy Sales'!S74</f>
        <v>301107.91478313901</v>
      </c>
      <c r="U16" s="104">
        <f>+'[4]Energy Sales'!T74</f>
        <v>309018.21461809764</v>
      </c>
      <c r="V16" s="104">
        <f>+'[4]Energy Sales'!U74</f>
        <v>322354.43538991612</v>
      </c>
      <c r="W16" s="104">
        <f>+'[4]Energy Sales'!V74</f>
        <v>315777.19517196424</v>
      </c>
      <c r="X16" s="104">
        <f>+'[4]Energy Sales'!W74</f>
        <v>333278.35669337021</v>
      </c>
      <c r="Y16" s="104">
        <f>+'[4]Energy Sales'!X74</f>
        <v>323211.78585043026</v>
      </c>
      <c r="Z16" s="22"/>
      <c r="AA16" s="606">
        <f t="shared" si="1"/>
        <v>5197057.0924056815</v>
      </c>
      <c r="AB16" s="607">
        <f t="shared" si="2"/>
        <v>5145086.5214816248</v>
      </c>
    </row>
    <row r="17" spans="1:28">
      <c r="A17" s="4" t="s">
        <v>13</v>
      </c>
      <c r="B17" s="12"/>
      <c r="C17" s="12"/>
      <c r="D17" s="193">
        <v>0</v>
      </c>
      <c r="E17" s="193">
        <v>0</v>
      </c>
      <c r="F17" s="193">
        <v>0</v>
      </c>
      <c r="G17" s="193">
        <v>0</v>
      </c>
      <c r="H17" s="193">
        <v>0</v>
      </c>
      <c r="I17" s="193">
        <v>0</v>
      </c>
      <c r="J17" s="193">
        <v>0</v>
      </c>
      <c r="K17" s="193">
        <v>0</v>
      </c>
      <c r="L17" s="193">
        <v>0</v>
      </c>
      <c r="M17" s="193">
        <v>0</v>
      </c>
      <c r="N17" s="193">
        <v>0</v>
      </c>
      <c r="O17" s="193">
        <v>0</v>
      </c>
      <c r="P17" s="193">
        <v>0</v>
      </c>
      <c r="Q17" s="193">
        <v>0</v>
      </c>
      <c r="R17" s="193">
        <v>0</v>
      </c>
      <c r="S17" s="193">
        <v>0</v>
      </c>
      <c r="T17" s="193">
        <v>0</v>
      </c>
      <c r="U17" s="193">
        <v>0</v>
      </c>
      <c r="V17" s="193">
        <v>0</v>
      </c>
      <c r="W17" s="193">
        <v>0</v>
      </c>
      <c r="X17" s="193">
        <v>0</v>
      </c>
      <c r="Y17" s="193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0</v>
      </c>
      <c r="E19" s="107">
        <f>+[4]Financials!F54</f>
        <v>0</v>
      </c>
      <c r="F19" s="107">
        <f>+[4]Financials!G54</f>
        <v>545</v>
      </c>
      <c r="G19" s="107">
        <f>+[4]Financials!H54</f>
        <v>160</v>
      </c>
      <c r="H19" s="107">
        <f>+[4]Financials!I54</f>
        <v>165</v>
      </c>
      <c r="I19" s="107">
        <f>+[4]Financials!J54</f>
        <v>170</v>
      </c>
      <c r="J19" s="107">
        <f>+[4]Financials!K54</f>
        <v>175</v>
      </c>
      <c r="K19" s="107">
        <f>+[4]Financials!L54</f>
        <v>185</v>
      </c>
      <c r="L19" s="107">
        <f>+[4]Financials!M54</f>
        <v>195</v>
      </c>
      <c r="M19" s="107">
        <f>+[4]Financials!N54</f>
        <v>200</v>
      </c>
      <c r="N19" s="107">
        <f>+[4]Financials!O54</f>
        <v>205</v>
      </c>
      <c r="O19" s="107">
        <f>+[4]Financials!P54</f>
        <v>210</v>
      </c>
      <c r="P19" s="107">
        <f>+[4]Financials!Q54</f>
        <v>210</v>
      </c>
      <c r="Q19" s="107">
        <f>+[4]Financials!R54</f>
        <v>215</v>
      </c>
      <c r="R19" s="107">
        <f>+[4]Financials!S54</f>
        <v>220</v>
      </c>
      <c r="S19" s="107">
        <f>+[4]Financials!T54</f>
        <v>225</v>
      </c>
      <c r="T19" s="107">
        <f>+[4]Financials!U54</f>
        <v>225</v>
      </c>
      <c r="U19" s="107">
        <f>+[4]Financials!V54</f>
        <v>230</v>
      </c>
      <c r="V19" s="107">
        <f>+[4]Financials!W54</f>
        <v>235</v>
      </c>
      <c r="W19" s="107">
        <f>+[4]Financials!X54</f>
        <v>240</v>
      </c>
      <c r="X19" s="107">
        <f>+[4]Financials!Y54</f>
        <v>250</v>
      </c>
      <c r="Y19" s="107">
        <f>+[4]Financials!Z54</f>
        <v>250</v>
      </c>
      <c r="Z19" s="22"/>
      <c r="AA19" s="606">
        <f t="shared" si="1"/>
        <v>4510</v>
      </c>
      <c r="AB19" s="607">
        <f t="shared" si="2"/>
        <v>4464.8999999999996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93615</v>
      </c>
      <c r="F20" s="90">
        <f t="shared" si="3"/>
        <v>216135</v>
      </c>
      <c r="G20" s="90">
        <f t="shared" si="3"/>
        <v>217455</v>
      </c>
      <c r="H20" s="90">
        <f t="shared" si="3"/>
        <v>216900</v>
      </c>
      <c r="I20" s="90">
        <f t="shared" si="3"/>
        <v>226340</v>
      </c>
      <c r="J20" s="90">
        <f t="shared" si="3"/>
        <v>242315</v>
      </c>
      <c r="K20" s="90">
        <f t="shared" si="3"/>
        <v>259465</v>
      </c>
      <c r="L20" s="90">
        <f t="shared" si="3"/>
        <v>263165</v>
      </c>
      <c r="M20" s="90">
        <f t="shared" si="3"/>
        <v>272055</v>
      </c>
      <c r="N20" s="90">
        <f t="shared" si="3"/>
        <v>268035</v>
      </c>
      <c r="O20" s="90">
        <f t="shared" si="3"/>
        <v>279430</v>
      </c>
      <c r="P20" s="90">
        <f t="shared" si="3"/>
        <v>277185</v>
      </c>
      <c r="Q20" s="90">
        <f t="shared" si="3"/>
        <v>280405</v>
      </c>
      <c r="R20" s="90">
        <f t="shared" si="3"/>
        <v>290855</v>
      </c>
      <c r="S20" s="90">
        <f t="shared" si="3"/>
        <v>322835</v>
      </c>
      <c r="T20" s="90">
        <f t="shared" si="3"/>
        <v>301335</v>
      </c>
      <c r="U20" s="90">
        <f t="shared" si="3"/>
        <v>309250</v>
      </c>
      <c r="V20" s="90">
        <f t="shared" si="3"/>
        <v>322590</v>
      </c>
      <c r="W20" s="90">
        <f t="shared" si="3"/>
        <v>316015</v>
      </c>
      <c r="X20" s="90">
        <f t="shared" si="3"/>
        <v>333530</v>
      </c>
      <c r="Y20" s="90">
        <f t="shared" si="3"/>
        <v>323460</v>
      </c>
      <c r="Z20" s="22"/>
      <c r="AA20" s="606">
        <f t="shared" si="1"/>
        <v>5538755</v>
      </c>
      <c r="AB20" s="607">
        <f t="shared" si="2"/>
        <v>5483367.4500000002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104">
        <f>+[4]Financials!F20</f>
        <v>47890</v>
      </c>
      <c r="F24" s="104">
        <f>+[4]Financials!G20</f>
        <v>119450</v>
      </c>
      <c r="G24" s="104">
        <f>+[4]Financials!H20</f>
        <v>123540</v>
      </c>
      <c r="H24" s="104">
        <f>+[4]Financials!I20</f>
        <v>128305</v>
      </c>
      <c r="I24" s="104">
        <f>+[4]Financials!J20</f>
        <v>132555</v>
      </c>
      <c r="J24" s="104">
        <f>+[4]Financials!K20</f>
        <v>137900</v>
      </c>
      <c r="K24" s="104">
        <f>+[4]Financials!L20</f>
        <v>144195</v>
      </c>
      <c r="L24" s="104">
        <f>+[4]Financials!M20</f>
        <v>147040</v>
      </c>
      <c r="M24" s="104">
        <f>+[4]Financials!N20</f>
        <v>151620</v>
      </c>
      <c r="N24" s="104">
        <f>+[4]Financials!O20</f>
        <v>156160</v>
      </c>
      <c r="O24" s="104">
        <f>+[4]Financials!P20</f>
        <v>161930</v>
      </c>
      <c r="P24" s="104">
        <f>+[4]Financials!Q20</f>
        <v>159215</v>
      </c>
      <c r="Q24" s="104">
        <f>+[4]Financials!R20</f>
        <v>164225</v>
      </c>
      <c r="R24" s="104">
        <f>+[4]Financials!S20</f>
        <v>170520</v>
      </c>
      <c r="S24" s="104">
        <f>+[4]Financials!T20</f>
        <v>176450</v>
      </c>
      <c r="T24" s="104">
        <f>+[4]Financials!U20</f>
        <v>177545</v>
      </c>
      <c r="U24" s="104">
        <f>+[4]Financials!V20</f>
        <v>182575</v>
      </c>
      <c r="V24" s="104">
        <f>+[4]Financials!W20</f>
        <v>184845</v>
      </c>
      <c r="W24" s="104">
        <f>+[4]Financials!X20</f>
        <v>190670</v>
      </c>
      <c r="X24" s="104">
        <f>+[4]Financials!Y20</f>
        <v>194670</v>
      </c>
      <c r="Y24" s="104">
        <f>+[4]Financials!Z20</f>
        <v>193395</v>
      </c>
      <c r="AA24" s="606">
        <f t="shared" si="1"/>
        <v>3196805</v>
      </c>
      <c r="AB24" s="607">
        <f t="shared" si="2"/>
        <v>3164836.95</v>
      </c>
    </row>
    <row r="25" spans="1:28">
      <c r="A25" s="4" t="s">
        <v>1</v>
      </c>
      <c r="D25" s="193">
        <v>0</v>
      </c>
      <c r="E25" s="104">
        <f>+[4]Financials!F26+[4]Financials!F23+[4]Financials!F27</f>
        <v>2698.9519666202741</v>
      </c>
      <c r="F25" s="104">
        <f>+[4]Financials!G26+[4]Financials!G23+[4]Financials!G27</f>
        <v>4573.9085406160002</v>
      </c>
      <c r="G25" s="104">
        <f>+[4]Financials!H26+[4]Financials!H23+[4]Financials!H27</f>
        <v>4710.0438122283213</v>
      </c>
      <c r="H25" s="104">
        <f>+[4]Financials!I26+[4]Financials!I23+[4]Financials!I27</f>
        <v>4883.8104974008875</v>
      </c>
      <c r="I25" s="104">
        <f>+[4]Financials!J26+[4]Financials!J23+[4]Financials!J27</f>
        <v>4996.0029549962646</v>
      </c>
      <c r="J25" s="104">
        <f>+[4]Financials!K26+[4]Financials!K23+[4]Financials!K27</f>
        <v>5232.3076042041776</v>
      </c>
      <c r="K25" s="104">
        <f>+[4]Financials!L26+[4]Financials!L23+[4]Financials!L27</f>
        <v>5301.3217943487543</v>
      </c>
      <c r="L25" s="104">
        <f>+[4]Financials!M26+[4]Financials!M23+[4]Financials!M27</f>
        <v>5516.6546796934445</v>
      </c>
      <c r="M25" s="104">
        <f>+[4]Financials!N26+[4]Financials!N23+[4]Financials!N27</f>
        <v>5627.4195089206887</v>
      </c>
      <c r="N25" s="104">
        <f>+[4]Financials!O26+[4]Financials!O23+[4]Financials!O27</f>
        <v>6119.5241687761818</v>
      </c>
      <c r="O25" s="104">
        <f>+[4]Financials!P26+[4]Financials!P23+[4]Financials!P27</f>
        <v>6070.9427297824677</v>
      </c>
      <c r="P25" s="104">
        <f>+[4]Financials!Q26+[4]Financials!Q23+[4]Financials!Q27</f>
        <v>6197.7102650848328</v>
      </c>
      <c r="Q25" s="104">
        <f>+[4]Financials!R26+[4]Financials!R23+[4]Financials!R27</f>
        <v>6348.1835257348666</v>
      </c>
      <c r="R25" s="104">
        <f>+[4]Financials!S26+[4]Financials!S23+[4]Financials!S27</f>
        <v>6543.8947512193954</v>
      </c>
      <c r="S25" s="104">
        <f>+[4]Financials!T26+[4]Financials!T23+[4]Financials!T27</f>
        <v>6753.1340319378605</v>
      </c>
      <c r="T25" s="104">
        <f>+[4]Financials!U26+[4]Financials!U23+[4]Financials!U27</f>
        <v>7117.9808655623474</v>
      </c>
      <c r="U25" s="104">
        <f>+[4]Financials!V26+[4]Financials!V23+[4]Financials!V27</f>
        <v>7171.9955678283304</v>
      </c>
      <c r="V25" s="104">
        <f>+[4]Financials!W26+[4]Financials!W23+[4]Financials!W27</f>
        <v>7395.8603948454247</v>
      </c>
      <c r="W25" s="104">
        <f>+[4]Financials!X26+[4]Financials!X23+[4]Financials!X27</f>
        <v>7627.4195150292826</v>
      </c>
      <c r="X25" s="104">
        <f>+[4]Financials!Y26+[4]Financials!Y23+[4]Financials!Y27</f>
        <v>7912.4254844252328</v>
      </c>
      <c r="Y25" s="104">
        <f>+[4]Financials!Z26+[4]Financials!Z23+[4]Financials!Z27</f>
        <v>8122.4915946739056</v>
      </c>
      <c r="AA25" s="606">
        <f t="shared" si="1"/>
        <v>124223.03228730867</v>
      </c>
      <c r="AB25" s="607">
        <f t="shared" si="2"/>
        <v>122980.80196443558</v>
      </c>
    </row>
    <row r="26" spans="1:28">
      <c r="A26" s="4" t="s">
        <v>18</v>
      </c>
      <c r="D26" s="193">
        <v>0</v>
      </c>
      <c r="E26" s="104">
        <f>+[4]Financials!F25</f>
        <v>1283.6126975178083</v>
      </c>
      <c r="F26" s="104">
        <f>+[4]Financials!G25</f>
        <v>2611.4153403599998</v>
      </c>
      <c r="G26" s="104">
        <f>+[4]Financials!H25</f>
        <v>2663.6436471671996</v>
      </c>
      <c r="H26" s="104">
        <f>+[4]Financials!I25</f>
        <v>2716.9165201105438</v>
      </c>
      <c r="I26" s="104">
        <f>+[4]Financials!J25</f>
        <v>2771.2548505127552</v>
      </c>
      <c r="J26" s="104">
        <f>+[4]Financials!K25</f>
        <v>2826.67994752301</v>
      </c>
      <c r="K26" s="104">
        <f>+[4]Financials!L25</f>
        <v>2883.2135464734702</v>
      </c>
      <c r="L26" s="104">
        <f>+[4]Financials!M25</f>
        <v>2940.8778174029394</v>
      </c>
      <c r="M26" s="104">
        <f>+[4]Financials!N25</f>
        <v>2999.6953737509989</v>
      </c>
      <c r="N26" s="104">
        <f>+[4]Financials!O25</f>
        <v>3059.6892812260189</v>
      </c>
      <c r="O26" s="104">
        <f>+[4]Financials!P25</f>
        <v>3120.8830668505389</v>
      </c>
      <c r="P26" s="104">
        <f>+[4]Financials!Q25</f>
        <v>3183.3007281875498</v>
      </c>
      <c r="Q26" s="104">
        <f>+[4]Financials!R25</f>
        <v>3246.9667427513014</v>
      </c>
      <c r="R26" s="104">
        <f>+[4]Financials!S25</f>
        <v>3311.906077606327</v>
      </c>
      <c r="S26" s="104">
        <f>+[4]Financials!T25</f>
        <v>3378.1441991584534</v>
      </c>
      <c r="T26" s="104">
        <f>+[4]Financials!U25</f>
        <v>3445.7070831416231</v>
      </c>
      <c r="U26" s="104">
        <f>+[4]Financials!V25</f>
        <v>3514.6212248044558</v>
      </c>
      <c r="V26" s="104">
        <f>+[4]Financials!W25</f>
        <v>3584.9136493005444</v>
      </c>
      <c r="W26" s="104">
        <f>+[4]Financials!X25</f>
        <v>3656.6119222865559</v>
      </c>
      <c r="X26" s="104">
        <f>+[4]Financials!Y25</f>
        <v>3729.7441607322871</v>
      </c>
      <c r="Y26" s="104">
        <f>+[4]Financials!Z25</f>
        <v>3804.3390439469331</v>
      </c>
      <c r="AA26" s="606">
        <f t="shared" si="1"/>
        <v>63450.524223293498</v>
      </c>
      <c r="AB26" s="607">
        <f t="shared" si="2"/>
        <v>62816.018981060559</v>
      </c>
    </row>
    <row r="27" spans="1:28">
      <c r="A27" s="4" t="s">
        <v>46</v>
      </c>
      <c r="D27" s="193">
        <v>0</v>
      </c>
      <c r="E27" s="104">
        <f>+'[4]Operations Summary'!G169</f>
        <v>15</v>
      </c>
      <c r="F27" s="104">
        <f>+'[4]Operations Summary'!H169</f>
        <v>1070</v>
      </c>
      <c r="G27" s="104">
        <f>+'[4]Operations Summary'!I169</f>
        <v>17890</v>
      </c>
      <c r="H27" s="104">
        <f>+'[4]Operations Summary'!J169</f>
        <v>9655</v>
      </c>
      <c r="I27" s="104">
        <f>+'[4]Operations Summary'!K169</f>
        <v>1150</v>
      </c>
      <c r="J27" s="104">
        <f>+'[4]Operations Summary'!L169</f>
        <v>8095</v>
      </c>
      <c r="K27" s="104">
        <f>+'[4]Operations Summary'!M169</f>
        <v>13120</v>
      </c>
      <c r="L27" s="104">
        <f>+'[4]Operations Summary'!N169</f>
        <v>1360</v>
      </c>
      <c r="M27" s="104">
        <f>+'[4]Operations Summary'!O169</f>
        <v>22620</v>
      </c>
      <c r="N27" s="104">
        <f>+'[4]Operations Summary'!P169</f>
        <v>25200</v>
      </c>
      <c r="O27" s="104">
        <f>+'[4]Operations Summary'!Q169</f>
        <v>6060</v>
      </c>
      <c r="P27" s="104">
        <f>+'[4]Operations Summary'!R169</f>
        <v>19280</v>
      </c>
      <c r="Q27" s="104">
        <f>+'[4]Operations Summary'!S169</f>
        <v>21255</v>
      </c>
      <c r="R27" s="104">
        <f>+'[4]Operations Summary'!T169</f>
        <v>1505</v>
      </c>
      <c r="S27" s="104">
        <f>+'[4]Operations Summary'!U169</f>
        <v>12240</v>
      </c>
      <c r="T27" s="104">
        <f>+'[4]Operations Summary'!V169</f>
        <v>15670</v>
      </c>
      <c r="U27" s="104">
        <f>+'[4]Operations Summary'!W169</f>
        <v>1625</v>
      </c>
      <c r="V27" s="104">
        <f>+'[4]Operations Summary'!X169</f>
        <v>27240</v>
      </c>
      <c r="W27" s="104">
        <f>+'[4]Operations Summary'!Y169</f>
        <v>34355</v>
      </c>
      <c r="X27" s="104">
        <f>+'[4]Operations Summary'!Z169</f>
        <v>6550</v>
      </c>
      <c r="Y27" s="104">
        <f>+'[4]Operations Summary'!AA169</f>
        <v>2745</v>
      </c>
      <c r="AA27" s="606">
        <f t="shared" si="1"/>
        <v>248685</v>
      </c>
      <c r="AB27" s="607">
        <f t="shared" si="2"/>
        <v>246198.15</v>
      </c>
    </row>
    <row r="28" spans="1:28">
      <c r="A28" s="4" t="s">
        <v>3</v>
      </c>
      <c r="D28" s="193">
        <v>0</v>
      </c>
      <c r="E28" s="104">
        <f>+[4]Financials!F34</f>
        <v>546.00179458191781</v>
      </c>
      <c r="F28" s="104">
        <f>+[4]Financials!G34</f>
        <v>1110.8003722559997</v>
      </c>
      <c r="G28" s="104">
        <f>+[4]Financials!H34</f>
        <v>1133.0163797011198</v>
      </c>
      <c r="H28" s="104">
        <f>+[4]Financials!I34</f>
        <v>1155.6767072951425</v>
      </c>
      <c r="I28" s="104">
        <f>+[4]Financials!J34</f>
        <v>1178.7902414410455</v>
      </c>
      <c r="J28" s="104">
        <f>+[4]Financials!K34</f>
        <v>1202.366046269866</v>
      </c>
      <c r="K28" s="104">
        <f>+[4]Financials!L34</f>
        <v>1226.4133671952636</v>
      </c>
      <c r="L28" s="104">
        <f>+[4]Financials!M34</f>
        <v>1250.9416345391689</v>
      </c>
      <c r="M28" s="104">
        <f>+[4]Financials!N34</f>
        <v>1275.9604672299524</v>
      </c>
      <c r="N28" s="104">
        <f>+[4]Financials!O34</f>
        <v>1301.4796765745514</v>
      </c>
      <c r="O28" s="104">
        <f>+[4]Financials!P34</f>
        <v>1327.5092701060425</v>
      </c>
      <c r="P28" s="104">
        <f>+[4]Financials!Q34</f>
        <v>1354.059455508163</v>
      </c>
      <c r="Q28" s="104">
        <f>+[4]Financials!R34</f>
        <v>1381.1406446183264</v>
      </c>
      <c r="R28" s="104">
        <f>+[4]Financials!S34</f>
        <v>1408.7634575106933</v>
      </c>
      <c r="S28" s="104">
        <f>+[4]Financials!T34</f>
        <v>1436.9387266609069</v>
      </c>
      <c r="T28" s="104">
        <f>+[4]Financials!U34</f>
        <v>1465.6775011941254</v>
      </c>
      <c r="U28" s="104">
        <f>+[4]Financials!V34</f>
        <v>1494.9910512180077</v>
      </c>
      <c r="V28" s="104">
        <f>+[4]Financials!W34</f>
        <v>1524.890872242368</v>
      </c>
      <c r="W28" s="104">
        <f>+[4]Financials!X34</f>
        <v>1555.3886896872154</v>
      </c>
      <c r="X28" s="104">
        <f>+[4]Financials!Y34</f>
        <v>1586.4964634809596</v>
      </c>
      <c r="Y28" s="104">
        <f>+[4]Financials!Z34</f>
        <v>1618.2263927505792</v>
      </c>
      <c r="AA28" s="606">
        <f t="shared" si="1"/>
        <v>26989.52741747949</v>
      </c>
      <c r="AB28" s="607">
        <f t="shared" si="2"/>
        <v>26719.632143304694</v>
      </c>
    </row>
    <row r="29" spans="1:28">
      <c r="A29" s="4" t="s">
        <v>4</v>
      </c>
      <c r="D29" s="193">
        <v>0</v>
      </c>
      <c r="E29" s="104">
        <f>+[4]Financials!F36+[4]Financials!F37</f>
        <v>39.121890410958912</v>
      </c>
      <c r="F29" s="104">
        <f>+[4]Financials!G36+[4]Financials!G37</f>
        <v>79.590599999999995</v>
      </c>
      <c r="G29" s="104">
        <f>+[4]Financials!H36+[4]Financials!H37</f>
        <v>81.182411999999999</v>
      </c>
      <c r="H29" s="104">
        <f>+[4]Financials!I36+[4]Financials!I37</f>
        <v>82.806060240000008</v>
      </c>
      <c r="I29" s="104">
        <f>+[4]Financials!J36+[4]Financials!J37</f>
        <v>84.462181444800009</v>
      </c>
      <c r="J29" s="104">
        <f>+[4]Financials!K36+[4]Financials!K37</f>
        <v>86.151425073696004</v>
      </c>
      <c r="K29" s="104">
        <f>+[4]Financials!L36+[4]Financials!L37</f>
        <v>87.874453575169937</v>
      </c>
      <c r="L29" s="104">
        <f>+[4]Financials!M36+[4]Financials!M37</f>
        <v>89.631942646673338</v>
      </c>
      <c r="M29" s="104">
        <f>+[4]Financials!N36+[4]Financials!N37</f>
        <v>91.424581499606802</v>
      </c>
      <c r="N29" s="104">
        <f>+[4]Financials!O36+[4]Financials!O37</f>
        <v>93.253073129598931</v>
      </c>
      <c r="O29" s="104">
        <f>+[4]Financials!P36+[4]Financials!P37</f>
        <v>95.118134592190913</v>
      </c>
      <c r="P29" s="104">
        <f>+[4]Financials!Q36+[4]Financials!Q37</f>
        <v>97.020497284034732</v>
      </c>
      <c r="Q29" s="104">
        <f>+[4]Financials!R36+[4]Financials!R37</f>
        <v>98.960907229715431</v>
      </c>
      <c r="R29" s="104">
        <f>+[4]Financials!S36+[4]Financials!S37</f>
        <v>100.94012537430973</v>
      </c>
      <c r="S29" s="104">
        <f>+[4]Financials!T36+[4]Financials!T37</f>
        <v>102.95892788179593</v>
      </c>
      <c r="T29" s="104">
        <f>+[4]Financials!U36+[4]Financials!U37</f>
        <v>105.01810643943186</v>
      </c>
      <c r="U29" s="104">
        <f>+[4]Financials!V36+[4]Financials!V37</f>
        <v>107.11846856822051</v>
      </c>
      <c r="V29" s="104">
        <f>+[4]Financials!W36+[4]Financials!W37</f>
        <v>109.2608379395849</v>
      </c>
      <c r="W29" s="104">
        <f>+[4]Financials!X36+[4]Financials!X37</f>
        <v>111.44605469837663</v>
      </c>
      <c r="X29" s="104">
        <f>+[4]Financials!Y36+[4]Financials!Y37</f>
        <v>113.67497579234416</v>
      </c>
      <c r="Y29" s="104">
        <f>+[4]Financials!Z36+[4]Financials!Z37</f>
        <v>115.94847530819104</v>
      </c>
      <c r="AA29" s="606">
        <f t="shared" si="1"/>
        <v>1933.8422407177411</v>
      </c>
      <c r="AB29" s="607">
        <f t="shared" si="2"/>
        <v>1914.5038183105637</v>
      </c>
    </row>
    <row r="30" spans="1:28">
      <c r="A30" s="4" t="s">
        <v>47</v>
      </c>
      <c r="D30" s="193">
        <v>0</v>
      </c>
      <c r="E30" s="193">
        <v>0</v>
      </c>
      <c r="F30" s="193">
        <v>0</v>
      </c>
      <c r="G30" s="193">
        <v>0</v>
      </c>
      <c r="H30" s="193">
        <v>0</v>
      </c>
      <c r="I30" s="193">
        <v>0</v>
      </c>
      <c r="J30" s="193">
        <v>0</v>
      </c>
      <c r="K30" s="193">
        <v>0</v>
      </c>
      <c r="L30" s="193">
        <v>0</v>
      </c>
      <c r="M30" s="193">
        <v>0</v>
      </c>
      <c r="N30" s="193">
        <v>0</v>
      </c>
      <c r="O30" s="193">
        <v>0</v>
      </c>
      <c r="P30" s="193">
        <v>0</v>
      </c>
      <c r="Q30" s="193">
        <v>0</v>
      </c>
      <c r="R30" s="193">
        <v>0</v>
      </c>
      <c r="S30" s="193">
        <v>0</v>
      </c>
      <c r="T30" s="193">
        <v>0</v>
      </c>
      <c r="U30" s="193">
        <v>0</v>
      </c>
      <c r="V30" s="193">
        <v>0</v>
      </c>
      <c r="W30" s="193">
        <v>0</v>
      </c>
      <c r="X30" s="193">
        <v>0</v>
      </c>
      <c r="Y30" s="193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104">
        <f>+[4]Financials!F35</f>
        <v>2553.24066878953</v>
      </c>
      <c r="F31" s="104">
        <f>+[4]Financials!G35</f>
        <v>5009.3423966784758</v>
      </c>
      <c r="G31" s="104">
        <f>+[4]Financials!H35</f>
        <v>4708.1127329098435</v>
      </c>
      <c r="H31" s="104">
        <f>+[4]Financials!I35</f>
        <v>4517.1968868024414</v>
      </c>
      <c r="I31" s="104">
        <f>+[4]Financials!J35</f>
        <v>4191.644812831928</v>
      </c>
      <c r="J31" s="104">
        <f>+[4]Financials!K35</f>
        <v>4034.4202101584792</v>
      </c>
      <c r="K31" s="104">
        <f>+[4]Financials!L35</f>
        <v>6379.5724275726134</v>
      </c>
      <c r="L31" s="104">
        <f>+[4]Financials!M35</f>
        <v>5724.707996873417</v>
      </c>
      <c r="M31" s="104">
        <f>+[4]Financials!N35</f>
        <v>5142.8689380952092</v>
      </c>
      <c r="N31" s="104">
        <f>+[4]Financials!O35</f>
        <v>4372.6530144126491</v>
      </c>
      <c r="O31" s="104">
        <f>+[4]Financials!P35</f>
        <v>3879.4194484367745</v>
      </c>
      <c r="P31" s="104">
        <f>+[4]Financials!Q35</f>
        <v>3295.3594519632134</v>
      </c>
      <c r="Q31" s="104">
        <f>+[4]Financials!R35</f>
        <v>3347.3515615560627</v>
      </c>
      <c r="R31" s="104">
        <f>+[4]Financials!S35</f>
        <v>3414.2985927871846</v>
      </c>
      <c r="S31" s="104">
        <f>+[4]Financials!T35</f>
        <v>3482.5845646429279</v>
      </c>
      <c r="T31" s="104">
        <f>+[4]Financials!U35</f>
        <v>3552.2362559357871</v>
      </c>
      <c r="U31" s="104">
        <f>+[4]Financials!V35</f>
        <v>3623.2809810545032</v>
      </c>
      <c r="V31" s="104">
        <f>+[4]Financials!W35</f>
        <v>3695.7466006755922</v>
      </c>
      <c r="W31" s="104">
        <f>+[4]Financials!X35</f>
        <v>3769.6615326891051</v>
      </c>
      <c r="X31" s="104">
        <f>+[4]Financials!Y35</f>
        <v>3845.0547633428869</v>
      </c>
      <c r="Y31" s="104">
        <f>+[4]Financials!Z35</f>
        <v>3921.9558586097446</v>
      </c>
      <c r="AA31" s="606">
        <f t="shared" si="1"/>
        <v>83907.46902802882</v>
      </c>
      <c r="AB31" s="607">
        <f t="shared" si="2"/>
        <v>83068.394337748527</v>
      </c>
    </row>
    <row r="32" spans="1:28">
      <c r="A32" s="4" t="s">
        <v>38</v>
      </c>
      <c r="D32" s="193">
        <v>0</v>
      </c>
      <c r="E32" s="104">
        <f>-[4]Financials!F55</f>
        <v>410.71975631953626</v>
      </c>
      <c r="F32" s="104">
        <f>-[4]Financials!G55</f>
        <v>709.55441659887458</v>
      </c>
      <c r="G32" s="104">
        <f>-[4]Financials!H55</f>
        <v>205.4799664242459</v>
      </c>
      <c r="H32" s="104">
        <f>-[4]Financials!I55</f>
        <v>222.74155221721463</v>
      </c>
      <c r="I32" s="104">
        <f>-[4]Financials!J55</f>
        <v>228.46085686152577</v>
      </c>
      <c r="J32" s="104">
        <f>-[4]Financials!K55</f>
        <v>234.16792686122261</v>
      </c>
      <c r="K32" s="104">
        <f>-[4]Financials!L55</f>
        <v>251.99697004228125</v>
      </c>
      <c r="L32" s="104">
        <f>-[4]Financials!M55</f>
        <v>236.08397059218163</v>
      </c>
      <c r="M32" s="104">
        <f>-[4]Financials!N55</f>
        <v>227.98053174556378</v>
      </c>
      <c r="N32" s="104">
        <f>-[4]Financials!O55</f>
        <v>257.90187674271544</v>
      </c>
      <c r="O32" s="104">
        <f>-[4]Financials!P55</f>
        <v>247.88296448968146</v>
      </c>
      <c r="P32" s="104">
        <f>-[4]Financials!Q55</f>
        <v>246.47355906529316</v>
      </c>
      <c r="Q32" s="104">
        <f>-[4]Financials!R55</f>
        <v>275.30242002182069</v>
      </c>
      <c r="R32" s="104">
        <f>-[4]Financials!S55</f>
        <v>287.02563997177384</v>
      </c>
      <c r="S32" s="104">
        <f>-[4]Financials!T55</f>
        <v>171.59821313632654</v>
      </c>
      <c r="T32" s="104">
        <f>-[4]Financials!U55</f>
        <v>175.03017739905312</v>
      </c>
      <c r="U32" s="104">
        <f>-[4]Financials!V55</f>
        <v>178.53078094703417</v>
      </c>
      <c r="V32" s="104">
        <f>-[4]Financials!W55</f>
        <v>182.10139656597482</v>
      </c>
      <c r="W32" s="104">
        <f>-[4]Financials!X55</f>
        <v>185.74342449729437</v>
      </c>
      <c r="X32" s="104">
        <f>-[4]Financials!Y55</f>
        <v>189.45829298724024</v>
      </c>
      <c r="Y32" s="104">
        <f>-[4]Financials!Z55</f>
        <v>193.24745884698507</v>
      </c>
      <c r="AA32" s="606">
        <f t="shared" si="1"/>
        <v>4906.7623960143037</v>
      </c>
      <c r="AB32" s="607">
        <f t="shared" si="2"/>
        <v>4857.6947720541602</v>
      </c>
    </row>
    <row r="33" spans="1:28">
      <c r="A33" s="4" t="s">
        <v>19</v>
      </c>
      <c r="D33" s="193">
        <v>0</v>
      </c>
      <c r="E33" s="104">
        <f>+[4]Financials!F39+[4]Financials!F40</f>
        <v>667.4018404413905</v>
      </c>
      <c r="F33" s="104">
        <f>+[4]Financials!G39+[4]Financials!G40</f>
        <v>1341.3730753931934</v>
      </c>
      <c r="G33" s="104">
        <f>+[4]Financials!H39+[4]Financials!H40</f>
        <v>2213.8970336428956</v>
      </c>
      <c r="H33" s="104">
        <f>+[4]Financials!I39+[4]Financials!I40</f>
        <v>2264.2960924416411</v>
      </c>
      <c r="I33" s="104">
        <f>+[4]Financials!J39+[4]Financials!J40</f>
        <v>2414.021078753357</v>
      </c>
      <c r="J33" s="104">
        <f>+[4]Financials!K39+[4]Financials!K40</f>
        <v>2955.341627884874</v>
      </c>
      <c r="K33" s="104">
        <f>+[4]Financials!L39+[4]Financials!L40</f>
        <v>3703.374400579567</v>
      </c>
      <c r="L33" s="104">
        <f>+[4]Financials!M39+[4]Financials!M40</f>
        <v>3754.2240489253159</v>
      </c>
      <c r="M33" s="104">
        <f>+[4]Financials!N39+[4]Financials!N40</f>
        <v>3896.6915365354071</v>
      </c>
      <c r="N33" s="104">
        <f>+[4]Financials!O39+[4]Financials!O40</f>
        <v>3651.8269308778022</v>
      </c>
      <c r="O33" s="104">
        <f>+[4]Financials!P39+[4]Financials!P40</f>
        <v>3828.067378010368</v>
      </c>
      <c r="P33" s="104">
        <f>+[4]Financials!Q39+[4]Financials!Q40</f>
        <v>3781.3916694936925</v>
      </c>
      <c r="Q33" s="104">
        <f>+[4]Financials!R39+[4]Financials!R40</f>
        <v>3769.702292789731</v>
      </c>
      <c r="R33" s="104">
        <f>+[4]Financials!S39+[4]Financials!S40</f>
        <v>3916.4454817077153</v>
      </c>
      <c r="S33" s="104">
        <f>+[4]Financials!T39+[4]Financials!T40</f>
        <v>4713.0650880043177</v>
      </c>
      <c r="T33" s="104">
        <f>+[4]Financials!U39+[4]Financials!U40</f>
        <v>4055.0343103223486</v>
      </c>
      <c r="U33" s="104">
        <f>+[4]Financials!V39+[4]Financials!V40</f>
        <v>4152.9257001980131</v>
      </c>
      <c r="V33" s="104">
        <f>+[4]Financials!W39+[4]Financials!W40</f>
        <v>4400.1291391960494</v>
      </c>
      <c r="W33" s="104">
        <f>+[4]Financials!X39+[4]Financials!X40</f>
        <v>4075.7673722441541</v>
      </c>
      <c r="X33" s="104">
        <f>+[4]Financials!Y39+[4]Financials!Y40</f>
        <v>4512.4692126570062</v>
      </c>
      <c r="Y33" s="104">
        <f>+[4]Financials!Z39+[4]Financials!Z40</f>
        <v>4277.5859497777892</v>
      </c>
      <c r="AA33" s="606">
        <f t="shared" si="1"/>
        <v>71677.629419435238</v>
      </c>
      <c r="AB33" s="607">
        <f t="shared" si="2"/>
        <v>70960.853125240887</v>
      </c>
    </row>
    <row r="34" spans="1:28">
      <c r="A34" s="4" t="s">
        <v>20</v>
      </c>
      <c r="D34" s="193">
        <v>0</v>
      </c>
      <c r="E34" s="104">
        <f>+[4]Financials!F41</f>
        <v>78.243780821917809</v>
      </c>
      <c r="F34" s="104">
        <f>+[4]Financials!G41</f>
        <v>159.18119999999999</v>
      </c>
      <c r="G34" s="104">
        <f>+[4]Financials!H41</f>
        <v>162.364824</v>
      </c>
      <c r="H34" s="104">
        <f>+[4]Financials!I41</f>
        <v>165.61212048000002</v>
      </c>
      <c r="I34" s="104">
        <f>+[4]Financials!J41</f>
        <v>168.92436288960002</v>
      </c>
      <c r="J34" s="104">
        <f>+[4]Financials!K41</f>
        <v>172.30285014739201</v>
      </c>
      <c r="K34" s="104">
        <f>+[4]Financials!L41</f>
        <v>175.74890715033987</v>
      </c>
      <c r="L34" s="104">
        <f>+[4]Financials!M41</f>
        <v>179.26388529334665</v>
      </c>
      <c r="M34" s="104">
        <f>+[4]Financials!N41</f>
        <v>182.8491629992136</v>
      </c>
      <c r="N34" s="104">
        <f>+[4]Financials!O41</f>
        <v>186.50614625919786</v>
      </c>
      <c r="O34" s="104">
        <f>+[4]Financials!P41</f>
        <v>190.23626918438183</v>
      </c>
      <c r="P34" s="104">
        <f>+[4]Financials!Q41</f>
        <v>194.04099456806944</v>
      </c>
      <c r="Q34" s="104">
        <f>+[4]Financials!R41</f>
        <v>197.92181445943086</v>
      </c>
      <c r="R34" s="104">
        <f>+[4]Financials!S41</f>
        <v>201.88025074861949</v>
      </c>
      <c r="S34" s="104">
        <f>+[4]Financials!T41</f>
        <v>205.91785576359186</v>
      </c>
      <c r="T34" s="104">
        <f>+[4]Financials!U41</f>
        <v>210.03621287886372</v>
      </c>
      <c r="U34" s="104">
        <f>+[4]Financials!V41</f>
        <v>214.23693713644101</v>
      </c>
      <c r="V34" s="104">
        <f>+[4]Financials!W41</f>
        <v>218.52167587916981</v>
      </c>
      <c r="W34" s="104">
        <f>+[4]Financials!X41</f>
        <v>222.89210939675323</v>
      </c>
      <c r="X34" s="104">
        <f>+[4]Financials!Y41</f>
        <v>227.34995158468831</v>
      </c>
      <c r="Y34" s="104">
        <f>+[4]Financials!Z41</f>
        <v>231.8969506163821</v>
      </c>
      <c r="AA34" s="606">
        <f t="shared" si="1"/>
        <v>3867.6844814354822</v>
      </c>
      <c r="AB34" s="607">
        <f t="shared" si="2"/>
        <v>3829.0076366211274</v>
      </c>
    </row>
    <row r="35" spans="1:28">
      <c r="A35" s="4" t="s">
        <v>21</v>
      </c>
      <c r="B35" s="8"/>
      <c r="C35" s="8"/>
      <c r="D35" s="195">
        <v>0</v>
      </c>
      <c r="E35" s="195">
        <v>0</v>
      </c>
      <c r="F35" s="195">
        <v>0</v>
      </c>
      <c r="G35" s="195">
        <v>0</v>
      </c>
      <c r="H35" s="195">
        <v>0</v>
      </c>
      <c r="I35" s="195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>
        <v>0</v>
      </c>
      <c r="P35" s="195">
        <v>0</v>
      </c>
      <c r="Q35" s="195">
        <v>0</v>
      </c>
      <c r="R35" s="195">
        <v>0</v>
      </c>
      <c r="S35" s="195">
        <v>0</v>
      </c>
      <c r="T35" s="195">
        <v>0</v>
      </c>
      <c r="U35" s="195">
        <v>0</v>
      </c>
      <c r="V35" s="195">
        <v>0</v>
      </c>
      <c r="W35" s="195">
        <v>0</v>
      </c>
      <c r="X35" s="195">
        <v>0</v>
      </c>
      <c r="Y35" s="195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56182.294395503326</v>
      </c>
      <c r="F36" s="90">
        <f t="shared" si="4"/>
        <v>136115.16594190255</v>
      </c>
      <c r="G36" s="90">
        <f t="shared" si="4"/>
        <v>157307.74080807363</v>
      </c>
      <c r="H36" s="90">
        <f t="shared" si="4"/>
        <v>153969.05643698786</v>
      </c>
      <c r="I36" s="90">
        <f t="shared" si="4"/>
        <v>149738.56133973127</v>
      </c>
      <c r="J36" s="90">
        <f t="shared" si="4"/>
        <v>162738.73763812272</v>
      </c>
      <c r="K36" s="90">
        <f t="shared" si="4"/>
        <v>177324.51586693752</v>
      </c>
      <c r="L36" s="90">
        <f t="shared" si="4"/>
        <v>168092.38597596649</v>
      </c>
      <c r="M36" s="90">
        <f t="shared" si="4"/>
        <v>193684.8901007766</v>
      </c>
      <c r="N36" s="90">
        <f t="shared" si="4"/>
        <v>200402.83416799872</v>
      </c>
      <c r="O36" s="90">
        <f t="shared" si="4"/>
        <v>186750.05926145244</v>
      </c>
      <c r="P36" s="90">
        <f t="shared" si="4"/>
        <v>196844.35662115485</v>
      </c>
      <c r="Q36" s="90">
        <f t="shared" si="4"/>
        <v>204145.5299091613</v>
      </c>
      <c r="R36" s="90">
        <f t="shared" si="4"/>
        <v>191210.15437692605</v>
      </c>
      <c r="S36" s="90">
        <f t="shared" si="4"/>
        <v>208934.34160718616</v>
      </c>
      <c r="T36" s="90">
        <f t="shared" si="4"/>
        <v>213341.72051287358</v>
      </c>
      <c r="U36" s="90">
        <f t="shared" si="4"/>
        <v>204657.70071175502</v>
      </c>
      <c r="V36" s="90">
        <f t="shared" si="4"/>
        <v>233196.42456664471</v>
      </c>
      <c r="W36" s="90">
        <f t="shared" si="4"/>
        <v>246229.93062052876</v>
      </c>
      <c r="X36" s="90">
        <f t="shared" si="4"/>
        <v>223336.67330500265</v>
      </c>
      <c r="Y36" s="90">
        <f t="shared" si="4"/>
        <v>218425.69172453051</v>
      </c>
      <c r="AA36" s="606">
        <f t="shared" si="1"/>
        <v>3826446.4714937131</v>
      </c>
      <c r="AB36" s="607">
        <f t="shared" si="2"/>
        <v>3788182.0067787757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37432.705604496674</v>
      </c>
      <c r="F39" s="93">
        <f t="shared" si="5"/>
        <v>80019.834058097447</v>
      </c>
      <c r="G39" s="93">
        <f t="shared" si="5"/>
        <v>60147.259191926365</v>
      </c>
      <c r="H39" s="93">
        <f t="shared" si="5"/>
        <v>62930.943563012144</v>
      </c>
      <c r="I39" s="93">
        <f t="shared" si="5"/>
        <v>76601.43866026873</v>
      </c>
      <c r="J39" s="93">
        <f t="shared" si="5"/>
        <v>79576.262361877278</v>
      </c>
      <c r="K39" s="93">
        <f t="shared" si="5"/>
        <v>82140.484133062477</v>
      </c>
      <c r="L39" s="93">
        <f t="shared" si="5"/>
        <v>95072.614024033508</v>
      </c>
      <c r="M39" s="93">
        <f t="shared" si="5"/>
        <v>78370.109899223404</v>
      </c>
      <c r="N39" s="93">
        <f t="shared" si="5"/>
        <v>67632.165832001279</v>
      </c>
      <c r="O39" s="93">
        <f t="shared" si="5"/>
        <v>92679.940738547564</v>
      </c>
      <c r="P39" s="93">
        <f t="shared" si="5"/>
        <v>80340.643378845154</v>
      </c>
      <c r="Q39" s="93">
        <f t="shared" si="5"/>
        <v>76259.470090838702</v>
      </c>
      <c r="R39" s="93">
        <f t="shared" si="5"/>
        <v>99644.845623073954</v>
      </c>
      <c r="S39" s="93">
        <f t="shared" si="5"/>
        <v>113900.65839281384</v>
      </c>
      <c r="T39" s="93">
        <f t="shared" si="5"/>
        <v>87993.27948712642</v>
      </c>
      <c r="U39" s="93">
        <f t="shared" si="5"/>
        <v>104592.29928824498</v>
      </c>
      <c r="V39" s="93">
        <f t="shared" si="5"/>
        <v>89393.57543335529</v>
      </c>
      <c r="W39" s="93">
        <f t="shared" si="5"/>
        <v>69785.069379471242</v>
      </c>
      <c r="X39" s="93">
        <f t="shared" si="5"/>
        <v>110193.32669499735</v>
      </c>
      <c r="Y39" s="93">
        <f t="shared" si="5"/>
        <v>105034.30827546949</v>
      </c>
      <c r="AA39" s="606">
        <f>SUM(F39:Y39)</f>
        <v>1712308.5285062867</v>
      </c>
      <c r="AB39" s="607">
        <f t="shared" si="2"/>
        <v>1695185.4432212238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16899</v>
      </c>
      <c r="G41" s="90">
        <f t="shared" ref="G41:Y41" si="7">+G108</f>
        <v>16899</v>
      </c>
      <c r="H41" s="90">
        <f t="shared" si="7"/>
        <v>16899</v>
      </c>
      <c r="I41" s="90">
        <f t="shared" si="7"/>
        <v>16899</v>
      </c>
      <c r="J41" s="90">
        <f t="shared" si="7"/>
        <v>16899</v>
      </c>
      <c r="K41" s="90">
        <f t="shared" si="7"/>
        <v>16899</v>
      </c>
      <c r="L41" s="90">
        <f t="shared" si="7"/>
        <v>16899</v>
      </c>
      <c r="M41" s="90">
        <f t="shared" si="7"/>
        <v>16899</v>
      </c>
      <c r="N41" s="90">
        <f t="shared" si="7"/>
        <v>16899</v>
      </c>
      <c r="O41" s="90">
        <f t="shared" si="7"/>
        <v>16899</v>
      </c>
      <c r="P41" s="90">
        <f t="shared" si="7"/>
        <v>16899</v>
      </c>
      <c r="Q41" s="90">
        <f t="shared" si="7"/>
        <v>16899</v>
      </c>
      <c r="R41" s="90">
        <f t="shared" si="7"/>
        <v>16899</v>
      </c>
      <c r="S41" s="90">
        <f t="shared" si="7"/>
        <v>16899</v>
      </c>
      <c r="T41" s="90">
        <f t="shared" si="7"/>
        <v>16899</v>
      </c>
      <c r="U41" s="90">
        <f t="shared" si="7"/>
        <v>16899</v>
      </c>
      <c r="V41" s="90">
        <f t="shared" si="7"/>
        <v>16899</v>
      </c>
      <c r="W41" s="90">
        <f t="shared" si="7"/>
        <v>16899</v>
      </c>
      <c r="X41" s="90">
        <f t="shared" si="7"/>
        <v>16899</v>
      </c>
      <c r="Y41" s="90">
        <f t="shared" si="7"/>
        <v>16899</v>
      </c>
      <c r="AA41" s="606">
        <f t="shared" si="6"/>
        <v>337980</v>
      </c>
      <c r="AB41" s="607">
        <f t="shared" si="2"/>
        <v>334600.2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63120.834058097447</v>
      </c>
      <c r="G44" s="93">
        <f t="shared" si="8"/>
        <v>43248.259191926365</v>
      </c>
      <c r="H44" s="93">
        <f t="shared" si="8"/>
        <v>46031.943563012144</v>
      </c>
      <c r="I44" s="93">
        <f t="shared" si="8"/>
        <v>59702.43866026873</v>
      </c>
      <c r="J44" s="93">
        <f t="shared" si="8"/>
        <v>62677.262361877278</v>
      </c>
      <c r="K44" s="93">
        <f t="shared" si="8"/>
        <v>65241.484133062477</v>
      </c>
      <c r="L44" s="93">
        <f t="shared" si="8"/>
        <v>78173.614024033508</v>
      </c>
      <c r="M44" s="93">
        <f t="shared" si="8"/>
        <v>61471.109899223404</v>
      </c>
      <c r="N44" s="93">
        <f t="shared" si="8"/>
        <v>50733.165832001279</v>
      </c>
      <c r="O44" s="93">
        <f t="shared" si="8"/>
        <v>75780.940738547564</v>
      </c>
      <c r="P44" s="93">
        <f t="shared" si="8"/>
        <v>63441.643378845154</v>
      </c>
      <c r="Q44" s="93">
        <f t="shared" si="8"/>
        <v>59360.470090838702</v>
      </c>
      <c r="R44" s="93">
        <f t="shared" si="8"/>
        <v>82745.845623073954</v>
      </c>
      <c r="S44" s="93">
        <f t="shared" si="8"/>
        <v>97001.658392813843</v>
      </c>
      <c r="T44" s="93">
        <f t="shared" si="8"/>
        <v>71094.27948712642</v>
      </c>
      <c r="U44" s="93">
        <f t="shared" si="8"/>
        <v>87693.299288244976</v>
      </c>
      <c r="V44" s="93">
        <f t="shared" si="8"/>
        <v>72494.57543335529</v>
      </c>
      <c r="W44" s="93">
        <f t="shared" si="8"/>
        <v>52886.069379471242</v>
      </c>
      <c r="X44" s="93">
        <f t="shared" si="8"/>
        <v>93294.326694997348</v>
      </c>
      <c r="Y44" s="93">
        <f t="shared" si="8"/>
        <v>88135.308275469491</v>
      </c>
      <c r="AA44" s="606">
        <f t="shared" si="6"/>
        <v>1374328.5285062867</v>
      </c>
      <c r="AB44" s="607">
        <f t="shared" si="2"/>
        <v>1360585.2432212238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63120.834058097447</v>
      </c>
      <c r="G49" s="93">
        <f t="shared" si="9"/>
        <v>43248.259191926365</v>
      </c>
      <c r="H49" s="93">
        <f t="shared" si="9"/>
        <v>46031.943563012144</v>
      </c>
      <c r="I49" s="93">
        <f t="shared" si="9"/>
        <v>59702.43866026873</v>
      </c>
      <c r="J49" s="93">
        <f t="shared" si="9"/>
        <v>62677.262361877278</v>
      </c>
      <c r="K49" s="93">
        <f t="shared" si="9"/>
        <v>65241.484133062477</v>
      </c>
      <c r="L49" s="93">
        <f t="shared" si="9"/>
        <v>78173.614024033508</v>
      </c>
      <c r="M49" s="93">
        <f t="shared" si="9"/>
        <v>61471.109899223404</v>
      </c>
      <c r="N49" s="93">
        <f t="shared" si="9"/>
        <v>50733.165832001279</v>
      </c>
      <c r="O49" s="93">
        <f t="shared" si="9"/>
        <v>75780.940738547564</v>
      </c>
      <c r="P49" s="93">
        <f t="shared" si="9"/>
        <v>63441.643378845154</v>
      </c>
      <c r="Q49" s="93">
        <f t="shared" si="9"/>
        <v>59360.470090838702</v>
      </c>
      <c r="R49" s="93">
        <f t="shared" si="9"/>
        <v>82745.845623073954</v>
      </c>
      <c r="S49" s="93">
        <f t="shared" si="9"/>
        <v>97001.658392813843</v>
      </c>
      <c r="T49" s="93">
        <f t="shared" si="9"/>
        <v>71094.27948712642</v>
      </c>
      <c r="U49" s="93">
        <f t="shared" si="9"/>
        <v>87693.299288244976</v>
      </c>
      <c r="V49" s="93">
        <f t="shared" si="9"/>
        <v>72494.57543335529</v>
      </c>
      <c r="W49" s="93">
        <f t="shared" si="9"/>
        <v>52886.069379471242</v>
      </c>
      <c r="X49" s="93">
        <f t="shared" si="9"/>
        <v>93294.326694997348</v>
      </c>
      <c r="Y49" s="93">
        <f t="shared" si="9"/>
        <v>88135.308275469491</v>
      </c>
      <c r="AA49" s="606">
        <f t="shared" si="6"/>
        <v>1374328.5285062867</v>
      </c>
      <c r="AB49" s="607">
        <f t="shared" si="2"/>
        <v>1360585.2432212238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</v>
      </c>
      <c r="D51" s="90"/>
      <c r="E51" s="90"/>
      <c r="F51" s="90">
        <f t="shared" ref="F51:Y51" si="10">F49*-$C$51</f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-22092.291920334104</v>
      </c>
      <c r="G52" s="89">
        <f t="shared" si="11"/>
        <v>-15136.890717174227</v>
      </c>
      <c r="H52" s="89">
        <f t="shared" si="11"/>
        <v>-16111.18024705425</v>
      </c>
      <c r="I52" s="89">
        <f t="shared" si="11"/>
        <v>-20895.853531094053</v>
      </c>
      <c r="J52" s="89">
        <f t="shared" si="11"/>
        <v>-21937.041826657045</v>
      </c>
      <c r="K52" s="89">
        <f t="shared" si="11"/>
        <v>-22834.519446571867</v>
      </c>
      <c r="L52" s="89">
        <f t="shared" si="11"/>
        <v>-27360.764908411726</v>
      </c>
      <c r="M52" s="89">
        <f t="shared" si="11"/>
        <v>-21514.888464728188</v>
      </c>
      <c r="N52" s="89">
        <f t="shared" si="11"/>
        <v>-17756.608041200445</v>
      </c>
      <c r="O52" s="89">
        <f t="shared" si="11"/>
        <v>-26523.329258491645</v>
      </c>
      <c r="P52" s="89">
        <f t="shared" si="11"/>
        <v>-22204.575182595803</v>
      </c>
      <c r="Q52" s="89">
        <f t="shared" si="11"/>
        <v>-20776.164531793544</v>
      </c>
      <c r="R52" s="89">
        <f t="shared" si="11"/>
        <v>-28961.045968075883</v>
      </c>
      <c r="S52" s="89">
        <f t="shared" si="11"/>
        <v>-33950.580437484845</v>
      </c>
      <c r="T52" s="89">
        <f t="shared" si="11"/>
        <v>-24882.997820494245</v>
      </c>
      <c r="U52" s="89">
        <f t="shared" si="11"/>
        <v>-30692.65475088574</v>
      </c>
      <c r="V52" s="89">
        <f t="shared" si="11"/>
        <v>-25373.10140167435</v>
      </c>
      <c r="W52" s="89">
        <f t="shared" si="11"/>
        <v>-18510.124282814933</v>
      </c>
      <c r="X52" s="89">
        <f t="shared" si="11"/>
        <v>-32653.014343249069</v>
      </c>
      <c r="Y52" s="89">
        <f t="shared" si="11"/>
        <v>-30847.35789641432</v>
      </c>
      <c r="AA52" s="606">
        <f t="shared" si="6"/>
        <v>-481014.98497720016</v>
      </c>
      <c r="AB52" s="607">
        <f t="shared" si="2"/>
        <v>-476204.83512742817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41028.542137763347</v>
      </c>
      <c r="G54" s="93">
        <f t="shared" si="12"/>
        <v>28111.36847475214</v>
      </c>
      <c r="H54" s="93">
        <f t="shared" si="12"/>
        <v>29920.763315957895</v>
      </c>
      <c r="I54" s="93">
        <f t="shared" si="12"/>
        <v>38806.58512917468</v>
      </c>
      <c r="J54" s="93">
        <f t="shared" si="12"/>
        <v>40740.220535220229</v>
      </c>
      <c r="K54" s="93">
        <f t="shared" si="12"/>
        <v>42406.96468649061</v>
      </c>
      <c r="L54" s="93">
        <f t="shared" si="12"/>
        <v>50812.849115621779</v>
      </c>
      <c r="M54" s="93">
        <f t="shared" si="12"/>
        <v>39956.221434495215</v>
      </c>
      <c r="N54" s="93">
        <f t="shared" si="12"/>
        <v>32976.557790800834</v>
      </c>
      <c r="O54" s="93">
        <f t="shared" si="12"/>
        <v>49257.611480055915</v>
      </c>
      <c r="P54" s="93">
        <f t="shared" si="12"/>
        <v>41237.068196249355</v>
      </c>
      <c r="Q54" s="93">
        <f t="shared" si="12"/>
        <v>38584.305559045155</v>
      </c>
      <c r="R54" s="93">
        <f t="shared" si="12"/>
        <v>53784.799654998074</v>
      </c>
      <c r="S54" s="93">
        <f t="shared" si="12"/>
        <v>63051.077955328998</v>
      </c>
      <c r="T54" s="93">
        <f t="shared" si="12"/>
        <v>46211.281666632174</v>
      </c>
      <c r="U54" s="93">
        <f t="shared" si="12"/>
        <v>57000.644537359236</v>
      </c>
      <c r="V54" s="93">
        <f t="shared" si="12"/>
        <v>47121.47403168094</v>
      </c>
      <c r="W54" s="93">
        <f t="shared" si="12"/>
        <v>34375.945096656309</v>
      </c>
      <c r="X54" s="93">
        <f t="shared" si="12"/>
        <v>60641.312351748275</v>
      </c>
      <c r="Y54" s="93">
        <f t="shared" si="12"/>
        <v>57287.950379055168</v>
      </c>
      <c r="AA54" s="606">
        <f t="shared" si="6"/>
        <v>893313.54352908628</v>
      </c>
      <c r="AB54" s="607">
        <f t="shared" si="2"/>
        <v>884380.40809379541</v>
      </c>
    </row>
    <row r="55" spans="1:28" outlineLevel="1">
      <c r="B55" s="96"/>
      <c r="C55" s="96"/>
      <c r="E55" s="20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107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0.99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39807.9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80019.834058097447</v>
      </c>
      <c r="G64" s="24">
        <f t="shared" si="14"/>
        <v>60147.259191926365</v>
      </c>
      <c r="H64" s="20">
        <f t="shared" si="14"/>
        <v>62930.943563012144</v>
      </c>
      <c r="I64" s="20">
        <f t="shared" si="14"/>
        <v>76601.43866026873</v>
      </c>
      <c r="J64" s="20">
        <f t="shared" si="14"/>
        <v>79576.262361877278</v>
      </c>
      <c r="K64" s="20">
        <f t="shared" si="14"/>
        <v>82140.484133062477</v>
      </c>
      <c r="L64" s="20">
        <f t="shared" si="14"/>
        <v>95072.614024033508</v>
      </c>
      <c r="M64" s="20">
        <f t="shared" si="14"/>
        <v>78370.109899223404</v>
      </c>
      <c r="N64" s="20">
        <f t="shared" si="14"/>
        <v>67632.165832001279</v>
      </c>
      <c r="O64" s="20">
        <f t="shared" si="14"/>
        <v>92679.940738547564</v>
      </c>
      <c r="P64" s="20">
        <f t="shared" si="14"/>
        <v>80340.643378845154</v>
      </c>
      <c r="Q64" s="20">
        <f t="shared" si="14"/>
        <v>76259.470090838702</v>
      </c>
      <c r="R64" s="20">
        <f t="shared" si="14"/>
        <v>99644.845623073954</v>
      </c>
      <c r="S64" s="20">
        <f t="shared" si="14"/>
        <v>113900.65839281384</v>
      </c>
      <c r="T64" s="20">
        <f t="shared" si="14"/>
        <v>87993.27948712642</v>
      </c>
      <c r="U64" s="20">
        <f t="shared" si="14"/>
        <v>104592.29928824498</v>
      </c>
      <c r="V64" s="20">
        <f t="shared" si="14"/>
        <v>89393.57543335529</v>
      </c>
      <c r="W64" s="20">
        <f t="shared" si="14"/>
        <v>69785.069379471242</v>
      </c>
      <c r="X64" s="20">
        <f t="shared" si="14"/>
        <v>110193.32669499735</v>
      </c>
      <c r="Y64" s="20">
        <f t="shared" si="14"/>
        <v>105034.30827546949</v>
      </c>
      <c r="AA64" s="606">
        <f t="shared" si="6"/>
        <v>1712308.5285062867</v>
      </c>
      <c r="AB64" s="607">
        <f t="shared" si="2"/>
        <v>1695185.4432212238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80019.834058097447</v>
      </c>
      <c r="G69" s="95">
        <f t="shared" si="15"/>
        <v>60147.259191926365</v>
      </c>
      <c r="H69" s="95">
        <f t="shared" si="15"/>
        <v>62930.943563012144</v>
      </c>
      <c r="I69" s="95">
        <f t="shared" si="15"/>
        <v>76601.43866026873</v>
      </c>
      <c r="J69" s="95">
        <f t="shared" si="15"/>
        <v>79576.262361877278</v>
      </c>
      <c r="K69" s="95">
        <f t="shared" si="15"/>
        <v>82140.484133062477</v>
      </c>
      <c r="L69" s="95">
        <f t="shared" si="15"/>
        <v>95072.614024033508</v>
      </c>
      <c r="M69" s="95">
        <f t="shared" si="15"/>
        <v>78370.109899223404</v>
      </c>
      <c r="N69" s="95">
        <f t="shared" si="15"/>
        <v>67632.165832001279</v>
      </c>
      <c r="O69" s="95">
        <f t="shared" si="15"/>
        <v>92679.940738547564</v>
      </c>
      <c r="P69" s="95">
        <f t="shared" si="15"/>
        <v>80340.643378845154</v>
      </c>
      <c r="Q69" s="95">
        <f t="shared" si="15"/>
        <v>76259.470090838702</v>
      </c>
      <c r="R69" s="95">
        <f t="shared" si="15"/>
        <v>99644.845623073954</v>
      </c>
      <c r="S69" s="95">
        <f t="shared" si="15"/>
        <v>113900.65839281384</v>
      </c>
      <c r="T69" s="95">
        <f t="shared" si="15"/>
        <v>87993.27948712642</v>
      </c>
      <c r="U69" s="95">
        <f t="shared" si="15"/>
        <v>104592.29928824498</v>
      </c>
      <c r="V69" s="95">
        <f t="shared" si="15"/>
        <v>89393.57543335529</v>
      </c>
      <c r="W69" s="95">
        <f t="shared" si="15"/>
        <v>69785.069379471242</v>
      </c>
      <c r="X69" s="95">
        <f t="shared" si="15"/>
        <v>110193.32669499735</v>
      </c>
      <c r="Y69" s="95">
        <f t="shared" si="15"/>
        <v>105034.30827546949</v>
      </c>
      <c r="AA69" s="606">
        <f t="shared" si="6"/>
        <v>1712308.5285062867</v>
      </c>
      <c r="AB69" s="607">
        <f t="shared" si="2"/>
        <v>1695185.4432212238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-21353.071197908012</v>
      </c>
      <c r="G71" s="100">
        <f t="shared" si="16"/>
        <v>-8242.3959851225009</v>
      </c>
      <c r="H71" s="100">
        <f t="shared" si="16"/>
        <v>-10178.391630083845</v>
      </c>
      <c r="I71" s="100">
        <f t="shared" si="16"/>
        <v>-15850.247677113794</v>
      </c>
      <c r="J71" s="100">
        <f t="shared" si="16"/>
        <v>-17714.741576731642</v>
      </c>
      <c r="K71" s="100">
        <f t="shared" si="16"/>
        <v>-19371.647641766023</v>
      </c>
      <c r="L71" s="100">
        <f t="shared" si="16"/>
        <v>-24602.316217420059</v>
      </c>
      <c r="M71" s="100">
        <f t="shared" si="16"/>
        <v>-19405.857556245308</v>
      </c>
      <c r="N71" s="100">
        <f t="shared" si="16"/>
        <v>-15754.039064276387</v>
      </c>
      <c r="O71" s="100">
        <f t="shared" si="16"/>
        <v>-24522.534647093566</v>
      </c>
      <c r="P71" s="100">
        <f t="shared" si="16"/>
        <v>-20202.006205671743</v>
      </c>
      <c r="Q71" s="100">
        <f t="shared" si="16"/>
        <v>-18775.369920395464</v>
      </c>
      <c r="R71" s="100">
        <f t="shared" si="16"/>
        <v>-26958.476991151823</v>
      </c>
      <c r="S71" s="100">
        <f t="shared" si="16"/>
        <v>-31949.785826086762</v>
      </c>
      <c r="T71" s="100">
        <f t="shared" si="16"/>
        <v>-22880.428843570186</v>
      </c>
      <c r="U71" s="100">
        <f t="shared" si="16"/>
        <v>-28691.860139487657</v>
      </c>
      <c r="V71" s="100">
        <f t="shared" si="16"/>
        <v>-23370.53242475029</v>
      </c>
      <c r="W71" s="100">
        <f t="shared" si="16"/>
        <v>-16509.329671416854</v>
      </c>
      <c r="X71" s="100">
        <f t="shared" si="16"/>
        <v>-30650.44536632501</v>
      </c>
      <c r="Y71" s="100">
        <f t="shared" si="16"/>
        <v>-28846.56328501624</v>
      </c>
      <c r="AA71" s="606">
        <f t="shared" si="6"/>
        <v>-425830.04186763312</v>
      </c>
      <c r="AB71" s="607">
        <f t="shared" si="2"/>
        <v>-421571.74144895677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58666.762860189439</v>
      </c>
      <c r="G73" s="28">
        <f t="shared" si="17"/>
        <v>51904.863206803864</v>
      </c>
      <c r="H73" s="28">
        <f t="shared" si="17"/>
        <v>52752.551932928298</v>
      </c>
      <c r="I73" s="28">
        <f t="shared" si="17"/>
        <v>60751.190983154935</v>
      </c>
      <c r="J73" s="28">
        <f t="shared" si="17"/>
        <v>61861.520785145636</v>
      </c>
      <c r="K73" s="28">
        <f t="shared" si="17"/>
        <v>62768.836491296453</v>
      </c>
      <c r="L73" s="28">
        <f t="shared" si="17"/>
        <v>70470.297806613453</v>
      </c>
      <c r="M73" s="28">
        <f t="shared" si="17"/>
        <v>58964.252342978099</v>
      </c>
      <c r="N73" s="28">
        <f t="shared" si="17"/>
        <v>51878.126767724891</v>
      </c>
      <c r="O73" s="28">
        <f t="shared" si="17"/>
        <v>68157.406091454002</v>
      </c>
      <c r="P73" s="28">
        <f t="shared" si="17"/>
        <v>60138.637173173411</v>
      </c>
      <c r="Q73" s="28">
        <f t="shared" si="17"/>
        <v>57484.100170443242</v>
      </c>
      <c r="R73" s="28">
        <f t="shared" si="17"/>
        <v>72686.368631922131</v>
      </c>
      <c r="S73" s="28">
        <f t="shared" si="17"/>
        <v>81950.872566727077</v>
      </c>
      <c r="T73" s="28">
        <f t="shared" si="17"/>
        <v>65112.85064355623</v>
      </c>
      <c r="U73" s="28">
        <f t="shared" si="17"/>
        <v>75900.439148757316</v>
      </c>
      <c r="V73" s="28">
        <f t="shared" si="17"/>
        <v>66023.043008605004</v>
      </c>
      <c r="W73" s="28">
        <f t="shared" si="17"/>
        <v>53275.739708054389</v>
      </c>
      <c r="X73" s="28">
        <f t="shared" si="17"/>
        <v>79542.881328672345</v>
      </c>
      <c r="Y73" s="28">
        <f t="shared" si="17"/>
        <v>76187.744990453255</v>
      </c>
      <c r="AA73" s="606">
        <f t="shared" si="6"/>
        <v>1286478.4866386536</v>
      </c>
      <c r="AB73" s="607">
        <f t="shared" si="2"/>
        <v>1273613.701772267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0.99</v>
      </c>
      <c r="D76" s="28"/>
      <c r="E76" s="28"/>
      <c r="F76" s="28">
        <f t="shared" ref="F76:Y76" si="19">$C$76*F54</f>
        <v>40618.256716385709</v>
      </c>
      <c r="G76" s="95">
        <f t="shared" si="19"/>
        <v>27830.254790004619</v>
      </c>
      <c r="H76" s="28">
        <f t="shared" si="19"/>
        <v>29621.555682798316</v>
      </c>
      <c r="I76" s="28">
        <f t="shared" si="19"/>
        <v>38418.51927788293</v>
      </c>
      <c r="J76" s="28">
        <f t="shared" si="19"/>
        <v>40332.818329868023</v>
      </c>
      <c r="K76" s="28">
        <f t="shared" si="19"/>
        <v>41982.895039625706</v>
      </c>
      <c r="L76" s="28">
        <f t="shared" si="19"/>
        <v>50304.720624465561</v>
      </c>
      <c r="M76" s="28">
        <f t="shared" si="19"/>
        <v>39556.659220150264</v>
      </c>
      <c r="N76" s="28">
        <f t="shared" si="19"/>
        <v>32646.792212892826</v>
      </c>
      <c r="O76" s="28">
        <f t="shared" si="19"/>
        <v>48765.035365255353</v>
      </c>
      <c r="P76" s="28">
        <f t="shared" si="19"/>
        <v>40824.697514286861</v>
      </c>
      <c r="Q76" s="28">
        <f t="shared" si="19"/>
        <v>38198.462503454706</v>
      </c>
      <c r="R76" s="28">
        <f t="shared" si="19"/>
        <v>53246.951658448095</v>
      </c>
      <c r="S76" s="28">
        <f t="shared" si="19"/>
        <v>62420.567175775708</v>
      </c>
      <c r="T76" s="28">
        <f t="shared" si="19"/>
        <v>45749.168849965848</v>
      </c>
      <c r="U76" s="28">
        <f t="shared" si="19"/>
        <v>56430.638091985646</v>
      </c>
      <c r="V76" s="28">
        <f t="shared" si="19"/>
        <v>46650.259291364127</v>
      </c>
      <c r="W76" s="28">
        <f t="shared" si="19"/>
        <v>34032.185645689744</v>
      </c>
      <c r="X76" s="28">
        <f t="shared" si="19"/>
        <v>60034.899228230788</v>
      </c>
      <c r="Y76" s="28">
        <f t="shared" si="19"/>
        <v>56715.070875264617</v>
      </c>
      <c r="AA76" s="606">
        <f t="shared" si="6"/>
        <v>884380.4080937953</v>
      </c>
      <c r="AB76" s="607">
        <f>AA76</f>
        <v>884380.4080937953</v>
      </c>
    </row>
    <row r="77" spans="1:28" outlineLevel="1">
      <c r="A77" s="16" t="s">
        <v>366</v>
      </c>
      <c r="B77" s="26"/>
      <c r="C77" s="145">
        <f>+C60</f>
        <v>0.99</v>
      </c>
      <c r="D77" s="28"/>
      <c r="E77" s="28"/>
      <c r="F77" s="28">
        <f t="shared" ref="F77:Y77" si="20">$C$77*F73</f>
        <v>58080.095231587547</v>
      </c>
      <c r="G77" s="95">
        <f t="shared" si="20"/>
        <v>51385.814574735829</v>
      </c>
      <c r="H77" s="28">
        <f t="shared" si="20"/>
        <v>52225.026413599015</v>
      </c>
      <c r="I77" s="28">
        <f t="shared" si="20"/>
        <v>60143.679073323387</v>
      </c>
      <c r="J77" s="28">
        <f t="shared" si="20"/>
        <v>61242.905577294179</v>
      </c>
      <c r="K77" s="28">
        <f t="shared" si="20"/>
        <v>62141.148126383487</v>
      </c>
      <c r="L77" s="28">
        <f t="shared" si="20"/>
        <v>69765.594828547313</v>
      </c>
      <c r="M77" s="28">
        <f t="shared" si="20"/>
        <v>58374.609819548321</v>
      </c>
      <c r="N77" s="28">
        <f t="shared" si="20"/>
        <v>51359.345500047639</v>
      </c>
      <c r="O77" s="28">
        <f t="shared" si="20"/>
        <v>67475.832030539459</v>
      </c>
      <c r="P77" s="28">
        <f t="shared" si="20"/>
        <v>59537.250801441674</v>
      </c>
      <c r="Q77" s="28">
        <f t="shared" si="20"/>
        <v>56909.259168738812</v>
      </c>
      <c r="R77" s="28">
        <f t="shared" si="20"/>
        <v>71959.504945602908</v>
      </c>
      <c r="S77" s="28">
        <f t="shared" si="20"/>
        <v>81131.363841059807</v>
      </c>
      <c r="T77" s="28">
        <f t="shared" si="20"/>
        <v>64461.722137120669</v>
      </c>
      <c r="U77" s="28">
        <f t="shared" si="20"/>
        <v>75141.434757269744</v>
      </c>
      <c r="V77" s="28">
        <f t="shared" si="20"/>
        <v>65362.812578518955</v>
      </c>
      <c r="W77" s="28">
        <f t="shared" si="20"/>
        <v>52742.982310973843</v>
      </c>
      <c r="X77" s="28">
        <f t="shared" si="20"/>
        <v>78747.452515385623</v>
      </c>
      <c r="Y77" s="28">
        <f t="shared" si="20"/>
        <v>75425.867540548716</v>
      </c>
      <c r="AA77" s="606">
        <f t="shared" si="6"/>
        <v>1273613.701772267</v>
      </c>
      <c r="AB77" s="607">
        <f>AA77</f>
        <v>1273613.701772267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39807.9</v>
      </c>
    </row>
    <row r="87" spans="1:30" s="105" customFormat="1">
      <c r="AA87" s="606">
        <f t="shared" si="6"/>
        <v>0</v>
      </c>
      <c r="AB87" s="607">
        <f t="shared" si="18"/>
        <v>0</v>
      </c>
    </row>
    <row r="88" spans="1:30" s="105" customFormat="1">
      <c r="A88" s="14" t="s">
        <v>34</v>
      </c>
      <c r="F88" s="165">
        <f>F69</f>
        <v>80019.834058097447</v>
      </c>
      <c r="G88" s="165">
        <f t="shared" ref="G88:Y88" si="22">G69</f>
        <v>60147.259191926365</v>
      </c>
      <c r="H88" s="165">
        <f t="shared" si="22"/>
        <v>62930.943563012144</v>
      </c>
      <c r="I88" s="165">
        <f t="shared" si="22"/>
        <v>76601.43866026873</v>
      </c>
      <c r="J88" s="165">
        <f t="shared" si="22"/>
        <v>79576.262361877278</v>
      </c>
      <c r="K88" s="165">
        <f t="shared" si="22"/>
        <v>82140.484133062477</v>
      </c>
      <c r="L88" s="165">
        <f t="shared" si="22"/>
        <v>95072.614024033508</v>
      </c>
      <c r="M88" s="165">
        <f t="shared" si="22"/>
        <v>78370.109899223404</v>
      </c>
      <c r="N88" s="165">
        <f t="shared" si="22"/>
        <v>67632.165832001279</v>
      </c>
      <c r="O88" s="165">
        <f t="shared" si="22"/>
        <v>92679.940738547564</v>
      </c>
      <c r="P88" s="165">
        <f t="shared" si="22"/>
        <v>80340.643378845154</v>
      </c>
      <c r="Q88" s="165">
        <f t="shared" si="22"/>
        <v>76259.470090838702</v>
      </c>
      <c r="R88" s="165">
        <f t="shared" si="22"/>
        <v>99644.845623073954</v>
      </c>
      <c r="S88" s="165">
        <f t="shared" si="22"/>
        <v>113900.65839281384</v>
      </c>
      <c r="T88" s="165">
        <f t="shared" si="22"/>
        <v>87993.27948712642</v>
      </c>
      <c r="U88" s="165">
        <f t="shared" si="22"/>
        <v>104592.29928824498</v>
      </c>
      <c r="V88" s="165">
        <f t="shared" si="22"/>
        <v>89393.57543335529</v>
      </c>
      <c r="W88" s="165">
        <f t="shared" si="22"/>
        <v>69785.069379471242</v>
      </c>
      <c r="X88" s="165">
        <f t="shared" si="22"/>
        <v>110193.32669499735</v>
      </c>
      <c r="Y88" s="165">
        <f t="shared" si="22"/>
        <v>105034.30827546949</v>
      </c>
      <c r="AA88" s="606">
        <f t="shared" si="6"/>
        <v>1712308.5285062867</v>
      </c>
      <c r="AB88" s="607">
        <f t="shared" si="18"/>
        <v>1695185.4432212238</v>
      </c>
    </row>
    <row r="89" spans="1:30" s="105" customFormat="1">
      <c r="A89" s="105" t="s">
        <v>53</v>
      </c>
      <c r="F89" s="110">
        <f>F125+F126</f>
        <v>-21353.071197908012</v>
      </c>
      <c r="G89" s="110">
        <f t="shared" ref="G89:Y89" si="23">G125+G126</f>
        <v>-8242.3959851225009</v>
      </c>
      <c r="H89" s="110">
        <f t="shared" si="23"/>
        <v>-10178.391630083845</v>
      </c>
      <c r="I89" s="110">
        <f t="shared" si="23"/>
        <v>-15850.247677113794</v>
      </c>
      <c r="J89" s="110">
        <f t="shared" si="23"/>
        <v>-17714.741576731642</v>
      </c>
      <c r="K89" s="110">
        <f t="shared" si="23"/>
        <v>-19371.647641766023</v>
      </c>
      <c r="L89" s="110">
        <f t="shared" si="23"/>
        <v>-24602.316217420059</v>
      </c>
      <c r="M89" s="110">
        <f t="shared" si="23"/>
        <v>-19405.857556245308</v>
      </c>
      <c r="N89" s="110">
        <f t="shared" si="23"/>
        <v>-15754.039064276387</v>
      </c>
      <c r="O89" s="110">
        <f t="shared" si="23"/>
        <v>-24522.534647093566</v>
      </c>
      <c r="P89" s="110">
        <f t="shared" si="23"/>
        <v>-20202.006205671743</v>
      </c>
      <c r="Q89" s="110">
        <f t="shared" si="23"/>
        <v>-18775.369920395464</v>
      </c>
      <c r="R89" s="110">
        <f t="shared" si="23"/>
        <v>-26958.476991151823</v>
      </c>
      <c r="S89" s="110">
        <f t="shared" si="23"/>
        <v>-31949.785826086762</v>
      </c>
      <c r="T89" s="110">
        <f t="shared" si="23"/>
        <v>-22880.428843570186</v>
      </c>
      <c r="U89" s="110">
        <f t="shared" si="23"/>
        <v>-28691.860139487657</v>
      </c>
      <c r="V89" s="110">
        <f t="shared" si="23"/>
        <v>-23370.53242475029</v>
      </c>
      <c r="W89" s="110">
        <f t="shared" si="23"/>
        <v>-16509.329671416854</v>
      </c>
      <c r="X89" s="110">
        <f t="shared" si="23"/>
        <v>-30650.44536632501</v>
      </c>
      <c r="Y89" s="110">
        <f t="shared" si="23"/>
        <v>-28846.56328501624</v>
      </c>
      <c r="AA89" s="606">
        <f t="shared" si="6"/>
        <v>-425830.04186763312</v>
      </c>
      <c r="AB89" s="607">
        <f t="shared" si="18"/>
        <v>-421571.74144895677</v>
      </c>
    </row>
    <row r="90" spans="1:30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262585.77068867371</v>
      </c>
      <c r="AA90" s="606">
        <f t="shared" si="6"/>
        <v>262585.77068867371</v>
      </c>
      <c r="AB90" s="607">
        <f t="shared" si="18"/>
        <v>259959.91298178697</v>
      </c>
    </row>
    <row r="91" spans="1:30" s="105" customFormat="1">
      <c r="A91" s="166" t="s">
        <v>55</v>
      </c>
      <c r="B91" s="166"/>
      <c r="C91" s="166"/>
      <c r="D91" s="148"/>
      <c r="E91" s="148">
        <v>-563290.64316834649</v>
      </c>
      <c r="F91" s="165">
        <f>F88+F89+F90</f>
        <v>58666.762860189439</v>
      </c>
      <c r="G91" s="165">
        <f t="shared" ref="G91:Y91" si="24">G88+G89+G90</f>
        <v>51904.863206803864</v>
      </c>
      <c r="H91" s="165">
        <f t="shared" si="24"/>
        <v>52752.551932928298</v>
      </c>
      <c r="I91" s="165">
        <f t="shared" si="24"/>
        <v>60751.190983154935</v>
      </c>
      <c r="J91" s="165">
        <f t="shared" si="24"/>
        <v>61861.520785145636</v>
      </c>
      <c r="K91" s="165">
        <f t="shared" si="24"/>
        <v>62768.836491296453</v>
      </c>
      <c r="L91" s="165">
        <f t="shared" si="24"/>
        <v>70470.297806613453</v>
      </c>
      <c r="M91" s="165">
        <f t="shared" si="24"/>
        <v>58964.252342978099</v>
      </c>
      <c r="N91" s="165">
        <f t="shared" si="24"/>
        <v>51878.126767724891</v>
      </c>
      <c r="O91" s="165">
        <f t="shared" si="24"/>
        <v>68157.406091454002</v>
      </c>
      <c r="P91" s="165">
        <f t="shared" si="24"/>
        <v>60138.637173173411</v>
      </c>
      <c r="Q91" s="165">
        <f t="shared" si="24"/>
        <v>57484.100170443242</v>
      </c>
      <c r="R91" s="165">
        <f t="shared" si="24"/>
        <v>72686.368631922131</v>
      </c>
      <c r="S91" s="165">
        <f t="shared" si="24"/>
        <v>81950.872566727077</v>
      </c>
      <c r="T91" s="165">
        <f t="shared" si="24"/>
        <v>65112.85064355623</v>
      </c>
      <c r="U91" s="165">
        <f t="shared" si="24"/>
        <v>75900.439148757316</v>
      </c>
      <c r="V91" s="165">
        <f t="shared" si="24"/>
        <v>66023.043008605004</v>
      </c>
      <c r="W91" s="165">
        <f t="shared" si="24"/>
        <v>53275.739708054389</v>
      </c>
      <c r="X91" s="165">
        <f t="shared" si="24"/>
        <v>79542.881328672345</v>
      </c>
      <c r="Y91" s="165">
        <f t="shared" si="24"/>
        <v>338773.51567912695</v>
      </c>
      <c r="AA91" s="606">
        <f t="shared" si="6"/>
        <v>1549064.257327327</v>
      </c>
      <c r="AB91" s="607">
        <f t="shared" si="18"/>
        <v>1533573.6147540538</v>
      </c>
    </row>
    <row r="92" spans="1:30" s="105" customFormat="1" ht="13.5" thickBot="1"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606">
        <f t="shared" si="6"/>
        <v>0</v>
      </c>
      <c r="AB92" s="607">
        <f t="shared" si="18"/>
        <v>0</v>
      </c>
      <c r="AC92" s="169"/>
      <c r="AD92" s="169"/>
    </row>
    <row r="93" spans="1:30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30" s="105" customFormat="1" ht="13.5" thickBot="1">
      <c r="A94" s="105" t="s">
        <v>57</v>
      </c>
      <c r="E94" s="169">
        <f>NPV(C95,E91:Y91)</f>
        <v>1.5874816612763837E-10</v>
      </c>
      <c r="R94" s="170"/>
      <c r="U94" s="171" t="s">
        <v>58</v>
      </c>
      <c r="V94" s="172"/>
      <c r="W94" s="172"/>
      <c r="X94" s="172"/>
      <c r="Y94" s="173">
        <f>Y39</f>
        <v>105034.30827546949</v>
      </c>
      <c r="AA94" s="606">
        <f t="shared" si="6"/>
        <v>105034.30827546949</v>
      </c>
      <c r="AB94" s="607">
        <f t="shared" si="18"/>
        <v>103983.96519271479</v>
      </c>
    </row>
    <row r="95" spans="1:30" s="105" customFormat="1" ht="13.5" thickBot="1">
      <c r="A95" s="105" t="s">
        <v>59</v>
      </c>
      <c r="C95" s="146">
        <v>0.1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0.495</v>
      </c>
    </row>
    <row r="96" spans="1:30" s="105" customFormat="1">
      <c r="U96" s="177" t="s">
        <v>61</v>
      </c>
      <c r="V96" s="172"/>
      <c r="W96" s="172"/>
      <c r="X96" s="172"/>
      <c r="Y96" s="178">
        <f>Y94*Y95</f>
        <v>52517.154137734746</v>
      </c>
      <c r="AA96" s="606">
        <f t="shared" si="6"/>
        <v>52517.154137734746</v>
      </c>
      <c r="AB96" s="607">
        <f t="shared" si="18"/>
        <v>51991.982596357397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4.95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262585.77068867371</v>
      </c>
      <c r="AA98" s="606">
        <f t="shared" si="6"/>
        <v>262585.77068867371</v>
      </c>
      <c r="AB98" s="607">
        <f t="shared" si="18"/>
        <v>259959.91298178697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563290.64316834649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563290.64316834649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506961.57885151188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39807.9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30</v>
      </c>
      <c r="C108" s="105" t="s">
        <v>0</v>
      </c>
      <c r="D108" s="184">
        <f>D104</f>
        <v>506961.57885151188</v>
      </c>
      <c r="F108" s="169">
        <f>ROUND(D108/$B$108,0)</f>
        <v>16899</v>
      </c>
      <c r="G108" s="169">
        <f>F108</f>
        <v>16899</v>
      </c>
      <c r="H108" s="169">
        <f t="shared" ref="H108:Y109" si="27">G108</f>
        <v>16899</v>
      </c>
      <c r="I108" s="169">
        <f t="shared" si="27"/>
        <v>16899</v>
      </c>
      <c r="J108" s="169">
        <f t="shared" si="27"/>
        <v>16899</v>
      </c>
      <c r="K108" s="169">
        <f t="shared" si="27"/>
        <v>16899</v>
      </c>
      <c r="L108" s="169">
        <f t="shared" si="27"/>
        <v>16899</v>
      </c>
      <c r="M108" s="169">
        <f t="shared" si="27"/>
        <v>16899</v>
      </c>
      <c r="N108" s="169">
        <f t="shared" si="27"/>
        <v>16899</v>
      </c>
      <c r="O108" s="169">
        <f t="shared" si="27"/>
        <v>16899</v>
      </c>
      <c r="P108" s="169">
        <f t="shared" si="27"/>
        <v>16899</v>
      </c>
      <c r="Q108" s="169">
        <f t="shared" si="27"/>
        <v>16899</v>
      </c>
      <c r="R108" s="169">
        <f t="shared" si="27"/>
        <v>16899</v>
      </c>
      <c r="S108" s="169">
        <f t="shared" si="27"/>
        <v>16899</v>
      </c>
      <c r="T108" s="169">
        <f t="shared" si="27"/>
        <v>16899</v>
      </c>
      <c r="U108" s="169">
        <f t="shared" si="27"/>
        <v>16899</v>
      </c>
      <c r="V108" s="169">
        <f t="shared" si="27"/>
        <v>16899</v>
      </c>
      <c r="W108" s="169">
        <f t="shared" si="27"/>
        <v>16899</v>
      </c>
      <c r="X108" s="169">
        <f t="shared" si="27"/>
        <v>16899</v>
      </c>
      <c r="Y108" s="169">
        <f t="shared" si="27"/>
        <v>16899</v>
      </c>
      <c r="AA108" s="606">
        <f t="shared" si="25"/>
        <v>337980</v>
      </c>
      <c r="AB108" s="607">
        <f t="shared" si="18"/>
        <v>334600.2</v>
      </c>
    </row>
    <row r="109" spans="1:28" s="105" customFormat="1">
      <c r="A109" s="199" t="s">
        <v>571</v>
      </c>
      <c r="D109" s="184">
        <f>D103*'FPLE_Valuation Summary'!V14</f>
        <v>76964.787257783115</v>
      </c>
      <c r="F109" s="169">
        <f>ROUND(D109/$B$108,0)</f>
        <v>2565</v>
      </c>
      <c r="G109" s="169">
        <f>F109</f>
        <v>2565</v>
      </c>
      <c r="H109" s="169">
        <f t="shared" si="27"/>
        <v>2565</v>
      </c>
      <c r="I109" s="169">
        <f t="shared" si="27"/>
        <v>2565</v>
      </c>
      <c r="J109" s="169">
        <f t="shared" si="27"/>
        <v>2565</v>
      </c>
      <c r="K109" s="169">
        <f t="shared" si="27"/>
        <v>2565</v>
      </c>
      <c r="L109" s="169">
        <f t="shared" si="27"/>
        <v>2565</v>
      </c>
      <c r="M109" s="169">
        <f t="shared" si="27"/>
        <v>2565</v>
      </c>
      <c r="N109" s="169">
        <f t="shared" si="27"/>
        <v>2565</v>
      </c>
      <c r="O109" s="169">
        <f t="shared" si="27"/>
        <v>2565</v>
      </c>
      <c r="P109" s="169">
        <f t="shared" si="27"/>
        <v>2565</v>
      </c>
      <c r="Q109" s="169">
        <f t="shared" si="27"/>
        <v>2565</v>
      </c>
      <c r="R109" s="169">
        <f t="shared" si="27"/>
        <v>2565</v>
      </c>
      <c r="S109" s="169">
        <f t="shared" si="27"/>
        <v>2565</v>
      </c>
      <c r="T109" s="169">
        <f t="shared" si="27"/>
        <v>2565</v>
      </c>
      <c r="U109" s="169">
        <f t="shared" si="27"/>
        <v>2565</v>
      </c>
      <c r="V109" s="169">
        <f t="shared" si="27"/>
        <v>2565</v>
      </c>
      <c r="W109" s="169">
        <f t="shared" si="27"/>
        <v>2565</v>
      </c>
      <c r="X109" s="169">
        <f t="shared" si="27"/>
        <v>2565</v>
      </c>
      <c r="Y109" s="169">
        <f t="shared" si="27"/>
        <v>2565</v>
      </c>
      <c r="AA109" s="606">
        <f t="shared" si="25"/>
        <v>51300</v>
      </c>
      <c r="AB109" s="607">
        <f t="shared" si="18"/>
        <v>50787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506961.57885151188</v>
      </c>
      <c r="AA112" s="606">
        <f t="shared" si="25"/>
        <v>0</v>
      </c>
      <c r="AB112" s="607">
        <f t="shared" si="18"/>
        <v>0</v>
      </c>
    </row>
    <row r="113" spans="1:28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92"/>
      <c r="AA113" s="606">
        <f t="shared" si="25"/>
        <v>0.97769000000000017</v>
      </c>
      <c r="AB113" s="607">
        <f t="shared" si="18"/>
        <v>0.96791310000000019</v>
      </c>
    </row>
    <row r="114" spans="1:28" s="105" customFormat="1">
      <c r="A114" s="105" t="s">
        <v>70</v>
      </c>
      <c r="F114" s="169">
        <f t="shared" ref="F114:Y114" si="28">$D$112*F113</f>
        <v>19011.059206931695</v>
      </c>
      <c r="G114" s="169">
        <f t="shared" si="28"/>
        <v>36597.556377290646</v>
      </c>
      <c r="H114" s="169">
        <f t="shared" si="28"/>
        <v>33849.824619915446</v>
      </c>
      <c r="I114" s="169">
        <f t="shared" si="28"/>
        <v>31315.016725657886</v>
      </c>
      <c r="J114" s="169">
        <f t="shared" si="28"/>
        <v>28962.714999786873</v>
      </c>
      <c r="K114" s="169">
        <f t="shared" si="28"/>
        <v>26792.919442302402</v>
      </c>
      <c r="L114" s="169">
        <f t="shared" si="28"/>
        <v>24780.281974261899</v>
      </c>
      <c r="M114" s="169">
        <f t="shared" si="28"/>
        <v>22924.802595665369</v>
      </c>
      <c r="N114" s="169">
        <f t="shared" si="28"/>
        <v>22620.62564835446</v>
      </c>
      <c r="O114" s="169">
        <f t="shared" si="28"/>
        <v>22615.556032565943</v>
      </c>
      <c r="P114" s="169">
        <f t="shared" si="28"/>
        <v>22620.62564835446</v>
      </c>
      <c r="Q114" s="169">
        <f t="shared" si="28"/>
        <v>22615.556032565943</v>
      </c>
      <c r="R114" s="169">
        <f t="shared" si="28"/>
        <v>22620.62564835446</v>
      </c>
      <c r="S114" s="169">
        <f t="shared" si="28"/>
        <v>22615.556032565943</v>
      </c>
      <c r="T114" s="169">
        <f t="shared" si="28"/>
        <v>22620.62564835446</v>
      </c>
      <c r="U114" s="169">
        <f t="shared" si="28"/>
        <v>22615.556032565943</v>
      </c>
      <c r="V114" s="169">
        <f t="shared" si="28"/>
        <v>22620.62564835446</v>
      </c>
      <c r="W114" s="169">
        <f t="shared" si="28"/>
        <v>22615.556032565943</v>
      </c>
      <c r="X114" s="169">
        <f t="shared" si="28"/>
        <v>22620.62564835446</v>
      </c>
      <c r="Y114" s="169">
        <f t="shared" si="28"/>
        <v>22615.556032565943</v>
      </c>
      <c r="AA114" s="606">
        <f t="shared" si="25"/>
        <v>495651.26602733467</v>
      </c>
      <c r="AB114" s="607">
        <f t="shared" si="18"/>
        <v>490694.75336706132</v>
      </c>
    </row>
    <row r="115" spans="1:28" s="105" customFormat="1">
      <c r="A115" s="199" t="s">
        <v>571</v>
      </c>
      <c r="D115" s="184">
        <f>D109</f>
        <v>76964.787257783115</v>
      </c>
      <c r="F115" s="169">
        <f>$D$115*F113</f>
        <v>2886.1795221668667</v>
      </c>
      <c r="G115" s="169">
        <f t="shared" ref="G115:Y115" si="29">$D$115*G113</f>
        <v>5556.0879921393635</v>
      </c>
      <c r="H115" s="169">
        <f t="shared" si="29"/>
        <v>5138.9388452021785</v>
      </c>
      <c r="I115" s="169">
        <f t="shared" si="29"/>
        <v>4754.1149089132632</v>
      </c>
      <c r="J115" s="169">
        <f t="shared" si="29"/>
        <v>4396.998296037149</v>
      </c>
      <c r="K115" s="169">
        <f t="shared" si="29"/>
        <v>4067.5890065738377</v>
      </c>
      <c r="L115" s="169">
        <f t="shared" si="29"/>
        <v>3762.0388011604387</v>
      </c>
      <c r="M115" s="169">
        <f t="shared" si="29"/>
        <v>3480.3476797969529</v>
      </c>
      <c r="N115" s="169">
        <f t="shared" si="29"/>
        <v>3434.1688074422827</v>
      </c>
      <c r="O115" s="169">
        <f t="shared" si="29"/>
        <v>3433.3991595697044</v>
      </c>
      <c r="P115" s="169">
        <f t="shared" si="29"/>
        <v>3434.1688074422827</v>
      </c>
      <c r="Q115" s="169">
        <f t="shared" si="29"/>
        <v>3433.3991595697044</v>
      </c>
      <c r="R115" s="169">
        <f t="shared" si="29"/>
        <v>3434.1688074422827</v>
      </c>
      <c r="S115" s="169">
        <f t="shared" si="29"/>
        <v>3433.3991595697044</v>
      </c>
      <c r="T115" s="169">
        <f t="shared" si="29"/>
        <v>3434.1688074422827</v>
      </c>
      <c r="U115" s="169">
        <f t="shared" si="29"/>
        <v>3433.3991595697044</v>
      </c>
      <c r="V115" s="169">
        <f t="shared" si="29"/>
        <v>3434.1688074422827</v>
      </c>
      <c r="W115" s="169">
        <f t="shared" si="29"/>
        <v>3433.3991595697044</v>
      </c>
      <c r="X115" s="169">
        <f t="shared" si="29"/>
        <v>3434.1688074422827</v>
      </c>
      <c r="Y115" s="169">
        <f t="shared" si="29"/>
        <v>3433.3991595697044</v>
      </c>
      <c r="AA115" s="606">
        <f t="shared" si="25"/>
        <v>75247.702854061965</v>
      </c>
      <c r="AB115" s="607">
        <f t="shared" si="18"/>
        <v>74495.225825521338</v>
      </c>
    </row>
    <row r="116" spans="1:28" s="105" customFormat="1">
      <c r="AA116" s="606">
        <f t="shared" si="25"/>
        <v>0</v>
      </c>
      <c r="AB116" s="607">
        <f t="shared" si="18"/>
        <v>0</v>
      </c>
    </row>
    <row r="117" spans="1:28" s="105" customFormat="1">
      <c r="AA117" s="606">
        <f t="shared" si="25"/>
        <v>0</v>
      </c>
      <c r="AB117" s="607">
        <f t="shared" si="18"/>
        <v>0</v>
      </c>
    </row>
    <row r="118" spans="1:28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39807.9</v>
      </c>
    </row>
    <row r="119" spans="1:28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5" customFormat="1">
      <c r="A120" s="187" t="str">
        <f>A64</f>
        <v>EBITDA</v>
      </c>
      <c r="F120" s="169">
        <f>F39</f>
        <v>80019.834058097447</v>
      </c>
      <c r="G120" s="169">
        <f t="shared" ref="G120:Y120" si="31">G39</f>
        <v>60147.259191926365</v>
      </c>
      <c r="H120" s="169">
        <f t="shared" si="31"/>
        <v>62930.943563012144</v>
      </c>
      <c r="I120" s="169">
        <f t="shared" si="31"/>
        <v>76601.43866026873</v>
      </c>
      <c r="J120" s="169">
        <f t="shared" si="31"/>
        <v>79576.262361877278</v>
      </c>
      <c r="K120" s="169">
        <f t="shared" si="31"/>
        <v>82140.484133062477</v>
      </c>
      <c r="L120" s="169">
        <f t="shared" si="31"/>
        <v>95072.614024033508</v>
      </c>
      <c r="M120" s="169">
        <f t="shared" si="31"/>
        <v>78370.109899223404</v>
      </c>
      <c r="N120" s="169">
        <f t="shared" si="31"/>
        <v>67632.165832001279</v>
      </c>
      <c r="O120" s="169">
        <f t="shared" si="31"/>
        <v>92679.940738547564</v>
      </c>
      <c r="P120" s="169">
        <f t="shared" si="31"/>
        <v>80340.643378845154</v>
      </c>
      <c r="Q120" s="169">
        <f t="shared" si="31"/>
        <v>76259.470090838702</v>
      </c>
      <c r="R120" s="169">
        <f t="shared" si="31"/>
        <v>99644.845623073954</v>
      </c>
      <c r="S120" s="169">
        <f t="shared" si="31"/>
        <v>113900.65839281384</v>
      </c>
      <c r="T120" s="169">
        <f t="shared" si="31"/>
        <v>87993.27948712642</v>
      </c>
      <c r="U120" s="169">
        <f t="shared" si="31"/>
        <v>104592.29928824498</v>
      </c>
      <c r="V120" s="169">
        <f t="shared" si="31"/>
        <v>89393.57543335529</v>
      </c>
      <c r="W120" s="169">
        <f t="shared" si="31"/>
        <v>69785.069379471242</v>
      </c>
      <c r="X120" s="169">
        <f t="shared" si="31"/>
        <v>110193.32669499735</v>
      </c>
      <c r="Y120" s="169">
        <f t="shared" si="31"/>
        <v>105034.30827546949</v>
      </c>
      <c r="AA120" s="606">
        <f t="shared" si="25"/>
        <v>1712308.5285062867</v>
      </c>
      <c r="AB120" s="607">
        <f t="shared" si="18"/>
        <v>1695185.4432212238</v>
      </c>
    </row>
    <row r="121" spans="1:28" s="105" customFormat="1">
      <c r="A121" s="105" t="s">
        <v>74</v>
      </c>
      <c r="F121" s="169">
        <f>-F114</f>
        <v>-19011.059206931695</v>
      </c>
      <c r="G121" s="169">
        <f t="shared" ref="G121:Y121" si="32">-G114</f>
        <v>-36597.556377290646</v>
      </c>
      <c r="H121" s="169">
        <f t="shared" si="32"/>
        <v>-33849.824619915446</v>
      </c>
      <c r="I121" s="169">
        <f t="shared" si="32"/>
        <v>-31315.016725657886</v>
      </c>
      <c r="J121" s="169">
        <f t="shared" si="32"/>
        <v>-28962.714999786873</v>
      </c>
      <c r="K121" s="169">
        <f t="shared" si="32"/>
        <v>-26792.919442302402</v>
      </c>
      <c r="L121" s="169">
        <f t="shared" si="32"/>
        <v>-24780.281974261899</v>
      </c>
      <c r="M121" s="169">
        <f t="shared" si="32"/>
        <v>-22924.802595665369</v>
      </c>
      <c r="N121" s="169">
        <f t="shared" si="32"/>
        <v>-22620.62564835446</v>
      </c>
      <c r="O121" s="169">
        <f t="shared" si="32"/>
        <v>-22615.556032565943</v>
      </c>
      <c r="P121" s="169">
        <f t="shared" si="32"/>
        <v>-22620.62564835446</v>
      </c>
      <c r="Q121" s="169">
        <f t="shared" si="32"/>
        <v>-22615.556032565943</v>
      </c>
      <c r="R121" s="169">
        <f t="shared" si="32"/>
        <v>-22620.62564835446</v>
      </c>
      <c r="S121" s="169">
        <f t="shared" si="32"/>
        <v>-22615.556032565943</v>
      </c>
      <c r="T121" s="169">
        <f t="shared" si="32"/>
        <v>-22620.62564835446</v>
      </c>
      <c r="U121" s="169">
        <f t="shared" si="32"/>
        <v>-22615.556032565943</v>
      </c>
      <c r="V121" s="169">
        <f t="shared" si="32"/>
        <v>-22620.62564835446</v>
      </c>
      <c r="W121" s="169">
        <f t="shared" si="32"/>
        <v>-22615.556032565943</v>
      </c>
      <c r="X121" s="169">
        <f t="shared" si="32"/>
        <v>-22620.62564835446</v>
      </c>
      <c r="Y121" s="169">
        <f t="shared" si="32"/>
        <v>-22615.556032565943</v>
      </c>
      <c r="AA121" s="606">
        <f t="shared" si="25"/>
        <v>-495651.26602733467</v>
      </c>
      <c r="AB121" s="607">
        <f t="shared" si="18"/>
        <v>-490694.75336706132</v>
      </c>
    </row>
    <row r="122" spans="1:28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28" s="105" customFormat="1">
      <c r="A123" s="105" t="s">
        <v>76</v>
      </c>
      <c r="F123" s="169">
        <f>SUM(F120:F122)</f>
        <v>61008.774851165756</v>
      </c>
      <c r="G123" s="169">
        <f t="shared" ref="G123:Y123" si="34">SUM(G120:G122)</f>
        <v>23549.702814635719</v>
      </c>
      <c r="H123" s="169">
        <f t="shared" si="34"/>
        <v>29081.118943096699</v>
      </c>
      <c r="I123" s="169">
        <f t="shared" si="34"/>
        <v>45286.421934610844</v>
      </c>
      <c r="J123" s="169">
        <f t="shared" si="34"/>
        <v>50613.547362090409</v>
      </c>
      <c r="K123" s="169">
        <f t="shared" si="34"/>
        <v>55347.564690760075</v>
      </c>
      <c r="L123" s="169">
        <f t="shared" si="34"/>
        <v>70292.332049771605</v>
      </c>
      <c r="M123" s="169">
        <f t="shared" si="34"/>
        <v>55445.307303558031</v>
      </c>
      <c r="N123" s="169">
        <f t="shared" si="34"/>
        <v>45011.540183646823</v>
      </c>
      <c r="O123" s="169">
        <f t="shared" si="34"/>
        <v>70064.384705981618</v>
      </c>
      <c r="P123" s="169">
        <f t="shared" si="34"/>
        <v>57720.017730490697</v>
      </c>
      <c r="Q123" s="169">
        <f t="shared" si="34"/>
        <v>53643.914058272756</v>
      </c>
      <c r="R123" s="169">
        <f t="shared" si="34"/>
        <v>77024.219974719497</v>
      </c>
      <c r="S123" s="169">
        <f t="shared" si="34"/>
        <v>91285.102360247896</v>
      </c>
      <c r="T123" s="169">
        <f t="shared" si="34"/>
        <v>65372.653838771963</v>
      </c>
      <c r="U123" s="169">
        <f t="shared" si="34"/>
        <v>81976.74325567903</v>
      </c>
      <c r="V123" s="169">
        <f t="shared" si="34"/>
        <v>66772.949785000834</v>
      </c>
      <c r="W123" s="169">
        <f t="shared" si="34"/>
        <v>47169.513346905296</v>
      </c>
      <c r="X123" s="169">
        <f t="shared" si="34"/>
        <v>87572.701046642891</v>
      </c>
      <c r="Y123" s="169">
        <f t="shared" si="34"/>
        <v>82418.752242903545</v>
      </c>
      <c r="AA123" s="606">
        <f t="shared" si="25"/>
        <v>1216657.2624789518</v>
      </c>
      <c r="AB123" s="607">
        <f t="shared" si="18"/>
        <v>1204490.6898541623</v>
      </c>
    </row>
    <row r="124" spans="1:28" s="105" customFormat="1">
      <c r="AA124" s="606">
        <f t="shared" si="25"/>
        <v>0</v>
      </c>
      <c r="AB124" s="607">
        <f t="shared" si="18"/>
        <v>0</v>
      </c>
    </row>
    <row r="125" spans="1:28" s="105" customFormat="1">
      <c r="A125" s="105" t="s">
        <v>88</v>
      </c>
      <c r="C125" s="189">
        <f>C51</f>
        <v>0</v>
      </c>
      <c r="F125" s="169">
        <f>-F123*$C$125</f>
        <v>0</v>
      </c>
      <c r="G125" s="169">
        <f t="shared" ref="G125:Y125" si="35">-G123*$C$125</f>
        <v>0</v>
      </c>
      <c r="H125" s="169">
        <f t="shared" si="35"/>
        <v>0</v>
      </c>
      <c r="I125" s="169">
        <f t="shared" si="35"/>
        <v>0</v>
      </c>
      <c r="J125" s="169">
        <f t="shared" si="35"/>
        <v>0</v>
      </c>
      <c r="K125" s="169">
        <f t="shared" si="35"/>
        <v>0</v>
      </c>
      <c r="L125" s="169">
        <f t="shared" si="35"/>
        <v>0</v>
      </c>
      <c r="M125" s="169">
        <f t="shared" si="35"/>
        <v>0</v>
      </c>
      <c r="N125" s="169">
        <f t="shared" si="35"/>
        <v>0</v>
      </c>
      <c r="O125" s="169">
        <f t="shared" si="35"/>
        <v>0</v>
      </c>
      <c r="P125" s="169">
        <f t="shared" si="35"/>
        <v>0</v>
      </c>
      <c r="Q125" s="169">
        <f t="shared" si="35"/>
        <v>0</v>
      </c>
      <c r="R125" s="169">
        <f t="shared" si="35"/>
        <v>0</v>
      </c>
      <c r="S125" s="169">
        <f t="shared" si="35"/>
        <v>0</v>
      </c>
      <c r="T125" s="169">
        <f t="shared" si="35"/>
        <v>0</v>
      </c>
      <c r="U125" s="169">
        <f t="shared" si="35"/>
        <v>0</v>
      </c>
      <c r="V125" s="169">
        <f t="shared" si="35"/>
        <v>0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0</v>
      </c>
      <c r="AB125" s="607">
        <f t="shared" si="18"/>
        <v>0</v>
      </c>
    </row>
    <row r="126" spans="1:28" s="105" customFormat="1">
      <c r="A126" s="105" t="s">
        <v>77</v>
      </c>
      <c r="C126" s="189">
        <f>C52</f>
        <v>0.35</v>
      </c>
      <c r="F126" s="169">
        <f>-(F123+F125)*$C$126</f>
        <v>-21353.071197908012</v>
      </c>
      <c r="G126" s="169">
        <f t="shared" ref="G126:Y126" si="36">-(G123+G125)*$C$126</f>
        <v>-8242.3959851225009</v>
      </c>
      <c r="H126" s="169">
        <f t="shared" si="36"/>
        <v>-10178.391630083845</v>
      </c>
      <c r="I126" s="169">
        <f t="shared" si="36"/>
        <v>-15850.247677113794</v>
      </c>
      <c r="J126" s="169">
        <f t="shared" si="36"/>
        <v>-17714.741576731642</v>
      </c>
      <c r="K126" s="169">
        <f t="shared" si="36"/>
        <v>-19371.647641766023</v>
      </c>
      <c r="L126" s="169">
        <f t="shared" si="36"/>
        <v>-24602.316217420059</v>
      </c>
      <c r="M126" s="169">
        <f t="shared" si="36"/>
        <v>-19405.857556245308</v>
      </c>
      <c r="N126" s="169">
        <f t="shared" si="36"/>
        <v>-15754.039064276387</v>
      </c>
      <c r="O126" s="169">
        <f t="shared" si="36"/>
        <v>-24522.534647093566</v>
      </c>
      <c r="P126" s="169">
        <f t="shared" si="36"/>
        <v>-20202.006205671743</v>
      </c>
      <c r="Q126" s="169">
        <f t="shared" si="36"/>
        <v>-18775.369920395464</v>
      </c>
      <c r="R126" s="169">
        <f t="shared" si="36"/>
        <v>-26958.476991151823</v>
      </c>
      <c r="S126" s="169">
        <f t="shared" si="36"/>
        <v>-31949.785826086762</v>
      </c>
      <c r="T126" s="169">
        <f t="shared" si="36"/>
        <v>-22880.428843570186</v>
      </c>
      <c r="U126" s="169">
        <f t="shared" si="36"/>
        <v>-28691.860139487657</v>
      </c>
      <c r="V126" s="169">
        <f t="shared" si="36"/>
        <v>-23370.53242475029</v>
      </c>
      <c r="W126" s="169">
        <f t="shared" si="36"/>
        <v>-16509.329671416854</v>
      </c>
      <c r="X126" s="169">
        <f t="shared" si="36"/>
        <v>-30650.44536632501</v>
      </c>
      <c r="Y126" s="169">
        <f t="shared" si="36"/>
        <v>-28846.56328501624</v>
      </c>
      <c r="AA126" s="606">
        <f t="shared" si="25"/>
        <v>-425830.04186763312</v>
      </c>
      <c r="AB126" s="607">
        <f t="shared" si="18"/>
        <v>-421571.74144895677</v>
      </c>
    </row>
    <row r="127" spans="1:28" s="105" customFormat="1">
      <c r="AA127" s="606">
        <f t="shared" si="25"/>
        <v>0</v>
      </c>
      <c r="AB127" s="607">
        <f t="shared" si="18"/>
        <v>0</v>
      </c>
    </row>
    <row r="128" spans="1:28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 t="shared" ref="F137:Y137" si="39">SUM(F33:F35)</f>
        <v>1500.5542753931934</v>
      </c>
      <c r="G137" s="188">
        <f t="shared" si="39"/>
        <v>2376.2618576428958</v>
      </c>
      <c r="H137" s="188">
        <f t="shared" si="39"/>
        <v>2429.9082129216413</v>
      </c>
      <c r="I137" s="188">
        <f t="shared" si="39"/>
        <v>2582.9454416429571</v>
      </c>
      <c r="J137" s="188">
        <f t="shared" si="39"/>
        <v>3127.6444780322659</v>
      </c>
      <c r="K137" s="188">
        <f t="shared" si="39"/>
        <v>3879.1233077299071</v>
      </c>
      <c r="L137" s="188">
        <f t="shared" si="39"/>
        <v>3933.4879342186623</v>
      </c>
      <c r="M137" s="188">
        <f t="shared" si="39"/>
        <v>4079.5406995346207</v>
      </c>
      <c r="N137" s="188">
        <f t="shared" si="39"/>
        <v>3838.3330771370001</v>
      </c>
      <c r="O137" s="188">
        <f t="shared" si="39"/>
        <v>4018.3036471947498</v>
      </c>
      <c r="P137" s="188">
        <f t="shared" si="39"/>
        <v>3975.4326640617619</v>
      </c>
      <c r="Q137" s="188">
        <f t="shared" si="39"/>
        <v>3967.6241072491621</v>
      </c>
      <c r="R137" s="188">
        <f t="shared" si="39"/>
        <v>4118.3257324563347</v>
      </c>
      <c r="S137" s="188">
        <f t="shared" si="39"/>
        <v>4918.9829437679091</v>
      </c>
      <c r="T137" s="188">
        <f t="shared" si="39"/>
        <v>4265.0705232012124</v>
      </c>
      <c r="U137" s="188">
        <f t="shared" si="39"/>
        <v>4367.1626373344543</v>
      </c>
      <c r="V137" s="188">
        <f t="shared" si="39"/>
        <v>4618.6508150752188</v>
      </c>
      <c r="W137" s="188">
        <f t="shared" si="39"/>
        <v>4298.659481640907</v>
      </c>
      <c r="X137" s="188">
        <f t="shared" si="39"/>
        <v>4739.8191642416941</v>
      </c>
      <c r="Y137" s="188">
        <f t="shared" si="39"/>
        <v>4509.4829003941713</v>
      </c>
      <c r="AA137" s="606">
        <f t="shared" si="25"/>
        <v>75545.313900870722</v>
      </c>
      <c r="AB137" s="607">
        <f t="shared" si="38"/>
        <v>75545.313900870722</v>
      </c>
    </row>
    <row r="138" spans="1:28" s="105" customFormat="1">
      <c r="A138" s="105" t="s">
        <v>79</v>
      </c>
      <c r="F138" s="169">
        <f>F136+F137</f>
        <v>1500.5542753931934</v>
      </c>
      <c r="G138" s="169">
        <f t="shared" ref="G138:Y138" si="40">G136+G137</f>
        <v>2376.2618576428958</v>
      </c>
      <c r="H138" s="169">
        <f t="shared" si="40"/>
        <v>2429.9082129216413</v>
      </c>
      <c r="I138" s="169">
        <f t="shared" si="40"/>
        <v>2582.9454416429571</v>
      </c>
      <c r="J138" s="169">
        <f t="shared" si="40"/>
        <v>3127.6444780322659</v>
      </c>
      <c r="K138" s="169">
        <f t="shared" si="40"/>
        <v>3879.1233077299071</v>
      </c>
      <c r="L138" s="169">
        <f t="shared" si="40"/>
        <v>3933.4879342186623</v>
      </c>
      <c r="M138" s="169">
        <f t="shared" si="40"/>
        <v>4079.5406995346207</v>
      </c>
      <c r="N138" s="169">
        <f t="shared" si="40"/>
        <v>3838.3330771370001</v>
      </c>
      <c r="O138" s="169">
        <f t="shared" si="40"/>
        <v>4018.3036471947498</v>
      </c>
      <c r="P138" s="169">
        <f t="shared" si="40"/>
        <v>3975.4326640617619</v>
      </c>
      <c r="Q138" s="169">
        <f t="shared" si="40"/>
        <v>3967.6241072491621</v>
      </c>
      <c r="R138" s="169">
        <f t="shared" si="40"/>
        <v>4118.3257324563347</v>
      </c>
      <c r="S138" s="169">
        <f t="shared" si="40"/>
        <v>4918.9829437679091</v>
      </c>
      <c r="T138" s="169">
        <f t="shared" si="40"/>
        <v>4265.0705232012124</v>
      </c>
      <c r="U138" s="169">
        <f t="shared" si="40"/>
        <v>4367.1626373344543</v>
      </c>
      <c r="V138" s="169">
        <f t="shared" si="40"/>
        <v>4618.6508150752188</v>
      </c>
      <c r="W138" s="169">
        <f t="shared" si="40"/>
        <v>4298.659481640907</v>
      </c>
      <c r="X138" s="169">
        <f t="shared" si="40"/>
        <v>4739.8191642416941</v>
      </c>
      <c r="Y138" s="169">
        <f t="shared" si="40"/>
        <v>4509.4829003941713</v>
      </c>
      <c r="AA138" s="606">
        <f t="shared" si="25"/>
        <v>75545.313900870722</v>
      </c>
      <c r="AB138" s="607">
        <f t="shared" si="38"/>
        <v>75545.313900870722</v>
      </c>
    </row>
    <row r="139" spans="1:28" s="105" customFormat="1">
      <c r="A139" s="105" t="s">
        <v>80</v>
      </c>
      <c r="C139" s="189">
        <f>C125</f>
        <v>0</v>
      </c>
      <c r="F139" s="169">
        <f>F138*$C$139</f>
        <v>0</v>
      </c>
      <c r="G139" s="169">
        <f t="shared" ref="G139:Y139" si="41">G138*$C$139</f>
        <v>0</v>
      </c>
      <c r="H139" s="169">
        <f t="shared" si="41"/>
        <v>0</v>
      </c>
      <c r="I139" s="169">
        <f t="shared" si="41"/>
        <v>0</v>
      </c>
      <c r="J139" s="169">
        <f t="shared" si="41"/>
        <v>0</v>
      </c>
      <c r="K139" s="169">
        <f t="shared" si="41"/>
        <v>0</v>
      </c>
      <c r="L139" s="169">
        <f t="shared" si="41"/>
        <v>0</v>
      </c>
      <c r="M139" s="169">
        <f t="shared" si="41"/>
        <v>0</v>
      </c>
      <c r="N139" s="169">
        <f t="shared" si="41"/>
        <v>0</v>
      </c>
      <c r="O139" s="169">
        <f t="shared" si="41"/>
        <v>0</v>
      </c>
      <c r="P139" s="169">
        <f t="shared" si="41"/>
        <v>0</v>
      </c>
      <c r="Q139" s="169">
        <f t="shared" si="41"/>
        <v>0</v>
      </c>
      <c r="R139" s="169">
        <f t="shared" si="41"/>
        <v>0</v>
      </c>
      <c r="S139" s="169">
        <f t="shared" si="41"/>
        <v>0</v>
      </c>
      <c r="T139" s="169">
        <f t="shared" si="41"/>
        <v>0</v>
      </c>
      <c r="U139" s="169">
        <f t="shared" si="41"/>
        <v>0</v>
      </c>
      <c r="V139" s="169">
        <f t="shared" si="41"/>
        <v>0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0</v>
      </c>
      <c r="AB139" s="607">
        <f t="shared" si="38"/>
        <v>0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525.19399638761763</v>
      </c>
      <c r="G140" s="188">
        <f t="shared" ref="G140:Y140" si="42">(G138-G139)*$C$140</f>
        <v>831.69165017501348</v>
      </c>
      <c r="H140" s="188">
        <f t="shared" si="42"/>
        <v>850.46787452257445</v>
      </c>
      <c r="I140" s="188">
        <f t="shared" si="42"/>
        <v>904.03090457503492</v>
      </c>
      <c r="J140" s="188">
        <f t="shared" si="42"/>
        <v>1094.675567311293</v>
      </c>
      <c r="K140" s="188">
        <f t="shared" si="42"/>
        <v>1357.6931577054675</v>
      </c>
      <c r="L140" s="188">
        <f t="shared" si="42"/>
        <v>1376.7207769765316</v>
      </c>
      <c r="M140" s="188">
        <f t="shared" si="42"/>
        <v>1427.8392448371171</v>
      </c>
      <c r="N140" s="188">
        <f t="shared" si="42"/>
        <v>1343.41657699795</v>
      </c>
      <c r="O140" s="188">
        <f t="shared" si="42"/>
        <v>1406.4062765181623</v>
      </c>
      <c r="P140" s="188">
        <f t="shared" si="42"/>
        <v>1391.4014324216166</v>
      </c>
      <c r="Q140" s="188">
        <f t="shared" si="42"/>
        <v>1388.6684375372067</v>
      </c>
      <c r="R140" s="188">
        <f t="shared" si="42"/>
        <v>1441.414006359717</v>
      </c>
      <c r="S140" s="188">
        <f t="shared" si="42"/>
        <v>1721.644030318768</v>
      </c>
      <c r="T140" s="188">
        <f t="shared" si="42"/>
        <v>1492.7746831204242</v>
      </c>
      <c r="U140" s="188">
        <f t="shared" si="42"/>
        <v>1528.506923067059</v>
      </c>
      <c r="V140" s="188">
        <f t="shared" si="42"/>
        <v>1616.5277852763265</v>
      </c>
      <c r="W140" s="188">
        <f t="shared" si="42"/>
        <v>1504.5308185743174</v>
      </c>
      <c r="X140" s="188">
        <f t="shared" si="42"/>
        <v>1658.9367074845929</v>
      </c>
      <c r="Y140" s="188">
        <f t="shared" si="42"/>
        <v>1578.3190151379599</v>
      </c>
      <c r="AA140" s="606">
        <f t="shared" si="25"/>
        <v>26440.859865304748</v>
      </c>
      <c r="AB140" s="607">
        <f t="shared" si="38"/>
        <v>26440.859865304748</v>
      </c>
    </row>
    <row r="141" spans="1:28" s="105" customFormat="1">
      <c r="A141" s="105" t="s">
        <v>82</v>
      </c>
      <c r="F141" s="169">
        <f>F138-F139-F140</f>
        <v>975.36027900557576</v>
      </c>
      <c r="G141" s="169">
        <f t="shared" ref="G141:Y141" si="43">G138-G139-G140</f>
        <v>1544.5702074678825</v>
      </c>
      <c r="H141" s="169">
        <f t="shared" si="43"/>
        <v>1579.4403383990668</v>
      </c>
      <c r="I141" s="169">
        <f t="shared" si="43"/>
        <v>1678.9145370679221</v>
      </c>
      <c r="J141" s="169">
        <f t="shared" si="43"/>
        <v>2032.9689107209729</v>
      </c>
      <c r="K141" s="169">
        <f t="shared" si="43"/>
        <v>2521.4301500244396</v>
      </c>
      <c r="L141" s="169">
        <f t="shared" si="43"/>
        <v>2556.7671572421305</v>
      </c>
      <c r="M141" s="169">
        <f t="shared" si="43"/>
        <v>2651.7014546975033</v>
      </c>
      <c r="N141" s="169">
        <f t="shared" si="43"/>
        <v>2494.9165001390502</v>
      </c>
      <c r="O141" s="169">
        <f t="shared" si="43"/>
        <v>2611.8973706765873</v>
      </c>
      <c r="P141" s="169">
        <f t="shared" si="43"/>
        <v>2584.0312316401451</v>
      </c>
      <c r="Q141" s="169">
        <f t="shared" si="43"/>
        <v>2578.9556697119551</v>
      </c>
      <c r="R141" s="169">
        <f t="shared" si="43"/>
        <v>2676.9117260966177</v>
      </c>
      <c r="S141" s="169">
        <f t="shared" si="43"/>
        <v>3197.3389134491408</v>
      </c>
      <c r="T141" s="169">
        <f t="shared" si="43"/>
        <v>2772.2958400807884</v>
      </c>
      <c r="U141" s="169">
        <f t="shared" si="43"/>
        <v>2838.6557142673955</v>
      </c>
      <c r="V141" s="169">
        <f t="shared" si="43"/>
        <v>3002.1230297988923</v>
      </c>
      <c r="W141" s="169">
        <f t="shared" si="43"/>
        <v>2794.1286630665895</v>
      </c>
      <c r="X141" s="169">
        <f t="shared" si="43"/>
        <v>3080.882456757101</v>
      </c>
      <c r="Y141" s="169">
        <f t="shared" si="43"/>
        <v>2931.1638852562114</v>
      </c>
      <c r="AA141" s="606">
        <f t="shared" si="25"/>
        <v>49104.45403556597</v>
      </c>
      <c r="AB141" s="607">
        <f t="shared" si="38"/>
        <v>49104.45403556597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40618.256716385709</v>
      </c>
      <c r="G143" s="190">
        <f t="shared" ref="G143:Y143" si="44">G76</f>
        <v>27830.254790004619</v>
      </c>
      <c r="H143" s="190">
        <f t="shared" si="44"/>
        <v>29621.555682798316</v>
      </c>
      <c r="I143" s="190">
        <f t="shared" si="44"/>
        <v>38418.51927788293</v>
      </c>
      <c r="J143" s="190">
        <f t="shared" si="44"/>
        <v>40332.818329868023</v>
      </c>
      <c r="K143" s="190">
        <f t="shared" si="44"/>
        <v>41982.895039625706</v>
      </c>
      <c r="L143" s="190">
        <f t="shared" si="44"/>
        <v>50304.720624465561</v>
      </c>
      <c r="M143" s="190">
        <f t="shared" si="44"/>
        <v>39556.659220150264</v>
      </c>
      <c r="N143" s="190">
        <f t="shared" si="44"/>
        <v>32646.792212892826</v>
      </c>
      <c r="O143" s="190">
        <f t="shared" si="44"/>
        <v>48765.035365255353</v>
      </c>
      <c r="P143" s="190">
        <f t="shared" si="44"/>
        <v>40824.697514286861</v>
      </c>
      <c r="Q143" s="190">
        <f t="shared" si="44"/>
        <v>38198.462503454706</v>
      </c>
      <c r="R143" s="190">
        <f t="shared" si="44"/>
        <v>53246.951658448095</v>
      </c>
      <c r="S143" s="190">
        <f t="shared" si="44"/>
        <v>62420.567175775708</v>
      </c>
      <c r="T143" s="190">
        <f t="shared" si="44"/>
        <v>45749.168849965848</v>
      </c>
      <c r="U143" s="190">
        <f t="shared" si="44"/>
        <v>56430.638091985646</v>
      </c>
      <c r="V143" s="190">
        <f t="shared" si="44"/>
        <v>46650.259291364127</v>
      </c>
      <c r="W143" s="190">
        <f t="shared" si="44"/>
        <v>34032.185645689744</v>
      </c>
      <c r="X143" s="190">
        <f t="shared" si="44"/>
        <v>60034.899228230788</v>
      </c>
      <c r="Y143" s="190">
        <f t="shared" si="44"/>
        <v>56715.070875264617</v>
      </c>
      <c r="AA143" s="606">
        <f t="shared" si="25"/>
        <v>884380.4080937953</v>
      </c>
      <c r="AB143" s="607">
        <f t="shared" si="38"/>
        <v>884380.4080937953</v>
      </c>
    </row>
    <row r="144" spans="1:28" s="105" customFormat="1">
      <c r="A144" s="124" t="s">
        <v>91</v>
      </c>
      <c r="F144" s="183">
        <f>F141+F143</f>
        <v>41593.616995391283</v>
      </c>
      <c r="G144" s="183">
        <f t="shared" ref="G144:Y144" si="45">G141+G143</f>
        <v>29374.8249974725</v>
      </c>
      <c r="H144" s="183">
        <f t="shared" si="45"/>
        <v>31200.996021197385</v>
      </c>
      <c r="I144" s="183">
        <f t="shared" si="45"/>
        <v>40097.433814950855</v>
      </c>
      <c r="J144" s="183">
        <f t="shared" si="45"/>
        <v>42365.787240588994</v>
      </c>
      <c r="K144" s="183">
        <f t="shared" si="45"/>
        <v>44504.325189650146</v>
      </c>
      <c r="L144" s="183">
        <f t="shared" si="45"/>
        <v>52861.487781707692</v>
      </c>
      <c r="M144" s="183">
        <f t="shared" si="45"/>
        <v>42208.360674847769</v>
      </c>
      <c r="N144" s="183">
        <f t="shared" si="45"/>
        <v>35141.708713031876</v>
      </c>
      <c r="O144" s="183">
        <f t="shared" si="45"/>
        <v>51376.932735931943</v>
      </c>
      <c r="P144" s="183">
        <f t="shared" si="45"/>
        <v>43408.728745927008</v>
      </c>
      <c r="Q144" s="183">
        <f t="shared" si="45"/>
        <v>40777.418173166661</v>
      </c>
      <c r="R144" s="183">
        <f t="shared" si="45"/>
        <v>55923.863384544711</v>
      </c>
      <c r="S144" s="183">
        <f t="shared" si="45"/>
        <v>65617.906089224853</v>
      </c>
      <c r="T144" s="183">
        <f t="shared" si="45"/>
        <v>48521.46469004664</v>
      </c>
      <c r="U144" s="183">
        <f t="shared" si="45"/>
        <v>59269.293806253045</v>
      </c>
      <c r="V144" s="183">
        <f t="shared" si="45"/>
        <v>49652.382321163022</v>
      </c>
      <c r="W144" s="183">
        <f t="shared" si="45"/>
        <v>36826.314308756337</v>
      </c>
      <c r="X144" s="183">
        <f t="shared" si="45"/>
        <v>63115.781684987887</v>
      </c>
      <c r="Y144" s="183">
        <f t="shared" si="45"/>
        <v>59646.234760520827</v>
      </c>
      <c r="AA144" s="606">
        <f t="shared" si="25"/>
        <v>933484.86212936149</v>
      </c>
      <c r="AB144" s="607">
        <f t="shared" si="38"/>
        <v>933484.86212936149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975.36027900557576</v>
      </c>
      <c r="G149" s="165">
        <f t="shared" ref="G149:Y149" si="46">+G137*(1-($C$139+$C$140*(1-$C$139)))</f>
        <v>1544.5702074678823</v>
      </c>
      <c r="H149" s="165">
        <f t="shared" si="46"/>
        <v>1579.4403383990668</v>
      </c>
      <c r="I149" s="165">
        <f t="shared" si="46"/>
        <v>1678.9145370679221</v>
      </c>
      <c r="J149" s="165">
        <f t="shared" si="46"/>
        <v>2032.9689107209729</v>
      </c>
      <c r="K149" s="165">
        <f t="shared" si="46"/>
        <v>2521.4301500244396</v>
      </c>
      <c r="L149" s="165">
        <f t="shared" si="46"/>
        <v>2556.7671572421305</v>
      </c>
      <c r="M149" s="165">
        <f t="shared" si="46"/>
        <v>2651.7014546975033</v>
      </c>
      <c r="N149" s="165">
        <f t="shared" si="46"/>
        <v>2494.9165001390502</v>
      </c>
      <c r="O149" s="165">
        <f t="shared" si="46"/>
        <v>2611.8973706765873</v>
      </c>
      <c r="P149" s="165">
        <f t="shared" si="46"/>
        <v>2584.0312316401455</v>
      </c>
      <c r="Q149" s="165">
        <f t="shared" si="46"/>
        <v>2578.9556697119556</v>
      </c>
      <c r="R149" s="165">
        <f t="shared" si="46"/>
        <v>2676.9117260966177</v>
      </c>
      <c r="S149" s="165">
        <f t="shared" si="46"/>
        <v>3197.3389134491408</v>
      </c>
      <c r="T149" s="165">
        <f t="shared" si="46"/>
        <v>2772.2958400807884</v>
      </c>
      <c r="U149" s="165">
        <f t="shared" si="46"/>
        <v>2838.6557142673955</v>
      </c>
      <c r="V149" s="165">
        <f t="shared" si="46"/>
        <v>3002.1230297988923</v>
      </c>
      <c r="W149" s="165">
        <f t="shared" si="46"/>
        <v>2794.1286630665895</v>
      </c>
      <c r="X149" s="165">
        <f t="shared" si="46"/>
        <v>3080.8824567571014</v>
      </c>
      <c r="Y149" s="165">
        <f t="shared" si="46"/>
        <v>2931.1638852562114</v>
      </c>
      <c r="AA149" s="606">
        <f t="shared" si="25"/>
        <v>49104.45403556597</v>
      </c>
      <c r="AB149" s="607">
        <f t="shared" si="38"/>
        <v>49104.45403556597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975.36027900557576</v>
      </c>
      <c r="G151" s="260">
        <f t="shared" ref="G151:Y151" si="47">+G149+G150</f>
        <v>1544.5702074678823</v>
      </c>
      <c r="H151" s="260">
        <f t="shared" si="47"/>
        <v>1579.4403383990668</v>
      </c>
      <c r="I151" s="260">
        <f t="shared" si="47"/>
        <v>1678.9145370679221</v>
      </c>
      <c r="J151" s="260">
        <f t="shared" si="47"/>
        <v>2032.9689107209729</v>
      </c>
      <c r="K151" s="260">
        <f t="shared" si="47"/>
        <v>2521.4301500244396</v>
      </c>
      <c r="L151" s="260">
        <f t="shared" si="47"/>
        <v>2556.7671572421305</v>
      </c>
      <c r="M151" s="260">
        <f t="shared" si="47"/>
        <v>2651.7014546975033</v>
      </c>
      <c r="N151" s="260">
        <f t="shared" si="47"/>
        <v>2494.9165001390502</v>
      </c>
      <c r="O151" s="260">
        <f t="shared" si="47"/>
        <v>2611.8973706765873</v>
      </c>
      <c r="P151" s="260">
        <f t="shared" si="47"/>
        <v>2584.0312316401455</v>
      </c>
      <c r="Q151" s="260">
        <f t="shared" si="47"/>
        <v>2578.9556697119556</v>
      </c>
      <c r="R151" s="260">
        <f t="shared" si="47"/>
        <v>2676.9117260966177</v>
      </c>
      <c r="S151" s="260">
        <f t="shared" si="47"/>
        <v>3197.3389134491408</v>
      </c>
      <c r="T151" s="260">
        <f t="shared" si="47"/>
        <v>2772.2958400807884</v>
      </c>
      <c r="U151" s="260">
        <f t="shared" si="47"/>
        <v>2838.6557142673955</v>
      </c>
      <c r="V151" s="260">
        <f t="shared" si="47"/>
        <v>3002.1230297988923</v>
      </c>
      <c r="W151" s="260">
        <f t="shared" si="47"/>
        <v>2794.1286630665895</v>
      </c>
      <c r="X151" s="260">
        <f t="shared" si="47"/>
        <v>3080.8824567571014</v>
      </c>
      <c r="Y151" s="260">
        <f t="shared" si="47"/>
        <v>2931.1638852562114</v>
      </c>
      <c r="AA151" s="606">
        <f t="shared" si="25"/>
        <v>49104.45403556597</v>
      </c>
      <c r="AB151" s="607">
        <f t="shared" si="38"/>
        <v>49104.45403556597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18458.498014695018</v>
      </c>
    </row>
    <row r="155" spans="1:28" s="166" customFormat="1" ht="13.5" thickBot="1">
      <c r="A155" s="105" t="s">
        <v>59</v>
      </c>
      <c r="B155" s="105"/>
      <c r="C155" s="146">
        <v>0.1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557657.73673666304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/>
    </row>
    <row r="161" spans="1:25" s="105" customFormat="1">
      <c r="A161" s="134" t="s">
        <v>86</v>
      </c>
      <c r="B161" s="135"/>
      <c r="C161" s="135"/>
      <c r="D161" s="139">
        <f>C154-D160</f>
        <v>18458.498014695018</v>
      </c>
    </row>
    <row r="162" spans="1:25" s="105" customFormat="1" ht="13.5" thickBot="1">
      <c r="A162" s="140" t="s">
        <v>87</v>
      </c>
      <c r="B162" s="109"/>
      <c r="C162" s="109"/>
      <c r="D162" s="198">
        <f>SUM(D159:D161)</f>
        <v>576116.23475135805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0.7109375" style="520" customWidth="1"/>
    <col min="29" max="16384" width="9.140625" style="8"/>
  </cols>
  <sheetData>
    <row r="2" spans="1:28" ht="18.75">
      <c r="A2" s="270" t="s">
        <v>108</v>
      </c>
      <c r="B2" s="592"/>
      <c r="C2" s="592"/>
      <c r="D2" s="594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8">
      <c r="A8" s="1" t="s">
        <v>6</v>
      </c>
      <c r="B8" s="12"/>
      <c r="C8" s="12"/>
      <c r="D8" s="12"/>
      <c r="Z8" s="22"/>
      <c r="AB8" s="533"/>
    </row>
    <row r="9" spans="1:28">
      <c r="A9" s="101" t="s">
        <v>7</v>
      </c>
      <c r="B9" s="12"/>
      <c r="C9" s="12"/>
      <c r="D9" s="12"/>
      <c r="Z9" s="22"/>
      <c r="AB9" s="533"/>
    </row>
    <row r="10" spans="1:28">
      <c r="A10" s="4" t="s">
        <v>8</v>
      </c>
      <c r="B10" s="12"/>
      <c r="C10" s="12"/>
      <c r="D10" s="90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120</v>
      </c>
      <c r="B12" s="12"/>
      <c r="C12" s="12"/>
      <c r="D12" s="90"/>
      <c r="E12" s="159">
        <v>1934</v>
      </c>
      <c r="F12" s="159">
        <v>1986</v>
      </c>
      <c r="G12" s="159">
        <v>2039</v>
      </c>
      <c r="H12" s="159">
        <v>2095</v>
      </c>
      <c r="I12" s="159">
        <v>2154</v>
      </c>
      <c r="J12" s="159">
        <v>2215</v>
      </c>
      <c r="K12" s="159">
        <v>2278</v>
      </c>
      <c r="L12" s="159">
        <v>2344</v>
      </c>
      <c r="M12" s="159">
        <v>2413</v>
      </c>
      <c r="N12" s="159">
        <v>2485</v>
      </c>
      <c r="O12" s="159">
        <v>2560</v>
      </c>
      <c r="P12" s="159">
        <v>2639</v>
      </c>
      <c r="Q12" s="159">
        <v>2720</v>
      </c>
      <c r="R12" s="159">
        <v>2805</v>
      </c>
      <c r="S12" s="141"/>
      <c r="T12" s="141"/>
      <c r="U12" s="141"/>
      <c r="V12" s="141"/>
      <c r="W12" s="141"/>
      <c r="X12" s="141"/>
      <c r="Y12" s="141"/>
      <c r="Z12" s="22"/>
      <c r="AA12" s="606">
        <f t="shared" si="1"/>
        <v>30733</v>
      </c>
      <c r="AB12" s="607">
        <f t="shared" si="2"/>
        <v>30733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1392</v>
      </c>
      <c r="F15" s="141">
        <v>1627</v>
      </c>
      <c r="G15" s="141">
        <v>1102</v>
      </c>
      <c r="H15" s="141">
        <v>1035</v>
      </c>
      <c r="I15" s="141">
        <v>1848</v>
      </c>
      <c r="J15" s="141">
        <v>2634</v>
      </c>
      <c r="K15" s="141">
        <v>2705</v>
      </c>
      <c r="L15" s="141">
        <v>2778</v>
      </c>
      <c r="M15" s="141">
        <v>2856</v>
      </c>
      <c r="N15" s="141">
        <v>2936</v>
      </c>
      <c r="O15" s="141">
        <v>3018</v>
      </c>
      <c r="P15" s="141">
        <v>3103</v>
      </c>
      <c r="Q15" s="141">
        <v>3193</v>
      </c>
      <c r="R15" s="141">
        <v>3285</v>
      </c>
      <c r="S15" s="141">
        <v>3381</v>
      </c>
      <c r="T15" s="141">
        <v>3479</v>
      </c>
      <c r="U15" s="141">
        <v>3580</v>
      </c>
      <c r="V15" s="141">
        <v>3683</v>
      </c>
      <c r="W15" s="141">
        <v>3790</v>
      </c>
      <c r="X15" s="104"/>
      <c r="Y15" s="104"/>
      <c r="Z15" s="22"/>
      <c r="AA15" s="606">
        <f t="shared" si="1"/>
        <v>50033</v>
      </c>
      <c r="AB15" s="607">
        <f t="shared" si="2"/>
        <v>50033</v>
      </c>
    </row>
    <row r="16" spans="1:28">
      <c r="A16" s="4" t="s">
        <v>12</v>
      </c>
      <c r="B16" s="12"/>
      <c r="C16" s="12"/>
      <c r="D16" s="90"/>
      <c r="E16" s="141">
        <v>4830</v>
      </c>
      <c r="F16" s="141">
        <v>5114</v>
      </c>
      <c r="G16" s="141">
        <v>4838</v>
      </c>
      <c r="H16" s="141">
        <v>4999</v>
      </c>
      <c r="I16" s="141">
        <v>5116</v>
      </c>
      <c r="J16" s="141">
        <v>5517</v>
      </c>
      <c r="K16" s="141">
        <v>5577</v>
      </c>
      <c r="L16" s="141">
        <v>5748</v>
      </c>
      <c r="M16" s="141">
        <v>6363</v>
      </c>
      <c r="N16" s="141">
        <v>6566</v>
      </c>
      <c r="O16" s="141">
        <v>6782</v>
      </c>
      <c r="P16" s="141">
        <v>6846</v>
      </c>
      <c r="Q16" s="141">
        <v>6994</v>
      </c>
      <c r="R16" s="141">
        <v>7162</v>
      </c>
      <c r="S16" s="141"/>
      <c r="T16" s="141"/>
      <c r="U16" s="141"/>
      <c r="V16" s="141"/>
      <c r="W16" s="141"/>
      <c r="X16" s="104"/>
      <c r="Y16" s="104"/>
      <c r="Z16" s="22"/>
      <c r="AA16" s="606">
        <f t="shared" si="1"/>
        <v>77622</v>
      </c>
      <c r="AB16" s="607">
        <f t="shared" si="2"/>
        <v>77622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8156</v>
      </c>
      <c r="F20" s="90">
        <f t="shared" si="3"/>
        <v>8727</v>
      </c>
      <c r="G20" s="90">
        <f t="shared" si="3"/>
        <v>7979</v>
      </c>
      <c r="H20" s="90">
        <f t="shared" si="3"/>
        <v>8129</v>
      </c>
      <c r="I20" s="90">
        <f t="shared" si="3"/>
        <v>9118</v>
      </c>
      <c r="J20" s="90">
        <f t="shared" si="3"/>
        <v>10366</v>
      </c>
      <c r="K20" s="90">
        <f t="shared" si="3"/>
        <v>10560</v>
      </c>
      <c r="L20" s="90">
        <f t="shared" si="3"/>
        <v>10870</v>
      </c>
      <c r="M20" s="90">
        <f t="shared" si="3"/>
        <v>11632</v>
      </c>
      <c r="N20" s="90">
        <f t="shared" si="3"/>
        <v>11987</v>
      </c>
      <c r="O20" s="90">
        <f t="shared" si="3"/>
        <v>12360</v>
      </c>
      <c r="P20" s="90">
        <f t="shared" si="3"/>
        <v>12588</v>
      </c>
      <c r="Q20" s="90">
        <f t="shared" si="3"/>
        <v>12907</v>
      </c>
      <c r="R20" s="90">
        <f t="shared" si="3"/>
        <v>13252</v>
      </c>
      <c r="S20" s="90">
        <f t="shared" si="3"/>
        <v>3381</v>
      </c>
      <c r="T20" s="90">
        <f t="shared" si="3"/>
        <v>3479</v>
      </c>
      <c r="U20" s="90">
        <f t="shared" si="3"/>
        <v>3580</v>
      </c>
      <c r="V20" s="90">
        <f t="shared" si="3"/>
        <v>3683</v>
      </c>
      <c r="W20" s="90">
        <f t="shared" si="3"/>
        <v>3790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158388</v>
      </c>
      <c r="AB20" s="607">
        <f t="shared" si="2"/>
        <v>158388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3691</v>
      </c>
      <c r="F24" s="141">
        <v>3907</v>
      </c>
      <c r="G24" s="141">
        <v>4052</v>
      </c>
      <c r="H24" s="141">
        <v>4204</v>
      </c>
      <c r="I24" s="141">
        <v>4363</v>
      </c>
      <c r="J24" s="141">
        <v>4528</v>
      </c>
      <c r="K24" s="141">
        <v>4700</v>
      </c>
      <c r="L24" s="141">
        <v>4879</v>
      </c>
      <c r="M24" s="141">
        <v>5069</v>
      </c>
      <c r="N24" s="141">
        <v>5264</v>
      </c>
      <c r="O24" s="141">
        <v>5468</v>
      </c>
      <c r="P24" s="141">
        <v>5679</v>
      </c>
      <c r="Q24" s="141">
        <v>5900</v>
      </c>
      <c r="R24" s="141">
        <v>6130</v>
      </c>
      <c r="S24" s="90"/>
      <c r="T24" s="90"/>
      <c r="U24" s="90"/>
      <c r="V24" s="90"/>
      <c r="W24" s="90"/>
      <c r="X24" s="90"/>
      <c r="Y24" s="90"/>
      <c r="AA24" s="606">
        <f t="shared" si="1"/>
        <v>64143</v>
      </c>
      <c r="AB24" s="607">
        <f t="shared" si="2"/>
        <v>64143</v>
      </c>
    </row>
    <row r="25" spans="1:28">
      <c r="A25" s="4" t="s">
        <v>1</v>
      </c>
      <c r="D25" s="90"/>
      <c r="E25" s="141">
        <f>204+163</f>
        <v>367</v>
      </c>
      <c r="F25" s="141">
        <f>213+166</f>
        <v>379</v>
      </c>
      <c r="G25" s="141">
        <f>435+170</f>
        <v>605</v>
      </c>
      <c r="H25" s="141">
        <f>452+174</f>
        <v>626</v>
      </c>
      <c r="I25" s="141">
        <f>470+178</f>
        <v>648</v>
      </c>
      <c r="J25" s="141">
        <f>489+182</f>
        <v>671</v>
      </c>
      <c r="K25" s="141">
        <f>508+186</f>
        <v>694</v>
      </c>
      <c r="L25" s="141">
        <f>528+190</f>
        <v>718</v>
      </c>
      <c r="M25" s="141">
        <f>550+194</f>
        <v>744</v>
      </c>
      <c r="N25" s="141">
        <f>572+199</f>
        <v>771</v>
      </c>
      <c r="O25" s="141">
        <f>594+204</f>
        <v>798</v>
      </c>
      <c r="P25" s="141">
        <f>618+209</f>
        <v>827</v>
      </c>
      <c r="Q25" s="141">
        <f>643+214</f>
        <v>857</v>
      </c>
      <c r="R25" s="141">
        <f>669+219</f>
        <v>888</v>
      </c>
      <c r="S25" s="90">
        <f>452+224</f>
        <v>676</v>
      </c>
      <c r="T25" s="90">
        <f>470+229</f>
        <v>699</v>
      </c>
      <c r="U25" s="90">
        <f>488+235</f>
        <v>723</v>
      </c>
      <c r="V25" s="90">
        <f>508+241</f>
        <v>749</v>
      </c>
      <c r="W25" s="90">
        <f>528+247</f>
        <v>775</v>
      </c>
      <c r="X25" s="90"/>
      <c r="Y25" s="90"/>
      <c r="AA25" s="606">
        <f t="shared" si="1"/>
        <v>12848</v>
      </c>
      <c r="AB25" s="607">
        <f t="shared" si="2"/>
        <v>12848</v>
      </c>
    </row>
    <row r="26" spans="1:28">
      <c r="A26" s="4" t="s">
        <v>18</v>
      </c>
      <c r="D26" s="90"/>
      <c r="E26" s="141">
        <v>143</v>
      </c>
      <c r="F26" s="141">
        <v>147</v>
      </c>
      <c r="G26" s="141">
        <v>91</v>
      </c>
      <c r="H26" s="141">
        <f>40+125</f>
        <v>165</v>
      </c>
      <c r="I26" s="141">
        <f>149+125</f>
        <v>274</v>
      </c>
      <c r="J26" s="141">
        <f>56+125</f>
        <v>181</v>
      </c>
      <c r="K26" s="141">
        <f>43+125</f>
        <v>168</v>
      </c>
      <c r="L26" s="141">
        <f>44+125</f>
        <v>169</v>
      </c>
      <c r="M26" s="141">
        <f>69+125</f>
        <v>194</v>
      </c>
      <c r="N26" s="141">
        <f>96+125</f>
        <v>221</v>
      </c>
      <c r="O26" s="141">
        <f>73+125</f>
        <v>198</v>
      </c>
      <c r="P26" s="141">
        <f>187+125</f>
        <v>312</v>
      </c>
      <c r="Q26" s="141">
        <f>49+125</f>
        <v>174</v>
      </c>
      <c r="R26" s="141">
        <f>50+125</f>
        <v>175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/>
      <c r="Y26" s="104"/>
      <c r="AA26" s="606">
        <f t="shared" si="1"/>
        <v>2469</v>
      </c>
      <c r="AB26" s="607">
        <f t="shared" si="2"/>
        <v>2469</v>
      </c>
    </row>
    <row r="27" spans="1:28">
      <c r="A27" s="4" t="s">
        <v>46</v>
      </c>
      <c r="D27" s="90"/>
      <c r="E27" s="141">
        <v>-579</v>
      </c>
      <c r="F27" s="141">
        <v>204</v>
      </c>
      <c r="G27" s="141">
        <v>204</v>
      </c>
      <c r="H27" s="141">
        <v>204</v>
      </c>
      <c r="I27" s="141">
        <v>204</v>
      </c>
      <c r="J27" s="141">
        <v>204</v>
      </c>
      <c r="K27" s="141">
        <v>204</v>
      </c>
      <c r="L27" s="141">
        <v>204</v>
      </c>
      <c r="M27" s="141"/>
      <c r="N27" s="141"/>
      <c r="O27" s="141"/>
      <c r="P27" s="141"/>
      <c r="Q27" s="141"/>
      <c r="R27" s="141"/>
      <c r="S27" s="90"/>
      <c r="T27" s="90"/>
      <c r="U27" s="90"/>
      <c r="V27" s="90"/>
      <c r="W27" s="90"/>
      <c r="X27" s="90"/>
      <c r="Y27" s="90"/>
      <c r="AA27" s="606">
        <f t="shared" si="1"/>
        <v>1428</v>
      </c>
      <c r="AB27" s="607">
        <f t="shared" si="2"/>
        <v>1428</v>
      </c>
    </row>
    <row r="28" spans="1:28">
      <c r="A28" s="4" t="s">
        <v>3</v>
      </c>
      <c r="D28" s="90"/>
      <c r="E28" s="141">
        <v>82</v>
      </c>
      <c r="F28" s="141">
        <v>83</v>
      </c>
      <c r="G28" s="141">
        <v>87</v>
      </c>
      <c r="H28" s="141">
        <v>88</v>
      </c>
      <c r="I28" s="141">
        <v>89</v>
      </c>
      <c r="J28" s="141">
        <v>91</v>
      </c>
      <c r="K28" s="141">
        <v>92</v>
      </c>
      <c r="L28" s="141">
        <v>94</v>
      </c>
      <c r="M28" s="141">
        <v>95</v>
      </c>
      <c r="N28" s="141">
        <v>97</v>
      </c>
      <c r="O28" s="141">
        <v>98</v>
      </c>
      <c r="P28" s="141">
        <v>100</v>
      </c>
      <c r="Q28" s="141">
        <v>101</v>
      </c>
      <c r="R28" s="141">
        <v>103</v>
      </c>
      <c r="S28" s="90">
        <v>102</v>
      </c>
      <c r="T28" s="90">
        <v>103</v>
      </c>
      <c r="U28" s="90">
        <v>105</v>
      </c>
      <c r="V28" s="90">
        <v>107</v>
      </c>
      <c r="W28" s="90">
        <v>108</v>
      </c>
      <c r="X28" s="90"/>
      <c r="Y28" s="90"/>
      <c r="AA28" s="606">
        <f t="shared" si="1"/>
        <v>1743</v>
      </c>
      <c r="AB28" s="607">
        <f t="shared" si="2"/>
        <v>1743</v>
      </c>
    </row>
    <row r="29" spans="1:28">
      <c r="A29" s="4" t="s">
        <v>4</v>
      </c>
      <c r="D29" s="90"/>
      <c r="E29" s="141">
        <v>41</v>
      </c>
      <c r="F29" s="141">
        <f>E29*1.03</f>
        <v>42.230000000000004</v>
      </c>
      <c r="G29" s="141">
        <f t="shared" ref="G29:W29" si="4">F29*1.03</f>
        <v>43.496900000000004</v>
      </c>
      <c r="H29" s="141">
        <f t="shared" si="4"/>
        <v>44.801807000000004</v>
      </c>
      <c r="I29" s="141">
        <f t="shared" si="4"/>
        <v>46.145861210000007</v>
      </c>
      <c r="J29" s="141">
        <f t="shared" si="4"/>
        <v>47.530237046300009</v>
      </c>
      <c r="K29" s="141">
        <f t="shared" si="4"/>
        <v>48.95614415768901</v>
      </c>
      <c r="L29" s="141">
        <f t="shared" si="4"/>
        <v>50.424828482419684</v>
      </c>
      <c r="M29" s="141">
        <f t="shared" si="4"/>
        <v>51.937573336892278</v>
      </c>
      <c r="N29" s="141">
        <f t="shared" si="4"/>
        <v>53.495700536999045</v>
      </c>
      <c r="O29" s="141">
        <f t="shared" si="4"/>
        <v>55.10057155310902</v>
      </c>
      <c r="P29" s="141">
        <f t="shared" si="4"/>
        <v>56.753588699702291</v>
      </c>
      <c r="Q29" s="141">
        <f t="shared" si="4"/>
        <v>58.456196360693362</v>
      </c>
      <c r="R29" s="141">
        <f t="shared" si="4"/>
        <v>60.209882251514166</v>
      </c>
      <c r="S29" s="141">
        <f t="shared" si="4"/>
        <v>62.016178719059596</v>
      </c>
      <c r="T29" s="141">
        <f t="shared" si="4"/>
        <v>63.876664080631386</v>
      </c>
      <c r="U29" s="141">
        <f t="shared" si="4"/>
        <v>65.792964003050329</v>
      </c>
      <c r="V29" s="141">
        <f t="shared" si="4"/>
        <v>67.766752923141837</v>
      </c>
      <c r="W29" s="141">
        <f t="shared" si="4"/>
        <v>69.799755510836093</v>
      </c>
      <c r="X29" s="90"/>
      <c r="Y29" s="90"/>
      <c r="AA29" s="606">
        <f t="shared" si="1"/>
        <v>988.79160587203819</v>
      </c>
      <c r="AB29" s="607">
        <f t="shared" si="2"/>
        <v>988.79160587203819</v>
      </c>
    </row>
    <row r="30" spans="1:28">
      <c r="A30" s="4" t="s">
        <v>47</v>
      </c>
      <c r="D30" s="90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5</v>
      </c>
      <c r="F31" s="141">
        <v>5</v>
      </c>
      <c r="G31" s="141">
        <v>5</v>
      </c>
      <c r="H31" s="141">
        <v>5</v>
      </c>
      <c r="I31" s="141">
        <v>5</v>
      </c>
      <c r="J31" s="141">
        <v>5</v>
      </c>
      <c r="K31" s="141">
        <v>5</v>
      </c>
      <c r="L31" s="141">
        <v>5</v>
      </c>
      <c r="M31" s="141">
        <v>5</v>
      </c>
      <c r="N31" s="141">
        <v>5</v>
      </c>
      <c r="O31" s="141">
        <v>5</v>
      </c>
      <c r="P31" s="141">
        <v>5</v>
      </c>
      <c r="Q31" s="141">
        <v>5</v>
      </c>
      <c r="R31" s="141">
        <v>5</v>
      </c>
      <c r="S31" s="141">
        <v>5</v>
      </c>
      <c r="T31" s="141">
        <v>5</v>
      </c>
      <c r="U31" s="141">
        <v>5</v>
      </c>
      <c r="V31" s="141">
        <v>5</v>
      </c>
      <c r="W31" s="141">
        <v>5</v>
      </c>
      <c r="X31" s="90"/>
      <c r="Y31" s="90"/>
      <c r="AA31" s="606">
        <f t="shared" si="1"/>
        <v>90</v>
      </c>
      <c r="AB31" s="607">
        <f t="shared" si="2"/>
        <v>90</v>
      </c>
    </row>
    <row r="32" spans="1:28">
      <c r="A32" s="4" t="s">
        <v>38</v>
      </c>
      <c r="D32" s="90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46</v>
      </c>
      <c r="F34" s="104">
        <f>E34*1.03</f>
        <v>47.38</v>
      </c>
      <c r="G34" s="104">
        <f t="shared" ref="G34:W34" si="5">F34*1.03</f>
        <v>48.801400000000001</v>
      </c>
      <c r="H34" s="104">
        <f t="shared" si="5"/>
        <v>50.265442</v>
      </c>
      <c r="I34" s="104">
        <f t="shared" si="5"/>
        <v>51.773405260000004</v>
      </c>
      <c r="J34" s="104">
        <f t="shared" si="5"/>
        <v>53.326607417800005</v>
      </c>
      <c r="K34" s="104">
        <f t="shared" si="5"/>
        <v>54.926405640334004</v>
      </c>
      <c r="L34" s="104">
        <f t="shared" si="5"/>
        <v>56.574197809544025</v>
      </c>
      <c r="M34" s="104">
        <f t="shared" si="5"/>
        <v>58.271423743830347</v>
      </c>
      <c r="N34" s="104">
        <f t="shared" si="5"/>
        <v>60.019566456145256</v>
      </c>
      <c r="O34" s="104">
        <f t="shared" si="5"/>
        <v>61.820153449829618</v>
      </c>
      <c r="P34" s="104">
        <f t="shared" si="5"/>
        <v>63.67475805332451</v>
      </c>
      <c r="Q34" s="104">
        <f t="shared" si="5"/>
        <v>65.585000794924241</v>
      </c>
      <c r="R34" s="104">
        <f t="shared" si="5"/>
        <v>67.552550818771977</v>
      </c>
      <c r="S34" s="104">
        <f t="shared" si="5"/>
        <v>69.579127343335131</v>
      </c>
      <c r="T34" s="104">
        <f t="shared" si="5"/>
        <v>71.666501163635189</v>
      </c>
      <c r="U34" s="104">
        <f t="shared" si="5"/>
        <v>73.816496198544243</v>
      </c>
      <c r="V34" s="104">
        <f t="shared" si="5"/>
        <v>76.03099108450057</v>
      </c>
      <c r="W34" s="104">
        <f t="shared" si="5"/>
        <v>78.311920817035585</v>
      </c>
      <c r="X34" s="104"/>
      <c r="Y34" s="104"/>
      <c r="AA34" s="606">
        <f t="shared" si="1"/>
        <v>1109.3759480515546</v>
      </c>
      <c r="AB34" s="607">
        <f t="shared" si="2"/>
        <v>1109.3759480515546</v>
      </c>
    </row>
    <row r="35" spans="1:28">
      <c r="A35" s="4" t="s">
        <v>21</v>
      </c>
      <c r="B35" s="8"/>
      <c r="C35" s="8"/>
      <c r="D35" s="91"/>
      <c r="E35" s="142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6">SUM(E24:E35)</f>
        <v>3796</v>
      </c>
      <c r="F36" s="90">
        <f t="shared" si="6"/>
        <v>4814.6099999999997</v>
      </c>
      <c r="G36" s="90">
        <f t="shared" si="6"/>
        <v>5136.2983000000004</v>
      </c>
      <c r="H36" s="90">
        <f t="shared" si="6"/>
        <v>5387.0672489999997</v>
      </c>
      <c r="I36" s="90">
        <f t="shared" si="6"/>
        <v>5680.9192664699995</v>
      </c>
      <c r="J36" s="90">
        <f t="shared" si="6"/>
        <v>5780.8568444640996</v>
      </c>
      <c r="K36" s="90">
        <f t="shared" si="6"/>
        <v>5966.8825497980233</v>
      </c>
      <c r="L36" s="90">
        <f t="shared" si="6"/>
        <v>6175.9990262919637</v>
      </c>
      <c r="M36" s="90">
        <f t="shared" si="6"/>
        <v>6217.2089970807228</v>
      </c>
      <c r="N36" s="90">
        <f t="shared" si="6"/>
        <v>6471.515266993144</v>
      </c>
      <c r="O36" s="90">
        <f t="shared" si="6"/>
        <v>6683.9207250029385</v>
      </c>
      <c r="P36" s="90">
        <f t="shared" si="6"/>
        <v>7043.4283467530267</v>
      </c>
      <c r="Q36" s="90">
        <f t="shared" si="6"/>
        <v>7161.0411971556168</v>
      </c>
      <c r="R36" s="90">
        <f t="shared" si="6"/>
        <v>7428.7624330702865</v>
      </c>
      <c r="S36" s="90">
        <f t="shared" si="6"/>
        <v>914.59530606239468</v>
      </c>
      <c r="T36" s="90">
        <f t="shared" si="6"/>
        <v>942.54316524426656</v>
      </c>
      <c r="U36" s="90">
        <f t="shared" si="6"/>
        <v>972.60946020159452</v>
      </c>
      <c r="V36" s="90">
        <f t="shared" si="6"/>
        <v>1004.7977440076425</v>
      </c>
      <c r="W36" s="90">
        <f t="shared" si="6"/>
        <v>1036.1116763278717</v>
      </c>
      <c r="X36" s="90">
        <f t="shared" si="6"/>
        <v>0</v>
      </c>
      <c r="Y36" s="90">
        <f t="shared" si="6"/>
        <v>0</v>
      </c>
      <c r="AA36" s="606">
        <f t="shared" si="1"/>
        <v>84819.167553923573</v>
      </c>
      <c r="AB36" s="607">
        <f t="shared" si="2"/>
        <v>84819.167553923573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7">E20-E36</f>
        <v>4360</v>
      </c>
      <c r="F39" s="93">
        <f t="shared" si="7"/>
        <v>3912.3900000000003</v>
      </c>
      <c r="G39" s="93">
        <f t="shared" si="7"/>
        <v>2842.7016999999996</v>
      </c>
      <c r="H39" s="93">
        <f t="shared" si="7"/>
        <v>2741.9327510000003</v>
      </c>
      <c r="I39" s="93">
        <f t="shared" si="7"/>
        <v>3437.0807335300005</v>
      </c>
      <c r="J39" s="93">
        <f t="shared" si="7"/>
        <v>4585.1431555359004</v>
      </c>
      <c r="K39" s="93">
        <f t="shared" si="7"/>
        <v>4593.1174502019767</v>
      </c>
      <c r="L39" s="93">
        <f t="shared" si="7"/>
        <v>4694.0009737080363</v>
      </c>
      <c r="M39" s="93">
        <f t="shared" si="7"/>
        <v>5414.7910029192772</v>
      </c>
      <c r="N39" s="93">
        <f t="shared" si="7"/>
        <v>5515.484733006856</v>
      </c>
      <c r="O39" s="93">
        <f t="shared" si="7"/>
        <v>5676.0792749970615</v>
      </c>
      <c r="P39" s="93">
        <f t="shared" si="7"/>
        <v>5544.5716532469733</v>
      </c>
      <c r="Q39" s="93">
        <f t="shared" si="7"/>
        <v>5745.9588028443832</v>
      </c>
      <c r="R39" s="93">
        <f t="shared" si="7"/>
        <v>5823.2375669297135</v>
      </c>
      <c r="S39" s="93">
        <f t="shared" si="7"/>
        <v>2466.4046939376053</v>
      </c>
      <c r="T39" s="93">
        <f t="shared" si="7"/>
        <v>2536.4568347557333</v>
      </c>
      <c r="U39" s="93">
        <f t="shared" si="7"/>
        <v>2607.3905397984054</v>
      </c>
      <c r="V39" s="93">
        <f t="shared" si="7"/>
        <v>2678.2022559923575</v>
      </c>
      <c r="W39" s="93">
        <f t="shared" si="7"/>
        <v>2753.8883236721285</v>
      </c>
      <c r="X39" s="93">
        <f t="shared" si="7"/>
        <v>0</v>
      </c>
      <c r="Y39" s="93">
        <f t="shared" si="7"/>
        <v>0</v>
      </c>
      <c r="AA39" s="606">
        <f>SUM(F39:Y39)</f>
        <v>73568.832446076427</v>
      </c>
      <c r="AB39" s="607">
        <f t="shared" si="2"/>
        <v>73568.832446076427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8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9">F108</f>
        <v>1013</v>
      </c>
      <c r="G41" s="90">
        <f t="shared" si="9"/>
        <v>1013</v>
      </c>
      <c r="H41" s="90">
        <f t="shared" si="9"/>
        <v>1013</v>
      </c>
      <c r="I41" s="90">
        <f t="shared" si="9"/>
        <v>1013</v>
      </c>
      <c r="J41" s="90">
        <f t="shared" si="9"/>
        <v>1013</v>
      </c>
      <c r="K41" s="90">
        <f t="shared" si="9"/>
        <v>1013</v>
      </c>
      <c r="L41" s="90">
        <f t="shared" si="9"/>
        <v>1013</v>
      </c>
      <c r="M41" s="90">
        <f t="shared" si="9"/>
        <v>1013</v>
      </c>
      <c r="N41" s="90">
        <f t="shared" si="9"/>
        <v>1013</v>
      </c>
      <c r="O41" s="90">
        <f t="shared" si="9"/>
        <v>1013</v>
      </c>
      <c r="P41" s="90">
        <f t="shared" si="9"/>
        <v>1013</v>
      </c>
      <c r="Q41" s="90">
        <f t="shared" si="9"/>
        <v>1013</v>
      </c>
      <c r="R41" s="90">
        <f t="shared" si="9"/>
        <v>1013</v>
      </c>
      <c r="S41" s="90">
        <f t="shared" si="9"/>
        <v>1013</v>
      </c>
      <c r="T41" s="90">
        <f t="shared" si="9"/>
        <v>1013</v>
      </c>
      <c r="U41" s="90">
        <f t="shared" si="9"/>
        <v>1013</v>
      </c>
      <c r="V41" s="90">
        <f t="shared" si="9"/>
        <v>1013</v>
      </c>
      <c r="W41" s="90">
        <f t="shared" si="9"/>
        <v>1013</v>
      </c>
      <c r="X41" s="90">
        <f t="shared" si="9"/>
        <v>0</v>
      </c>
      <c r="Y41" s="90">
        <f t="shared" si="9"/>
        <v>0</v>
      </c>
      <c r="AA41" s="606">
        <f t="shared" si="8"/>
        <v>18234</v>
      </c>
      <c r="AB41" s="607">
        <f t="shared" si="2"/>
        <v>18234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8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8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10">F39-F41</f>
        <v>2899.3900000000003</v>
      </c>
      <c r="G44" s="93">
        <f t="shared" si="10"/>
        <v>1829.7016999999996</v>
      </c>
      <c r="H44" s="93">
        <f t="shared" si="10"/>
        <v>1728.9327510000003</v>
      </c>
      <c r="I44" s="93">
        <f t="shared" si="10"/>
        <v>2424.0807335300005</v>
      </c>
      <c r="J44" s="93">
        <f t="shared" si="10"/>
        <v>3572.1431555359004</v>
      </c>
      <c r="K44" s="93">
        <f t="shared" si="10"/>
        <v>3580.1174502019767</v>
      </c>
      <c r="L44" s="93">
        <f t="shared" si="10"/>
        <v>3681.0009737080363</v>
      </c>
      <c r="M44" s="93">
        <f t="shared" si="10"/>
        <v>4401.7910029192772</v>
      </c>
      <c r="N44" s="93">
        <f t="shared" si="10"/>
        <v>4502.484733006856</v>
      </c>
      <c r="O44" s="93">
        <f t="shared" si="10"/>
        <v>4663.0792749970615</v>
      </c>
      <c r="P44" s="93">
        <f t="shared" si="10"/>
        <v>4531.5716532469733</v>
      </c>
      <c r="Q44" s="93">
        <f t="shared" si="10"/>
        <v>4732.9588028443832</v>
      </c>
      <c r="R44" s="93">
        <f t="shared" si="10"/>
        <v>4810.2375669297135</v>
      </c>
      <c r="S44" s="93">
        <f t="shared" si="10"/>
        <v>1453.4046939376053</v>
      </c>
      <c r="T44" s="93">
        <f t="shared" si="10"/>
        <v>1523.4568347557333</v>
      </c>
      <c r="U44" s="93">
        <f t="shared" si="10"/>
        <v>1594.3905397984054</v>
      </c>
      <c r="V44" s="93">
        <f t="shared" si="10"/>
        <v>1665.2022559923575</v>
      </c>
      <c r="W44" s="93">
        <f t="shared" si="10"/>
        <v>1740.8883236721285</v>
      </c>
      <c r="X44" s="93">
        <f t="shared" si="10"/>
        <v>0</v>
      </c>
      <c r="Y44" s="93">
        <f t="shared" si="10"/>
        <v>0</v>
      </c>
      <c r="AA44" s="606">
        <f t="shared" si="8"/>
        <v>55334.832446076412</v>
      </c>
      <c r="AB44" s="607">
        <f t="shared" si="2"/>
        <v>55334.832446076412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8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8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8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8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1">F44-F46</f>
        <v>2899.3900000000003</v>
      </c>
      <c r="G49" s="93">
        <f t="shared" si="11"/>
        <v>1829.7016999999996</v>
      </c>
      <c r="H49" s="93">
        <f t="shared" si="11"/>
        <v>1728.9327510000003</v>
      </c>
      <c r="I49" s="93">
        <f t="shared" si="11"/>
        <v>2424.0807335300005</v>
      </c>
      <c r="J49" s="93">
        <f t="shared" si="11"/>
        <v>3572.1431555359004</v>
      </c>
      <c r="K49" s="93">
        <f t="shared" si="11"/>
        <v>3580.1174502019767</v>
      </c>
      <c r="L49" s="93">
        <f t="shared" si="11"/>
        <v>3681.0009737080363</v>
      </c>
      <c r="M49" s="93">
        <f t="shared" si="11"/>
        <v>4401.7910029192772</v>
      </c>
      <c r="N49" s="93">
        <f t="shared" si="11"/>
        <v>4502.484733006856</v>
      </c>
      <c r="O49" s="93">
        <f t="shared" si="11"/>
        <v>4663.0792749970615</v>
      </c>
      <c r="P49" s="93">
        <f t="shared" si="11"/>
        <v>4531.5716532469733</v>
      </c>
      <c r="Q49" s="93">
        <f t="shared" si="11"/>
        <v>4732.9588028443832</v>
      </c>
      <c r="R49" s="93">
        <f t="shared" si="11"/>
        <v>4810.2375669297135</v>
      </c>
      <c r="S49" s="93">
        <f t="shared" si="11"/>
        <v>1453.4046939376053</v>
      </c>
      <c r="T49" s="93">
        <f t="shared" si="11"/>
        <v>1523.4568347557333</v>
      </c>
      <c r="U49" s="93">
        <f t="shared" si="11"/>
        <v>1594.3905397984054</v>
      </c>
      <c r="V49" s="93">
        <f t="shared" si="11"/>
        <v>1665.2022559923575</v>
      </c>
      <c r="W49" s="93">
        <f t="shared" si="11"/>
        <v>1740.8883236721285</v>
      </c>
      <c r="X49" s="93">
        <f t="shared" si="11"/>
        <v>0</v>
      </c>
      <c r="Y49" s="93">
        <f t="shared" si="11"/>
        <v>0</v>
      </c>
      <c r="AA49" s="606">
        <f t="shared" si="8"/>
        <v>55334.832446076412</v>
      </c>
      <c r="AB49" s="607">
        <f t="shared" si="2"/>
        <v>55334.832446076412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8"/>
        <v>0</v>
      </c>
      <c r="AB50" s="607">
        <f t="shared" si="2"/>
        <v>0</v>
      </c>
    </row>
    <row r="51" spans="1:28">
      <c r="A51" s="4" t="s">
        <v>28</v>
      </c>
      <c r="C51" s="143">
        <v>9.9900000000000003E-2</v>
      </c>
      <c r="D51" s="90"/>
      <c r="E51" s="90"/>
      <c r="F51" s="90">
        <f t="shared" ref="F51:Y51" si="12">F49*-$C$51</f>
        <v>-289.64906100000002</v>
      </c>
      <c r="G51" s="55">
        <f t="shared" si="12"/>
        <v>-182.78719982999996</v>
      </c>
      <c r="H51" s="90">
        <f t="shared" si="12"/>
        <v>-172.72038182490004</v>
      </c>
      <c r="I51" s="90">
        <f t="shared" si="12"/>
        <v>-242.16566527964707</v>
      </c>
      <c r="J51" s="90">
        <f t="shared" si="12"/>
        <v>-356.85710123803648</v>
      </c>
      <c r="K51" s="90">
        <f t="shared" si="12"/>
        <v>-357.6537332751775</v>
      </c>
      <c r="L51" s="90">
        <f t="shared" si="12"/>
        <v>-367.73199727343285</v>
      </c>
      <c r="M51" s="90">
        <f t="shared" si="12"/>
        <v>-439.73892119163582</v>
      </c>
      <c r="N51" s="90">
        <f t="shared" si="12"/>
        <v>-449.7982248273849</v>
      </c>
      <c r="O51" s="90">
        <f t="shared" si="12"/>
        <v>-465.84161957220647</v>
      </c>
      <c r="P51" s="90">
        <f t="shared" si="12"/>
        <v>-452.70400815937262</v>
      </c>
      <c r="Q51" s="90">
        <f t="shared" si="12"/>
        <v>-472.82258440415387</v>
      </c>
      <c r="R51" s="90">
        <f t="shared" si="12"/>
        <v>-480.54273293627841</v>
      </c>
      <c r="S51" s="90">
        <f t="shared" si="12"/>
        <v>-145.19512892436677</v>
      </c>
      <c r="T51" s="90">
        <f t="shared" si="12"/>
        <v>-152.19333779209776</v>
      </c>
      <c r="U51" s="90">
        <f t="shared" si="12"/>
        <v>-159.2796149258607</v>
      </c>
      <c r="V51" s="90">
        <f t="shared" si="12"/>
        <v>-166.35370537363653</v>
      </c>
      <c r="W51" s="90">
        <f t="shared" si="12"/>
        <v>-173.91474353484566</v>
      </c>
      <c r="X51" s="90">
        <f t="shared" si="12"/>
        <v>0</v>
      </c>
      <c r="Y51" s="90">
        <f t="shared" si="12"/>
        <v>0</v>
      </c>
      <c r="AA51" s="606">
        <f t="shared" si="8"/>
        <v>-5527.9497613630338</v>
      </c>
      <c r="AB51" s="607">
        <f t="shared" si="2"/>
        <v>-5527.9497613630338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3">(F49+F51)*-$C$52</f>
        <v>-913.40932865000002</v>
      </c>
      <c r="G52" s="89">
        <f t="shared" si="13"/>
        <v>-576.42007505949982</v>
      </c>
      <c r="H52" s="89">
        <f t="shared" si="13"/>
        <v>-544.67432921128511</v>
      </c>
      <c r="I52" s="89">
        <f t="shared" si="13"/>
        <v>-763.67027388762369</v>
      </c>
      <c r="J52" s="89">
        <f t="shared" si="13"/>
        <v>-1125.3501190042523</v>
      </c>
      <c r="K52" s="89">
        <f t="shared" si="13"/>
        <v>-1127.8623009243795</v>
      </c>
      <c r="L52" s="89">
        <f t="shared" si="13"/>
        <v>-1159.644141752111</v>
      </c>
      <c r="M52" s="89">
        <f t="shared" si="13"/>
        <v>-1386.7182286046746</v>
      </c>
      <c r="N52" s="89">
        <f t="shared" si="13"/>
        <v>-1418.4402778628148</v>
      </c>
      <c r="O52" s="89">
        <f t="shared" si="13"/>
        <v>-1469.0331793986991</v>
      </c>
      <c r="P52" s="89">
        <f t="shared" si="13"/>
        <v>-1427.6036757806601</v>
      </c>
      <c r="Q52" s="89">
        <f t="shared" si="13"/>
        <v>-1491.0476764540804</v>
      </c>
      <c r="R52" s="89">
        <f t="shared" si="13"/>
        <v>-1515.3931918977023</v>
      </c>
      <c r="S52" s="89">
        <f t="shared" si="13"/>
        <v>-457.87334775463341</v>
      </c>
      <c r="T52" s="89">
        <f t="shared" si="13"/>
        <v>-479.94222393727244</v>
      </c>
      <c r="U52" s="89">
        <f t="shared" si="13"/>
        <v>-502.2888237053906</v>
      </c>
      <c r="V52" s="89">
        <f t="shared" si="13"/>
        <v>-524.59699271655234</v>
      </c>
      <c r="W52" s="89">
        <f t="shared" si="13"/>
        <v>-548.44075304804892</v>
      </c>
      <c r="X52" s="89">
        <f t="shared" si="13"/>
        <v>0</v>
      </c>
      <c r="Y52" s="89">
        <f t="shared" si="13"/>
        <v>0</v>
      </c>
      <c r="AA52" s="606">
        <f t="shared" si="8"/>
        <v>-17432.408939649678</v>
      </c>
      <c r="AB52" s="607">
        <f t="shared" si="2"/>
        <v>-17432.408939649678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8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4">SUM(F49:F52)</f>
        <v>1696.3316103500001</v>
      </c>
      <c r="G54" s="93">
        <f t="shared" si="14"/>
        <v>1070.4944251104998</v>
      </c>
      <c r="H54" s="93">
        <f t="shared" si="14"/>
        <v>1011.5380399638152</v>
      </c>
      <c r="I54" s="93">
        <f t="shared" si="14"/>
        <v>1418.2447943627299</v>
      </c>
      <c r="J54" s="93">
        <f t="shared" si="14"/>
        <v>2089.9359352936117</v>
      </c>
      <c r="K54" s="93">
        <f t="shared" si="14"/>
        <v>2094.6014160024197</v>
      </c>
      <c r="L54" s="93">
        <f t="shared" si="14"/>
        <v>2153.6248346824923</v>
      </c>
      <c r="M54" s="93">
        <f t="shared" si="14"/>
        <v>2575.333853122967</v>
      </c>
      <c r="N54" s="93">
        <f t="shared" si="14"/>
        <v>2634.2462303166567</v>
      </c>
      <c r="O54" s="93">
        <f t="shared" si="14"/>
        <v>2728.204476026156</v>
      </c>
      <c r="P54" s="93">
        <f t="shared" si="14"/>
        <v>2651.2639693069405</v>
      </c>
      <c r="Q54" s="93">
        <f t="shared" si="14"/>
        <v>2769.0885419861493</v>
      </c>
      <c r="R54" s="93">
        <f t="shared" si="14"/>
        <v>2814.3016420957329</v>
      </c>
      <c r="S54" s="93">
        <f t="shared" si="14"/>
        <v>850.33621725860507</v>
      </c>
      <c r="T54" s="93">
        <f t="shared" si="14"/>
        <v>891.32127302636309</v>
      </c>
      <c r="U54" s="93">
        <f t="shared" si="14"/>
        <v>932.82210116715419</v>
      </c>
      <c r="V54" s="93">
        <f t="shared" si="14"/>
        <v>974.25155790216866</v>
      </c>
      <c r="W54" s="93">
        <f t="shared" si="14"/>
        <v>1018.5328270892339</v>
      </c>
      <c r="X54" s="93">
        <f t="shared" si="14"/>
        <v>0</v>
      </c>
      <c r="Y54" s="93">
        <f t="shared" si="14"/>
        <v>0</v>
      </c>
      <c r="AA54" s="606">
        <f t="shared" si="8"/>
        <v>32374.473745063693</v>
      </c>
      <c r="AB54" s="607">
        <f t="shared" si="2"/>
        <v>32374.473745063693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8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8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8"/>
        <v>0</v>
      </c>
      <c r="AB57" s="607">
        <f t="shared" si="2"/>
        <v>0</v>
      </c>
    </row>
    <row r="58" spans="1:28" outlineLevel="1">
      <c r="A58" s="1" t="s">
        <v>109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8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8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8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8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5">D62+1</f>
        <v>2000</v>
      </c>
      <c r="F62" s="9">
        <f t="shared" si="15"/>
        <v>2001</v>
      </c>
      <c r="G62" s="9">
        <f t="shared" si="15"/>
        <v>2002</v>
      </c>
      <c r="H62" s="9">
        <f t="shared" si="15"/>
        <v>2003</v>
      </c>
      <c r="I62" s="9">
        <f t="shared" si="15"/>
        <v>2004</v>
      </c>
      <c r="J62" s="9">
        <f t="shared" si="15"/>
        <v>2005</v>
      </c>
      <c r="K62" s="9">
        <f t="shared" si="15"/>
        <v>2006</v>
      </c>
      <c r="L62" s="9">
        <f t="shared" si="15"/>
        <v>2007</v>
      </c>
      <c r="M62" s="9">
        <f t="shared" si="15"/>
        <v>2008</v>
      </c>
      <c r="N62" s="9">
        <f t="shared" si="15"/>
        <v>2009</v>
      </c>
      <c r="O62" s="9">
        <f t="shared" si="15"/>
        <v>2010</v>
      </c>
      <c r="P62" s="9">
        <f t="shared" si="15"/>
        <v>2011</v>
      </c>
      <c r="Q62" s="9">
        <f t="shared" si="15"/>
        <v>2012</v>
      </c>
      <c r="R62" s="9">
        <f t="shared" si="15"/>
        <v>2013</v>
      </c>
      <c r="S62" s="9">
        <f t="shared" si="15"/>
        <v>2014</v>
      </c>
      <c r="T62" s="9">
        <f t="shared" si="15"/>
        <v>2015</v>
      </c>
      <c r="U62" s="9">
        <f t="shared" si="15"/>
        <v>2016</v>
      </c>
      <c r="V62" s="9">
        <f t="shared" si="15"/>
        <v>2017</v>
      </c>
      <c r="W62" s="9">
        <f t="shared" si="15"/>
        <v>2018</v>
      </c>
      <c r="X62" s="9">
        <f t="shared" si="15"/>
        <v>2019</v>
      </c>
      <c r="Y62" s="9">
        <f t="shared" si="15"/>
        <v>2020</v>
      </c>
      <c r="AA62" s="606">
        <f t="shared" si="8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8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6">F39</f>
        <v>3912.3900000000003</v>
      </c>
      <c r="G64" s="24">
        <f t="shared" si="16"/>
        <v>2842.7016999999996</v>
      </c>
      <c r="H64" s="20">
        <f t="shared" si="16"/>
        <v>2741.9327510000003</v>
      </c>
      <c r="I64" s="20">
        <f t="shared" si="16"/>
        <v>3437.0807335300005</v>
      </c>
      <c r="J64" s="20">
        <f t="shared" si="16"/>
        <v>4585.1431555359004</v>
      </c>
      <c r="K64" s="20">
        <f t="shared" si="16"/>
        <v>4593.1174502019767</v>
      </c>
      <c r="L64" s="20">
        <f t="shared" si="16"/>
        <v>4694.0009737080363</v>
      </c>
      <c r="M64" s="20">
        <f t="shared" si="16"/>
        <v>5414.7910029192772</v>
      </c>
      <c r="N64" s="20">
        <f t="shared" si="16"/>
        <v>5515.484733006856</v>
      </c>
      <c r="O64" s="20">
        <f t="shared" si="16"/>
        <v>5676.0792749970615</v>
      </c>
      <c r="P64" s="20">
        <f t="shared" si="16"/>
        <v>5544.5716532469733</v>
      </c>
      <c r="Q64" s="20">
        <f t="shared" si="16"/>
        <v>5745.9588028443832</v>
      </c>
      <c r="R64" s="20">
        <f t="shared" si="16"/>
        <v>5823.2375669297135</v>
      </c>
      <c r="S64" s="20">
        <f t="shared" si="16"/>
        <v>2466.4046939376053</v>
      </c>
      <c r="T64" s="20">
        <f t="shared" si="16"/>
        <v>2536.4568347557333</v>
      </c>
      <c r="U64" s="20">
        <f t="shared" si="16"/>
        <v>2607.3905397984054</v>
      </c>
      <c r="V64" s="20">
        <f t="shared" si="16"/>
        <v>2678.2022559923575</v>
      </c>
      <c r="W64" s="20">
        <f t="shared" si="16"/>
        <v>2753.8883236721285</v>
      </c>
      <c r="X64" s="20">
        <f t="shared" si="16"/>
        <v>0</v>
      </c>
      <c r="Y64" s="20">
        <f t="shared" si="16"/>
        <v>0</v>
      </c>
      <c r="AA64" s="606">
        <f t="shared" si="8"/>
        <v>73568.832446076427</v>
      </c>
      <c r="AB64" s="607">
        <f t="shared" si="2"/>
        <v>73568.832446076427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8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8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8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8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3912.3900000000003</v>
      </c>
      <c r="G69" s="95">
        <f t="shared" si="17"/>
        <v>2842.7016999999996</v>
      </c>
      <c r="H69" s="95">
        <f t="shared" si="17"/>
        <v>2741.9327510000003</v>
      </c>
      <c r="I69" s="95">
        <f t="shared" si="17"/>
        <v>3437.0807335300005</v>
      </c>
      <c r="J69" s="95">
        <f t="shared" si="17"/>
        <v>4585.1431555359004</v>
      </c>
      <c r="K69" s="95">
        <f t="shared" si="17"/>
        <v>4593.1174502019767</v>
      </c>
      <c r="L69" s="95">
        <f t="shared" si="17"/>
        <v>4694.0009737080363</v>
      </c>
      <c r="M69" s="95">
        <f t="shared" si="17"/>
        <v>5414.7910029192772</v>
      </c>
      <c r="N69" s="95">
        <f t="shared" si="17"/>
        <v>5515.484733006856</v>
      </c>
      <c r="O69" s="95">
        <f t="shared" si="17"/>
        <v>5676.0792749970615</v>
      </c>
      <c r="P69" s="95">
        <f t="shared" si="17"/>
        <v>5544.5716532469733</v>
      </c>
      <c r="Q69" s="95">
        <f t="shared" si="17"/>
        <v>5745.9588028443832</v>
      </c>
      <c r="R69" s="95">
        <f t="shared" si="17"/>
        <v>5823.2375669297135</v>
      </c>
      <c r="S69" s="95">
        <f t="shared" si="17"/>
        <v>2466.4046939376053</v>
      </c>
      <c r="T69" s="95">
        <f t="shared" si="17"/>
        <v>2536.4568347557333</v>
      </c>
      <c r="U69" s="95">
        <f t="shared" si="17"/>
        <v>2607.3905397984054</v>
      </c>
      <c r="V69" s="95">
        <f t="shared" si="17"/>
        <v>2678.2022559923575</v>
      </c>
      <c r="W69" s="95">
        <f t="shared" si="17"/>
        <v>2753.8883236721285</v>
      </c>
      <c r="X69" s="95">
        <f t="shared" si="17"/>
        <v>0</v>
      </c>
      <c r="Y69" s="95">
        <f t="shared" si="17"/>
        <v>0</v>
      </c>
      <c r="AA69" s="606">
        <f t="shared" si="8"/>
        <v>73568.832446076427</v>
      </c>
      <c r="AB69" s="607">
        <f t="shared" si="2"/>
        <v>73568.832446076427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8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W71" si="18">F89</f>
        <v>-1308.1527422295617</v>
      </c>
      <c r="G71" s="100">
        <f t="shared" si="18"/>
        <v>-572.68841957666109</v>
      </c>
      <c r="H71" s="100">
        <f t="shared" si="18"/>
        <v>-576.43779249984709</v>
      </c>
      <c r="I71" s="100">
        <f t="shared" si="18"/>
        <v>-906.91032762032455</v>
      </c>
      <c r="J71" s="100">
        <f t="shared" si="18"/>
        <v>-1422.286661581498</v>
      </c>
      <c r="K71" s="100">
        <f t="shared" si="18"/>
        <v>-1461.5742743216861</v>
      </c>
      <c r="L71" s="100">
        <f t="shared" si="18"/>
        <v>-1536.8072368972498</v>
      </c>
      <c r="M71" s="100">
        <f t="shared" si="18"/>
        <v>-1866.6551643842508</v>
      </c>
      <c r="N71" s="100">
        <f t="shared" si="18"/>
        <v>-1913.4802741168673</v>
      </c>
      <c r="O71" s="100">
        <f t="shared" si="18"/>
        <v>-1980.2006330115523</v>
      </c>
      <c r="P71" s="100">
        <f t="shared" si="18"/>
        <v>-1925.5494553667004</v>
      </c>
      <c r="Q71" s="100">
        <f t="shared" si="18"/>
        <v>-2009.1960948988806</v>
      </c>
      <c r="R71" s="100">
        <f t="shared" si="18"/>
        <v>-2041.1776962606484</v>
      </c>
      <c r="S71" s="100">
        <f t="shared" si="18"/>
        <v>-648.39431071964668</v>
      </c>
      <c r="T71" s="100">
        <f t="shared" si="18"/>
        <v>-677.37733315603782</v>
      </c>
      <c r="U71" s="100">
        <f t="shared" si="18"/>
        <v>-706.89427267189762</v>
      </c>
      <c r="V71" s="100">
        <f t="shared" si="18"/>
        <v>-736.19246951685659</v>
      </c>
      <c r="W71" s="100">
        <f t="shared" si="18"/>
        <v>-767.68133062354104</v>
      </c>
      <c r="X71" s="100">
        <v>0</v>
      </c>
      <c r="Y71" s="100">
        <v>0</v>
      </c>
      <c r="AA71" s="606">
        <f t="shared" si="8"/>
        <v>-23057.656489453708</v>
      </c>
      <c r="AB71" s="607">
        <f t="shared" si="2"/>
        <v>-23057.656489453708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8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2604.2372577704386</v>
      </c>
      <c r="G73" s="28">
        <f t="shared" si="19"/>
        <v>2270.0132804233385</v>
      </c>
      <c r="H73" s="28">
        <f t="shared" si="19"/>
        <v>2165.4949585001532</v>
      </c>
      <c r="I73" s="28">
        <f t="shared" si="19"/>
        <v>2530.170405909676</v>
      </c>
      <c r="J73" s="28">
        <f t="shared" si="19"/>
        <v>3162.8564939544021</v>
      </c>
      <c r="K73" s="28">
        <f t="shared" si="19"/>
        <v>3131.5431758802906</v>
      </c>
      <c r="L73" s="28">
        <f t="shared" si="19"/>
        <v>3157.1937368107865</v>
      </c>
      <c r="M73" s="28">
        <f t="shared" si="19"/>
        <v>3548.1358385350263</v>
      </c>
      <c r="N73" s="28">
        <f t="shared" si="19"/>
        <v>3602.0044588899887</v>
      </c>
      <c r="O73" s="28">
        <f t="shared" si="19"/>
        <v>3695.8786419855091</v>
      </c>
      <c r="P73" s="28">
        <f t="shared" si="19"/>
        <v>3619.0221978802729</v>
      </c>
      <c r="Q73" s="28">
        <f t="shared" si="19"/>
        <v>3736.7627079455024</v>
      </c>
      <c r="R73" s="28">
        <f t="shared" si="19"/>
        <v>3782.0598706690653</v>
      </c>
      <c r="S73" s="28">
        <f t="shared" si="19"/>
        <v>1818.0103832179586</v>
      </c>
      <c r="T73" s="28">
        <f t="shared" si="19"/>
        <v>1859.0795015996955</v>
      </c>
      <c r="U73" s="28">
        <f t="shared" si="19"/>
        <v>1900.4962671265077</v>
      </c>
      <c r="V73" s="28">
        <f t="shared" si="19"/>
        <v>1942.009786475501</v>
      </c>
      <c r="W73" s="28">
        <f t="shared" si="19"/>
        <v>1986.2069930485875</v>
      </c>
      <c r="X73" s="28">
        <f t="shared" si="19"/>
        <v>0</v>
      </c>
      <c r="Y73" s="28">
        <f t="shared" si="19"/>
        <v>0</v>
      </c>
      <c r="AA73" s="606">
        <f t="shared" si="8"/>
        <v>50511.175956622705</v>
      </c>
      <c r="AB73" s="607">
        <f t="shared" si="2"/>
        <v>50511.175956622705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8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8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1696.3316103500001</v>
      </c>
      <c r="G76" s="95">
        <f t="shared" si="21"/>
        <v>1070.4944251104998</v>
      </c>
      <c r="H76" s="28">
        <f t="shared" si="21"/>
        <v>1011.5380399638152</v>
      </c>
      <c r="I76" s="28">
        <f t="shared" si="21"/>
        <v>1418.2447943627299</v>
      </c>
      <c r="J76" s="28">
        <f t="shared" si="21"/>
        <v>2089.9359352936117</v>
      </c>
      <c r="K76" s="28">
        <f t="shared" si="21"/>
        <v>2094.6014160024197</v>
      </c>
      <c r="L76" s="28">
        <f t="shared" si="21"/>
        <v>2153.6248346824923</v>
      </c>
      <c r="M76" s="28">
        <f t="shared" si="21"/>
        <v>2575.333853122967</v>
      </c>
      <c r="N76" s="28">
        <f t="shared" si="21"/>
        <v>2634.2462303166567</v>
      </c>
      <c r="O76" s="28">
        <f t="shared" si="21"/>
        <v>2728.204476026156</v>
      </c>
      <c r="P76" s="28">
        <f t="shared" si="21"/>
        <v>2651.2639693069405</v>
      </c>
      <c r="Q76" s="28">
        <f t="shared" si="21"/>
        <v>2769.0885419861493</v>
      </c>
      <c r="R76" s="28">
        <f t="shared" si="21"/>
        <v>2814.3016420957329</v>
      </c>
      <c r="S76" s="28">
        <f t="shared" si="21"/>
        <v>850.33621725860507</v>
      </c>
      <c r="T76" s="28">
        <f t="shared" si="21"/>
        <v>891.32127302636309</v>
      </c>
      <c r="U76" s="28">
        <f t="shared" si="21"/>
        <v>932.82210116715419</v>
      </c>
      <c r="V76" s="28">
        <f t="shared" si="21"/>
        <v>974.25155790216866</v>
      </c>
      <c r="W76" s="28">
        <f t="shared" si="21"/>
        <v>1018.5328270892339</v>
      </c>
      <c r="X76" s="28">
        <f t="shared" si="21"/>
        <v>0</v>
      </c>
      <c r="Y76" s="28">
        <f t="shared" si="21"/>
        <v>0</v>
      </c>
      <c r="AA76" s="606">
        <f t="shared" si="8"/>
        <v>32374.473745063693</v>
      </c>
      <c r="AB76" s="607">
        <f>AA76</f>
        <v>32374.473745063693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2604.2372577704386</v>
      </c>
      <c r="G77" s="95">
        <f t="shared" si="22"/>
        <v>2270.0132804233385</v>
      </c>
      <c r="H77" s="28">
        <f t="shared" si="22"/>
        <v>2165.4949585001532</v>
      </c>
      <c r="I77" s="28">
        <f t="shared" si="22"/>
        <v>2530.170405909676</v>
      </c>
      <c r="J77" s="28">
        <f t="shared" si="22"/>
        <v>3162.8564939544021</v>
      </c>
      <c r="K77" s="28">
        <f t="shared" si="22"/>
        <v>3131.5431758802906</v>
      </c>
      <c r="L77" s="28">
        <f t="shared" si="22"/>
        <v>3157.1937368107865</v>
      </c>
      <c r="M77" s="28">
        <f t="shared" si="22"/>
        <v>3548.1358385350263</v>
      </c>
      <c r="N77" s="28">
        <f t="shared" si="22"/>
        <v>3602.0044588899887</v>
      </c>
      <c r="O77" s="28">
        <f t="shared" si="22"/>
        <v>3695.8786419855091</v>
      </c>
      <c r="P77" s="28">
        <f t="shared" si="22"/>
        <v>3619.0221978802729</v>
      </c>
      <c r="Q77" s="28">
        <f t="shared" si="22"/>
        <v>3736.7627079455024</v>
      </c>
      <c r="R77" s="28">
        <f t="shared" si="22"/>
        <v>3782.0598706690653</v>
      </c>
      <c r="S77" s="28">
        <f t="shared" si="22"/>
        <v>1818.0103832179586</v>
      </c>
      <c r="T77" s="28">
        <f t="shared" si="22"/>
        <v>1859.0795015996955</v>
      </c>
      <c r="U77" s="28">
        <f t="shared" si="22"/>
        <v>1900.4962671265077</v>
      </c>
      <c r="V77" s="28">
        <f t="shared" si="22"/>
        <v>1942.009786475501</v>
      </c>
      <c r="W77" s="28">
        <f t="shared" si="22"/>
        <v>1986.2069930485875</v>
      </c>
      <c r="X77" s="28">
        <f t="shared" si="22"/>
        <v>0</v>
      </c>
      <c r="Y77" s="28">
        <f t="shared" si="22"/>
        <v>0</v>
      </c>
      <c r="AA77" s="606">
        <f t="shared" si="8"/>
        <v>50511.175956622705</v>
      </c>
      <c r="AB77" s="607">
        <f>AA77</f>
        <v>50511.175956622705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8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8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8"/>
        <v>0</v>
      </c>
      <c r="AB80" s="607">
        <f t="shared" si="20"/>
        <v>0</v>
      </c>
    </row>
    <row r="81" spans="1:28" outlineLevel="1">
      <c r="A81" s="30"/>
      <c r="C81" s="96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8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8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8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8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8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8"/>
        <v>40210</v>
      </c>
      <c r="AB86" s="607">
        <f t="shared" si="20"/>
        <v>40210</v>
      </c>
    </row>
    <row r="87" spans="1:28" s="199" customFormat="1">
      <c r="AA87" s="606">
        <f t="shared" si="8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3912.3900000000003</v>
      </c>
      <c r="G88" s="200">
        <f t="shared" ref="G88:Y88" si="24">G69</f>
        <v>2842.7016999999996</v>
      </c>
      <c r="H88" s="200">
        <f t="shared" si="24"/>
        <v>2741.9327510000003</v>
      </c>
      <c r="I88" s="200">
        <f t="shared" si="24"/>
        <v>3437.0807335300005</v>
      </c>
      <c r="J88" s="200">
        <f t="shared" si="24"/>
        <v>4585.1431555359004</v>
      </c>
      <c r="K88" s="200">
        <f t="shared" si="24"/>
        <v>4593.1174502019767</v>
      </c>
      <c r="L88" s="200">
        <f t="shared" si="24"/>
        <v>4694.0009737080363</v>
      </c>
      <c r="M88" s="200">
        <f t="shared" si="24"/>
        <v>5414.7910029192772</v>
      </c>
      <c r="N88" s="200">
        <f t="shared" si="24"/>
        <v>5515.484733006856</v>
      </c>
      <c r="O88" s="200">
        <f t="shared" si="24"/>
        <v>5676.0792749970615</v>
      </c>
      <c r="P88" s="200">
        <f t="shared" si="24"/>
        <v>5544.5716532469733</v>
      </c>
      <c r="Q88" s="200">
        <f t="shared" si="24"/>
        <v>5745.9588028443832</v>
      </c>
      <c r="R88" s="200">
        <f t="shared" si="24"/>
        <v>5823.2375669297135</v>
      </c>
      <c r="S88" s="200">
        <f t="shared" si="24"/>
        <v>2466.4046939376053</v>
      </c>
      <c r="T88" s="200">
        <f t="shared" si="24"/>
        <v>2536.4568347557333</v>
      </c>
      <c r="U88" s="200">
        <f t="shared" si="24"/>
        <v>2607.3905397984054</v>
      </c>
      <c r="V88" s="200">
        <f t="shared" si="24"/>
        <v>2678.2022559923575</v>
      </c>
      <c r="W88" s="200">
        <f t="shared" si="24"/>
        <v>2753.8883236721285</v>
      </c>
      <c r="X88" s="200">
        <f t="shared" si="24"/>
        <v>0</v>
      </c>
      <c r="Y88" s="200">
        <f t="shared" si="24"/>
        <v>0</v>
      </c>
      <c r="AA88" s="606">
        <f t="shared" si="8"/>
        <v>73568.832446076427</v>
      </c>
      <c r="AB88" s="607">
        <f t="shared" si="20"/>
        <v>73568.832446076427</v>
      </c>
    </row>
    <row r="89" spans="1:28" s="199" customFormat="1">
      <c r="A89" s="199" t="s">
        <v>53</v>
      </c>
      <c r="F89" s="110">
        <f>F125+F126</f>
        <v>-1308.1527422295617</v>
      </c>
      <c r="G89" s="110">
        <f t="shared" ref="G89:Y89" si="25">G125+G126</f>
        <v>-572.68841957666109</v>
      </c>
      <c r="H89" s="110">
        <f t="shared" si="25"/>
        <v>-576.43779249984709</v>
      </c>
      <c r="I89" s="110">
        <f t="shared" si="25"/>
        <v>-906.91032762032455</v>
      </c>
      <c r="J89" s="110">
        <f t="shared" si="25"/>
        <v>-1422.286661581498</v>
      </c>
      <c r="K89" s="110">
        <f t="shared" si="25"/>
        <v>-1461.5742743216861</v>
      </c>
      <c r="L89" s="110">
        <f t="shared" si="25"/>
        <v>-1536.8072368972498</v>
      </c>
      <c r="M89" s="110">
        <f t="shared" si="25"/>
        <v>-1866.6551643842508</v>
      </c>
      <c r="N89" s="110">
        <f t="shared" si="25"/>
        <v>-1913.4802741168673</v>
      </c>
      <c r="O89" s="110">
        <f t="shared" si="25"/>
        <v>-1980.2006330115523</v>
      </c>
      <c r="P89" s="110">
        <f t="shared" si="25"/>
        <v>-1925.5494553667004</v>
      </c>
      <c r="Q89" s="110">
        <f t="shared" si="25"/>
        <v>-2009.1960948988806</v>
      </c>
      <c r="R89" s="110">
        <f t="shared" si="25"/>
        <v>-2041.1776962606484</v>
      </c>
      <c r="S89" s="110">
        <f t="shared" si="25"/>
        <v>-648.39431071964668</v>
      </c>
      <c r="T89" s="110">
        <f t="shared" si="25"/>
        <v>-677.37733315603782</v>
      </c>
      <c r="U89" s="110">
        <f t="shared" si="25"/>
        <v>-706.89427267189762</v>
      </c>
      <c r="V89" s="110">
        <f t="shared" si="25"/>
        <v>-736.19246951685659</v>
      </c>
      <c r="W89" s="110">
        <f t="shared" si="25"/>
        <v>-767.68133062354104</v>
      </c>
      <c r="X89" s="110">
        <f t="shared" si="25"/>
        <v>0</v>
      </c>
      <c r="Y89" s="110">
        <f t="shared" si="25"/>
        <v>0</v>
      </c>
      <c r="AA89" s="606">
        <f t="shared" si="8"/>
        <v>-23057.656489453708</v>
      </c>
      <c r="AB89" s="607">
        <f t="shared" si="20"/>
        <v>-23057.656489453708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227">
        <f>Y98</f>
        <v>4965.5174826214688</v>
      </c>
      <c r="X90" s="111">
        <v>0</v>
      </c>
      <c r="Y90" s="111">
        <v>0</v>
      </c>
      <c r="AA90" s="606">
        <f t="shared" si="8"/>
        <v>4965.5174826214688</v>
      </c>
      <c r="AB90" s="607">
        <f t="shared" si="20"/>
        <v>4965.5174826214688</v>
      </c>
    </row>
    <row r="91" spans="1:28" s="199" customFormat="1">
      <c r="A91" s="199" t="s">
        <v>55</v>
      </c>
      <c r="E91" s="148">
        <v>-22510.249658590055</v>
      </c>
      <c r="F91" s="200">
        <f>F88+F89+F90</f>
        <v>2604.2372577704386</v>
      </c>
      <c r="G91" s="200">
        <f t="shared" ref="G91:Y91" si="26">G88+G89+G90</f>
        <v>2270.0132804233385</v>
      </c>
      <c r="H91" s="200">
        <f t="shared" si="26"/>
        <v>2165.4949585001532</v>
      </c>
      <c r="I91" s="200">
        <f t="shared" si="26"/>
        <v>2530.170405909676</v>
      </c>
      <c r="J91" s="200">
        <f t="shared" si="26"/>
        <v>3162.8564939544021</v>
      </c>
      <c r="K91" s="200">
        <f t="shared" si="26"/>
        <v>3131.5431758802906</v>
      </c>
      <c r="L91" s="200">
        <f t="shared" si="26"/>
        <v>3157.1937368107865</v>
      </c>
      <c r="M91" s="200">
        <f t="shared" si="26"/>
        <v>3548.1358385350263</v>
      </c>
      <c r="N91" s="200">
        <f t="shared" si="26"/>
        <v>3602.0044588899887</v>
      </c>
      <c r="O91" s="200">
        <f t="shared" si="26"/>
        <v>3695.8786419855091</v>
      </c>
      <c r="P91" s="200">
        <f t="shared" si="26"/>
        <v>3619.0221978802729</v>
      </c>
      <c r="Q91" s="200">
        <f t="shared" si="26"/>
        <v>3736.7627079455024</v>
      </c>
      <c r="R91" s="200">
        <f t="shared" si="26"/>
        <v>3782.0598706690653</v>
      </c>
      <c r="S91" s="200">
        <f t="shared" si="26"/>
        <v>1818.0103832179586</v>
      </c>
      <c r="T91" s="200">
        <f t="shared" si="26"/>
        <v>1859.0795015996955</v>
      </c>
      <c r="U91" s="200">
        <f t="shared" si="26"/>
        <v>1900.4962671265077</v>
      </c>
      <c r="V91" s="200">
        <f t="shared" si="26"/>
        <v>1942.009786475501</v>
      </c>
      <c r="W91" s="200">
        <f t="shared" si="26"/>
        <v>6951.7244756700566</v>
      </c>
      <c r="X91" s="200">
        <f t="shared" si="26"/>
        <v>0</v>
      </c>
      <c r="Y91" s="200">
        <f t="shared" si="26"/>
        <v>0</v>
      </c>
      <c r="AA91" s="606">
        <f t="shared" si="8"/>
        <v>55476.693439244176</v>
      </c>
      <c r="AB91" s="607">
        <f t="shared" si="20"/>
        <v>55476.693439244176</v>
      </c>
    </row>
    <row r="92" spans="1:28" s="199" customFormat="1" ht="13.5" thickBot="1">
      <c r="AA92" s="606">
        <f t="shared" si="8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8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-3.6871406828632221E-12</v>
      </c>
      <c r="R94" s="204"/>
      <c r="U94" s="205" t="s">
        <v>58</v>
      </c>
      <c r="V94" s="206"/>
      <c r="W94" s="206"/>
      <c r="X94" s="206"/>
      <c r="Y94" s="207">
        <f>W88+W89</f>
        <v>1986.2069930485875</v>
      </c>
      <c r="AA94" s="606">
        <f t="shared" si="8"/>
        <v>1986.2069930485875</v>
      </c>
      <c r="AB94" s="607">
        <f t="shared" si="20"/>
        <v>1986.2069930485875</v>
      </c>
    </row>
    <row r="95" spans="1:28" s="199" customFormat="1" ht="13.5" thickBot="1">
      <c r="A95" s="199" t="s">
        <v>59</v>
      </c>
      <c r="C95" s="146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8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993.10349652429375</v>
      </c>
      <c r="AA96" s="606">
        <f t="shared" si="8"/>
        <v>993.10349652429375</v>
      </c>
      <c r="AB96" s="607">
        <f t="shared" si="20"/>
        <v>993.10349652429375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8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4965.5174826214688</v>
      </c>
      <c r="AA98" s="606">
        <f t="shared" si="8"/>
        <v>4965.5174826214688</v>
      </c>
      <c r="AB98" s="607">
        <f t="shared" si="20"/>
        <v>4965.5174826214688</v>
      </c>
    </row>
    <row r="99" spans="1:28" s="199" customFormat="1">
      <c r="A99" s="108" t="s">
        <v>63</v>
      </c>
      <c r="AA99" s="606">
        <f t="shared" si="8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8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22510.249658590055</v>
      </c>
      <c r="AA101" s="606">
        <f t="shared" si="8"/>
        <v>0</v>
      </c>
      <c r="AB101" s="607">
        <f t="shared" si="20"/>
        <v>0</v>
      </c>
    </row>
    <row r="102" spans="1:28" s="199" customFormat="1">
      <c r="D102" s="213">
        <f>D100+D101</f>
        <v>22510.249658590055</v>
      </c>
      <c r="AA102" s="606">
        <f t="shared" si="8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8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20259.224692731052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20</v>
      </c>
      <c r="C108" s="199" t="s">
        <v>0</v>
      </c>
      <c r="D108" s="214">
        <f>D104</f>
        <v>20259.224692731052</v>
      </c>
      <c r="F108" s="203">
        <f>ROUND(D108/$B$108,0)</f>
        <v>1013</v>
      </c>
      <c r="G108" s="203">
        <f>F108</f>
        <v>1013</v>
      </c>
      <c r="H108" s="203">
        <f t="shared" ref="H108:W109" si="29">G108</f>
        <v>1013</v>
      </c>
      <c r="I108" s="203">
        <f t="shared" si="29"/>
        <v>1013</v>
      </c>
      <c r="J108" s="203">
        <f t="shared" si="29"/>
        <v>1013</v>
      </c>
      <c r="K108" s="203">
        <f t="shared" si="29"/>
        <v>1013</v>
      </c>
      <c r="L108" s="203">
        <f t="shared" si="29"/>
        <v>1013</v>
      </c>
      <c r="M108" s="203">
        <f t="shared" si="29"/>
        <v>1013</v>
      </c>
      <c r="N108" s="203">
        <f t="shared" si="29"/>
        <v>1013</v>
      </c>
      <c r="O108" s="203">
        <f t="shared" si="29"/>
        <v>1013</v>
      </c>
      <c r="P108" s="203">
        <f t="shared" si="29"/>
        <v>1013</v>
      </c>
      <c r="Q108" s="203">
        <f t="shared" si="29"/>
        <v>1013</v>
      </c>
      <c r="R108" s="203">
        <f t="shared" si="29"/>
        <v>1013</v>
      </c>
      <c r="S108" s="203">
        <f t="shared" si="29"/>
        <v>1013</v>
      </c>
      <c r="T108" s="203">
        <f t="shared" si="29"/>
        <v>1013</v>
      </c>
      <c r="U108" s="203">
        <f t="shared" si="29"/>
        <v>1013</v>
      </c>
      <c r="V108" s="203">
        <f t="shared" si="29"/>
        <v>1013</v>
      </c>
      <c r="W108" s="203">
        <f t="shared" si="29"/>
        <v>1013</v>
      </c>
      <c r="X108" s="739"/>
      <c r="Y108" s="739"/>
      <c r="AA108" s="606">
        <f t="shared" si="27"/>
        <v>18234</v>
      </c>
      <c r="AB108" s="607">
        <f t="shared" si="20"/>
        <v>18234</v>
      </c>
    </row>
    <row r="109" spans="1:28" s="199" customFormat="1">
      <c r="A109" s="199" t="s">
        <v>571</v>
      </c>
      <c r="D109" s="214">
        <f>D103*'FPLE_Valuation Summary'!V15</f>
        <v>3043.9041806245168</v>
      </c>
      <c r="F109" s="203">
        <f>ROUND(D109/$B$108,0)</f>
        <v>152</v>
      </c>
      <c r="G109" s="203">
        <f>F109</f>
        <v>152</v>
      </c>
      <c r="H109" s="203">
        <f t="shared" si="29"/>
        <v>152</v>
      </c>
      <c r="I109" s="203">
        <f t="shared" si="29"/>
        <v>152</v>
      </c>
      <c r="J109" s="203">
        <f t="shared" si="29"/>
        <v>152</v>
      </c>
      <c r="K109" s="203">
        <f t="shared" si="29"/>
        <v>152</v>
      </c>
      <c r="L109" s="203">
        <f t="shared" si="29"/>
        <v>152</v>
      </c>
      <c r="M109" s="203">
        <f t="shared" si="29"/>
        <v>152</v>
      </c>
      <c r="N109" s="203">
        <f t="shared" si="29"/>
        <v>152</v>
      </c>
      <c r="O109" s="203">
        <f t="shared" si="29"/>
        <v>152</v>
      </c>
      <c r="P109" s="203">
        <f t="shared" si="29"/>
        <v>152</v>
      </c>
      <c r="Q109" s="203">
        <f t="shared" si="29"/>
        <v>152</v>
      </c>
      <c r="R109" s="203">
        <f t="shared" si="29"/>
        <v>152</v>
      </c>
      <c r="S109" s="203">
        <f t="shared" si="29"/>
        <v>152</v>
      </c>
      <c r="T109" s="203">
        <f t="shared" si="29"/>
        <v>152</v>
      </c>
      <c r="U109" s="203">
        <f t="shared" si="29"/>
        <v>152</v>
      </c>
      <c r="V109" s="203">
        <f t="shared" si="29"/>
        <v>152</v>
      </c>
      <c r="W109" s="203">
        <f t="shared" si="29"/>
        <v>152</v>
      </c>
      <c r="X109" s="739"/>
      <c r="Y109" s="739"/>
      <c r="AA109" s="606">
        <f t="shared" si="27"/>
        <v>2736</v>
      </c>
      <c r="AB109" s="607">
        <f t="shared" si="20"/>
        <v>2736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20259.224692731052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W114" si="30">$D$112*F113</f>
        <v>759.72092597741437</v>
      </c>
      <c r="G114" s="203">
        <f t="shared" si="30"/>
        <v>1462.5134305682548</v>
      </c>
      <c r="H114" s="203">
        <f t="shared" si="30"/>
        <v>1352.7084327336522</v>
      </c>
      <c r="I114" s="203">
        <f t="shared" si="30"/>
        <v>1251.412309269997</v>
      </c>
      <c r="J114" s="203">
        <f t="shared" si="30"/>
        <v>1157.409506695725</v>
      </c>
      <c r="K114" s="203">
        <f t="shared" si="30"/>
        <v>1070.700025010836</v>
      </c>
      <c r="L114" s="203">
        <f t="shared" si="30"/>
        <v>990.27090298069379</v>
      </c>
      <c r="M114" s="203">
        <f t="shared" si="30"/>
        <v>916.12214060529823</v>
      </c>
      <c r="N114" s="203">
        <f t="shared" si="30"/>
        <v>903.96660578965952</v>
      </c>
      <c r="O114" s="203">
        <f t="shared" si="30"/>
        <v>903.76401354273219</v>
      </c>
      <c r="P114" s="203">
        <f t="shared" si="30"/>
        <v>903.96660578965952</v>
      </c>
      <c r="Q114" s="203">
        <f t="shared" si="30"/>
        <v>903.76401354273219</v>
      </c>
      <c r="R114" s="203">
        <f t="shared" si="30"/>
        <v>903.96660578965952</v>
      </c>
      <c r="S114" s="203">
        <f t="shared" si="30"/>
        <v>903.76401354273219</v>
      </c>
      <c r="T114" s="203">
        <f t="shared" si="30"/>
        <v>903.96660578965952</v>
      </c>
      <c r="U114" s="203">
        <f t="shared" si="30"/>
        <v>903.76401354273219</v>
      </c>
      <c r="V114" s="203">
        <f t="shared" si="30"/>
        <v>903.96660578965952</v>
      </c>
      <c r="W114" s="203">
        <f t="shared" si="30"/>
        <v>903.76401354273219</v>
      </c>
      <c r="X114" s="739"/>
      <c r="Y114" s="739"/>
      <c r="AA114" s="606">
        <f t="shared" si="27"/>
        <v>17999.510770503828</v>
      </c>
      <c r="AB114" s="607">
        <f t="shared" si="20"/>
        <v>17999.510770503828</v>
      </c>
    </row>
    <row r="115" spans="1:28" s="199" customFormat="1">
      <c r="A115" s="199" t="s">
        <v>571</v>
      </c>
      <c r="D115" s="214">
        <f>D109</f>
        <v>3043.9041806245168</v>
      </c>
      <c r="F115" s="203">
        <f>$D$115*F113</f>
        <v>114.14640677341937</v>
      </c>
      <c r="G115" s="203">
        <f t="shared" ref="G115:W115" si="31">$D$115*G113</f>
        <v>219.73944279928389</v>
      </c>
      <c r="H115" s="203">
        <f t="shared" si="31"/>
        <v>203.24148214029898</v>
      </c>
      <c r="I115" s="203">
        <f t="shared" si="31"/>
        <v>188.02196123717641</v>
      </c>
      <c r="J115" s="203">
        <f t="shared" si="31"/>
        <v>173.89824583907864</v>
      </c>
      <c r="K115" s="203">
        <f t="shared" si="31"/>
        <v>160.87033594600572</v>
      </c>
      <c r="L115" s="203">
        <f t="shared" si="31"/>
        <v>148.78603634892639</v>
      </c>
      <c r="M115" s="203">
        <f t="shared" si="31"/>
        <v>137.64534704784066</v>
      </c>
      <c r="N115" s="203">
        <f t="shared" si="31"/>
        <v>135.81900453946594</v>
      </c>
      <c r="O115" s="203">
        <f t="shared" si="31"/>
        <v>135.78856549765968</v>
      </c>
      <c r="P115" s="203">
        <f t="shared" si="31"/>
        <v>135.81900453946594</v>
      </c>
      <c r="Q115" s="203">
        <f t="shared" si="31"/>
        <v>135.78856549765968</v>
      </c>
      <c r="R115" s="203">
        <f t="shared" si="31"/>
        <v>135.81900453946594</v>
      </c>
      <c r="S115" s="203">
        <f t="shared" si="31"/>
        <v>135.78856549765968</v>
      </c>
      <c r="T115" s="203">
        <f t="shared" si="31"/>
        <v>135.81900453946594</v>
      </c>
      <c r="U115" s="203">
        <f t="shared" si="31"/>
        <v>135.78856549765968</v>
      </c>
      <c r="V115" s="203">
        <f t="shared" si="31"/>
        <v>135.81900453946594</v>
      </c>
      <c r="W115" s="203">
        <f t="shared" si="31"/>
        <v>135.78856549765968</v>
      </c>
      <c r="X115" s="739"/>
      <c r="Y115" s="739"/>
      <c r="AA115" s="606">
        <f t="shared" si="27"/>
        <v>2704.3871083176587</v>
      </c>
      <c r="AB115" s="607">
        <f t="shared" si="20"/>
        <v>2704.3871083176587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3912.3900000000003</v>
      </c>
      <c r="G120" s="203">
        <f t="shared" ref="G120:Y120" si="33">G39</f>
        <v>2842.7016999999996</v>
      </c>
      <c r="H120" s="203">
        <f t="shared" si="33"/>
        <v>2741.9327510000003</v>
      </c>
      <c r="I120" s="203">
        <f t="shared" si="33"/>
        <v>3437.0807335300005</v>
      </c>
      <c r="J120" s="203">
        <f t="shared" si="33"/>
        <v>4585.1431555359004</v>
      </c>
      <c r="K120" s="203">
        <f t="shared" si="33"/>
        <v>4593.1174502019767</v>
      </c>
      <c r="L120" s="203">
        <f t="shared" si="33"/>
        <v>4694.0009737080363</v>
      </c>
      <c r="M120" s="203">
        <f t="shared" si="33"/>
        <v>5414.7910029192772</v>
      </c>
      <c r="N120" s="203">
        <f t="shared" si="33"/>
        <v>5515.484733006856</v>
      </c>
      <c r="O120" s="203">
        <f t="shared" si="33"/>
        <v>5676.0792749970615</v>
      </c>
      <c r="P120" s="203">
        <f t="shared" si="33"/>
        <v>5544.5716532469733</v>
      </c>
      <c r="Q120" s="203">
        <f t="shared" si="33"/>
        <v>5745.9588028443832</v>
      </c>
      <c r="R120" s="203">
        <f t="shared" si="33"/>
        <v>5823.2375669297135</v>
      </c>
      <c r="S120" s="203">
        <f t="shared" si="33"/>
        <v>2466.4046939376053</v>
      </c>
      <c r="T120" s="203">
        <f t="shared" si="33"/>
        <v>2536.4568347557333</v>
      </c>
      <c r="U120" s="203">
        <f t="shared" si="33"/>
        <v>2607.3905397984054</v>
      </c>
      <c r="V120" s="203">
        <f t="shared" si="33"/>
        <v>2678.2022559923575</v>
      </c>
      <c r="W120" s="203">
        <f t="shared" si="33"/>
        <v>2753.8883236721285</v>
      </c>
      <c r="X120" s="203">
        <f t="shared" si="33"/>
        <v>0</v>
      </c>
      <c r="Y120" s="203">
        <f t="shared" si="33"/>
        <v>0</v>
      </c>
      <c r="AA120" s="606">
        <f t="shared" si="27"/>
        <v>73568.832446076427</v>
      </c>
      <c r="AB120" s="607">
        <f t="shared" si="20"/>
        <v>73568.832446076427</v>
      </c>
    </row>
    <row r="121" spans="1:28" s="199" customFormat="1">
      <c r="A121" s="199" t="s">
        <v>74</v>
      </c>
      <c r="F121" s="203">
        <f>-F114</f>
        <v>-759.72092597741437</v>
      </c>
      <c r="G121" s="203">
        <f t="shared" ref="G121:Y121" si="34">-G114</f>
        <v>-1462.5134305682548</v>
      </c>
      <c r="H121" s="203">
        <f t="shared" si="34"/>
        <v>-1352.7084327336522</v>
      </c>
      <c r="I121" s="203">
        <f t="shared" si="34"/>
        <v>-1251.412309269997</v>
      </c>
      <c r="J121" s="203">
        <f t="shared" si="34"/>
        <v>-1157.409506695725</v>
      </c>
      <c r="K121" s="203">
        <f t="shared" si="34"/>
        <v>-1070.700025010836</v>
      </c>
      <c r="L121" s="203">
        <f t="shared" si="34"/>
        <v>-990.27090298069379</v>
      </c>
      <c r="M121" s="203">
        <f t="shared" si="34"/>
        <v>-916.12214060529823</v>
      </c>
      <c r="N121" s="203">
        <f t="shared" si="34"/>
        <v>-903.96660578965952</v>
      </c>
      <c r="O121" s="203">
        <f t="shared" si="34"/>
        <v>-903.76401354273219</v>
      </c>
      <c r="P121" s="203">
        <f t="shared" si="34"/>
        <v>-903.96660578965952</v>
      </c>
      <c r="Q121" s="203">
        <f t="shared" si="34"/>
        <v>-903.76401354273219</v>
      </c>
      <c r="R121" s="203">
        <f t="shared" si="34"/>
        <v>-903.96660578965952</v>
      </c>
      <c r="S121" s="203">
        <f t="shared" si="34"/>
        <v>-903.76401354273219</v>
      </c>
      <c r="T121" s="203">
        <f t="shared" si="34"/>
        <v>-903.96660578965952</v>
      </c>
      <c r="U121" s="203">
        <f t="shared" si="34"/>
        <v>-903.76401354273219</v>
      </c>
      <c r="V121" s="203">
        <f t="shared" si="34"/>
        <v>-903.96660578965952</v>
      </c>
      <c r="W121" s="203">
        <f t="shared" si="34"/>
        <v>-903.76401354273219</v>
      </c>
      <c r="X121" s="203">
        <f t="shared" si="34"/>
        <v>0</v>
      </c>
      <c r="Y121" s="203">
        <f t="shared" si="34"/>
        <v>0</v>
      </c>
      <c r="AA121" s="606">
        <f t="shared" si="27"/>
        <v>-17999.510770503828</v>
      </c>
      <c r="AB121" s="607">
        <f t="shared" si="20"/>
        <v>-17999.510770503828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3152.6690740225858</v>
      </c>
      <c r="G123" s="203">
        <f t="shared" ref="G123:Y123" si="36">SUM(G120:G122)</f>
        <v>1380.1882694317449</v>
      </c>
      <c r="H123" s="203">
        <f t="shared" si="36"/>
        <v>1389.2243182663481</v>
      </c>
      <c r="I123" s="203">
        <f t="shared" si="36"/>
        <v>2185.6684242600036</v>
      </c>
      <c r="J123" s="203">
        <f t="shared" si="36"/>
        <v>3427.7336488401752</v>
      </c>
      <c r="K123" s="203">
        <f t="shared" si="36"/>
        <v>3522.4174251911409</v>
      </c>
      <c r="L123" s="203">
        <f t="shared" si="36"/>
        <v>3703.7300707273425</v>
      </c>
      <c r="M123" s="203">
        <f t="shared" si="36"/>
        <v>4498.6688623139789</v>
      </c>
      <c r="N123" s="203">
        <f t="shared" si="36"/>
        <v>4611.5181272171967</v>
      </c>
      <c r="O123" s="203">
        <f t="shared" si="36"/>
        <v>4772.3152614543296</v>
      </c>
      <c r="P123" s="203">
        <f t="shared" si="36"/>
        <v>4640.605047457314</v>
      </c>
      <c r="Q123" s="203">
        <f t="shared" si="36"/>
        <v>4842.1947893016513</v>
      </c>
      <c r="R123" s="203">
        <f t="shared" si="36"/>
        <v>4919.2709611400542</v>
      </c>
      <c r="S123" s="203">
        <f t="shared" si="36"/>
        <v>1562.640680394873</v>
      </c>
      <c r="T123" s="203">
        <f t="shared" si="36"/>
        <v>1632.4902289660738</v>
      </c>
      <c r="U123" s="203">
        <f t="shared" si="36"/>
        <v>1703.6265262556731</v>
      </c>
      <c r="V123" s="203">
        <f t="shared" si="36"/>
        <v>1774.235650202698</v>
      </c>
      <c r="W123" s="203">
        <f t="shared" si="36"/>
        <v>1850.1243101293962</v>
      </c>
      <c r="X123" s="203">
        <f t="shared" si="36"/>
        <v>0</v>
      </c>
      <c r="Y123" s="203">
        <f t="shared" si="36"/>
        <v>0</v>
      </c>
      <c r="AA123" s="606">
        <f t="shared" si="27"/>
        <v>55569.321675572566</v>
      </c>
      <c r="AB123" s="607">
        <f t="shared" si="20"/>
        <v>55569.321675572566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9.9900000000000003E-2</v>
      </c>
      <c r="F125" s="203">
        <f>-F123*$C$125</f>
        <v>-314.95164049485635</v>
      </c>
      <c r="G125" s="203">
        <f t="shared" ref="G125:Y125" si="37">-G123*$C$125</f>
        <v>-137.88080811623132</v>
      </c>
      <c r="H125" s="203">
        <f t="shared" si="37"/>
        <v>-138.78350939480816</v>
      </c>
      <c r="I125" s="203">
        <f t="shared" si="37"/>
        <v>-218.34827558357435</v>
      </c>
      <c r="J125" s="203">
        <f t="shared" si="37"/>
        <v>-342.43059151913349</v>
      </c>
      <c r="K125" s="203">
        <f t="shared" si="37"/>
        <v>-351.88950077659496</v>
      </c>
      <c r="L125" s="203">
        <f t="shared" si="37"/>
        <v>-370.00263406566154</v>
      </c>
      <c r="M125" s="203">
        <f t="shared" si="37"/>
        <v>-449.41701934516652</v>
      </c>
      <c r="N125" s="203">
        <f t="shared" si="37"/>
        <v>-460.69066090899798</v>
      </c>
      <c r="O125" s="203">
        <f t="shared" si="37"/>
        <v>-476.75429461928752</v>
      </c>
      <c r="P125" s="203">
        <f t="shared" si="37"/>
        <v>-463.5964442409857</v>
      </c>
      <c r="Q125" s="203">
        <f t="shared" si="37"/>
        <v>-483.73525945123498</v>
      </c>
      <c r="R125" s="203">
        <f t="shared" si="37"/>
        <v>-491.43516901789144</v>
      </c>
      <c r="S125" s="203">
        <f t="shared" si="37"/>
        <v>-156.10780397144782</v>
      </c>
      <c r="T125" s="203">
        <f t="shared" si="37"/>
        <v>-163.08577387371076</v>
      </c>
      <c r="U125" s="203">
        <f t="shared" si="37"/>
        <v>-170.19228997294175</v>
      </c>
      <c r="V125" s="203">
        <f t="shared" si="37"/>
        <v>-177.24614145524953</v>
      </c>
      <c r="W125" s="203">
        <f t="shared" si="37"/>
        <v>-184.82741858192668</v>
      </c>
      <c r="X125" s="203">
        <f t="shared" si="37"/>
        <v>0</v>
      </c>
      <c r="Y125" s="203">
        <f t="shared" si="37"/>
        <v>0</v>
      </c>
      <c r="AA125" s="606">
        <f t="shared" si="27"/>
        <v>-5551.3752353896998</v>
      </c>
      <c r="AB125" s="607">
        <f t="shared" si="20"/>
        <v>-5551.3752353896998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-993.20110173470528</v>
      </c>
      <c r="G126" s="203">
        <f t="shared" ref="G126:Y126" si="38">-(G123+G125)*$C$126</f>
        <v>-434.80761146042971</v>
      </c>
      <c r="H126" s="203">
        <f t="shared" si="38"/>
        <v>-437.65428310503899</v>
      </c>
      <c r="I126" s="203">
        <f t="shared" si="38"/>
        <v>-688.56205203675017</v>
      </c>
      <c r="J126" s="203">
        <f t="shared" si="38"/>
        <v>-1079.8560700623646</v>
      </c>
      <c r="K126" s="203">
        <f t="shared" si="38"/>
        <v>-1109.684773545091</v>
      </c>
      <c r="L126" s="203">
        <f t="shared" si="38"/>
        <v>-1166.8046028315882</v>
      </c>
      <c r="M126" s="203">
        <f t="shared" si="38"/>
        <v>-1417.2381450390842</v>
      </c>
      <c r="N126" s="203">
        <f t="shared" si="38"/>
        <v>-1452.7896132078693</v>
      </c>
      <c r="O126" s="203">
        <f t="shared" si="38"/>
        <v>-1503.4463383922648</v>
      </c>
      <c r="P126" s="203">
        <f t="shared" si="38"/>
        <v>-1461.9530111257147</v>
      </c>
      <c r="Q126" s="203">
        <f t="shared" si="38"/>
        <v>-1525.4608354476456</v>
      </c>
      <c r="R126" s="203">
        <f t="shared" si="38"/>
        <v>-1549.742527242757</v>
      </c>
      <c r="S126" s="203">
        <f t="shared" si="38"/>
        <v>-492.2865067481988</v>
      </c>
      <c r="T126" s="203">
        <f t="shared" si="38"/>
        <v>-514.29155928232706</v>
      </c>
      <c r="U126" s="203">
        <f t="shared" si="38"/>
        <v>-536.70198269895593</v>
      </c>
      <c r="V126" s="203">
        <f t="shared" si="38"/>
        <v>-558.94632806160701</v>
      </c>
      <c r="W126" s="203">
        <f t="shared" si="38"/>
        <v>-582.85391204161431</v>
      </c>
      <c r="X126" s="203">
        <f t="shared" si="38"/>
        <v>0</v>
      </c>
      <c r="Y126" s="203">
        <f t="shared" si="38"/>
        <v>0</v>
      </c>
      <c r="AA126" s="606">
        <f t="shared" si="27"/>
        <v>-17506.281254064004</v>
      </c>
      <c r="AB126" s="607">
        <f t="shared" si="20"/>
        <v>-17506.281254064004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47.38</v>
      </c>
      <c r="G137" s="218">
        <f t="shared" ref="G137:Y137" si="41">SUM(G33:G35)</f>
        <v>48.801400000000001</v>
      </c>
      <c r="H137" s="218">
        <f t="shared" si="41"/>
        <v>50.265442</v>
      </c>
      <c r="I137" s="218">
        <f t="shared" si="41"/>
        <v>51.773405260000004</v>
      </c>
      <c r="J137" s="218">
        <f t="shared" si="41"/>
        <v>53.326607417800005</v>
      </c>
      <c r="K137" s="218">
        <f t="shared" si="41"/>
        <v>54.926405640334004</v>
      </c>
      <c r="L137" s="218">
        <f t="shared" si="41"/>
        <v>56.574197809544025</v>
      </c>
      <c r="M137" s="218">
        <f t="shared" si="41"/>
        <v>58.271423743830347</v>
      </c>
      <c r="N137" s="218">
        <f t="shared" si="41"/>
        <v>60.019566456145256</v>
      </c>
      <c r="O137" s="218">
        <f t="shared" si="41"/>
        <v>61.820153449829618</v>
      </c>
      <c r="P137" s="218">
        <f t="shared" si="41"/>
        <v>63.67475805332451</v>
      </c>
      <c r="Q137" s="218">
        <f t="shared" si="41"/>
        <v>65.585000794924241</v>
      </c>
      <c r="R137" s="218">
        <f t="shared" si="41"/>
        <v>67.552550818771977</v>
      </c>
      <c r="S137" s="218">
        <f t="shared" si="41"/>
        <v>69.579127343335131</v>
      </c>
      <c r="T137" s="218">
        <f t="shared" si="41"/>
        <v>71.666501163635189</v>
      </c>
      <c r="U137" s="218">
        <f t="shared" si="41"/>
        <v>73.816496198544243</v>
      </c>
      <c r="V137" s="218">
        <f t="shared" si="41"/>
        <v>76.03099108450057</v>
      </c>
      <c r="W137" s="218">
        <f t="shared" si="41"/>
        <v>78.311920817035585</v>
      </c>
      <c r="X137" s="218">
        <f t="shared" si="41"/>
        <v>0</v>
      </c>
      <c r="Y137" s="218">
        <f t="shared" si="41"/>
        <v>0</v>
      </c>
      <c r="AA137" s="606">
        <f t="shared" si="27"/>
        <v>1109.3759480515546</v>
      </c>
      <c r="AB137" s="607">
        <f t="shared" si="40"/>
        <v>1109.3759480515546</v>
      </c>
    </row>
    <row r="138" spans="1:28" s="199" customFormat="1">
      <c r="A138" s="199" t="s">
        <v>79</v>
      </c>
      <c r="F138" s="203">
        <f>F136+F137</f>
        <v>47.38</v>
      </c>
      <c r="G138" s="203">
        <f t="shared" ref="G138:Y138" si="42">G136+G137</f>
        <v>48.801400000000001</v>
      </c>
      <c r="H138" s="203">
        <f t="shared" si="42"/>
        <v>50.265442</v>
      </c>
      <c r="I138" s="203">
        <f t="shared" si="42"/>
        <v>51.773405260000004</v>
      </c>
      <c r="J138" s="203">
        <f t="shared" si="42"/>
        <v>53.326607417800005</v>
      </c>
      <c r="K138" s="203">
        <f t="shared" si="42"/>
        <v>54.926405640334004</v>
      </c>
      <c r="L138" s="203">
        <f t="shared" si="42"/>
        <v>56.574197809544025</v>
      </c>
      <c r="M138" s="203">
        <f t="shared" si="42"/>
        <v>58.271423743830347</v>
      </c>
      <c r="N138" s="203">
        <f t="shared" si="42"/>
        <v>60.019566456145256</v>
      </c>
      <c r="O138" s="203">
        <f t="shared" si="42"/>
        <v>61.820153449829618</v>
      </c>
      <c r="P138" s="203">
        <f t="shared" si="42"/>
        <v>63.67475805332451</v>
      </c>
      <c r="Q138" s="203">
        <f t="shared" si="42"/>
        <v>65.585000794924241</v>
      </c>
      <c r="R138" s="203">
        <f t="shared" si="42"/>
        <v>67.552550818771977</v>
      </c>
      <c r="S138" s="203">
        <f t="shared" si="42"/>
        <v>69.579127343335131</v>
      </c>
      <c r="T138" s="203">
        <f t="shared" si="42"/>
        <v>71.666501163635189</v>
      </c>
      <c r="U138" s="203">
        <f t="shared" si="42"/>
        <v>73.816496198544243</v>
      </c>
      <c r="V138" s="203">
        <f t="shared" si="42"/>
        <v>76.03099108450057</v>
      </c>
      <c r="W138" s="203">
        <f t="shared" si="42"/>
        <v>78.311920817035585</v>
      </c>
      <c r="X138" s="203">
        <f t="shared" si="42"/>
        <v>0</v>
      </c>
      <c r="Y138" s="203">
        <f t="shared" si="42"/>
        <v>0</v>
      </c>
      <c r="AA138" s="606">
        <f t="shared" si="27"/>
        <v>1109.3759480515546</v>
      </c>
      <c r="AB138" s="607">
        <f t="shared" si="40"/>
        <v>1109.3759480515546</v>
      </c>
    </row>
    <row r="139" spans="1:28" s="199" customFormat="1">
      <c r="A139" s="199" t="s">
        <v>80</v>
      </c>
      <c r="C139" s="219">
        <f>C125</f>
        <v>9.9900000000000003E-2</v>
      </c>
      <c r="F139" s="203">
        <f>F138*$C$139</f>
        <v>4.7332620000000007</v>
      </c>
      <c r="G139" s="203">
        <f t="shared" ref="G139:Y139" si="43">G138*$C$139</f>
        <v>4.8752598599999999</v>
      </c>
      <c r="H139" s="203">
        <f t="shared" si="43"/>
        <v>5.0215176558000003</v>
      </c>
      <c r="I139" s="203">
        <f t="shared" si="43"/>
        <v>5.1721631854740009</v>
      </c>
      <c r="J139" s="203">
        <f t="shared" si="43"/>
        <v>5.3273280810382211</v>
      </c>
      <c r="K139" s="203">
        <f t="shared" si="43"/>
        <v>5.487147923469367</v>
      </c>
      <c r="L139" s="203">
        <f t="shared" si="43"/>
        <v>5.6517623611734482</v>
      </c>
      <c r="M139" s="203">
        <f t="shared" si="43"/>
        <v>5.8213152320086516</v>
      </c>
      <c r="N139" s="203">
        <f t="shared" si="43"/>
        <v>5.9959546889689115</v>
      </c>
      <c r="O139" s="203">
        <f t="shared" si="43"/>
        <v>6.175833329637979</v>
      </c>
      <c r="P139" s="203">
        <f t="shared" si="43"/>
        <v>6.3611083295271191</v>
      </c>
      <c r="Q139" s="203">
        <f t="shared" si="43"/>
        <v>6.5519415794129321</v>
      </c>
      <c r="R139" s="203">
        <f t="shared" si="43"/>
        <v>6.7484998267953209</v>
      </c>
      <c r="S139" s="203">
        <f t="shared" si="43"/>
        <v>6.9509548215991801</v>
      </c>
      <c r="T139" s="203">
        <f t="shared" si="43"/>
        <v>7.1594834662471554</v>
      </c>
      <c r="U139" s="203">
        <f t="shared" si="43"/>
        <v>7.3742679702345697</v>
      </c>
      <c r="V139" s="203">
        <f t="shared" si="43"/>
        <v>7.5954960093416073</v>
      </c>
      <c r="W139" s="203">
        <f t="shared" si="43"/>
        <v>7.8233608896218554</v>
      </c>
      <c r="X139" s="203">
        <f t="shared" si="43"/>
        <v>0</v>
      </c>
      <c r="Y139" s="203">
        <f t="shared" si="43"/>
        <v>0</v>
      </c>
      <c r="AA139" s="606">
        <f t="shared" si="27"/>
        <v>110.82665721035032</v>
      </c>
      <c r="AB139" s="607">
        <f t="shared" si="40"/>
        <v>110.82665721035032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14.926358299999999</v>
      </c>
      <c r="G140" s="218">
        <f t="shared" ref="G140:Y140" si="44">(G138-G139)*$C$140</f>
        <v>15.374149049</v>
      </c>
      <c r="H140" s="218">
        <f t="shared" si="44"/>
        <v>15.835373520469998</v>
      </c>
      <c r="I140" s="218">
        <f t="shared" si="44"/>
        <v>16.3104347260841</v>
      </c>
      <c r="J140" s="218">
        <f t="shared" si="44"/>
        <v>16.799747767866624</v>
      </c>
      <c r="K140" s="218">
        <f t="shared" si="44"/>
        <v>17.303740200902624</v>
      </c>
      <c r="L140" s="218">
        <f t="shared" si="44"/>
        <v>17.822852406929702</v>
      </c>
      <c r="M140" s="218">
        <f t="shared" si="44"/>
        <v>18.357537979137593</v>
      </c>
      <c r="N140" s="218">
        <f t="shared" si="44"/>
        <v>18.90826411851172</v>
      </c>
      <c r="O140" s="218">
        <f t="shared" si="44"/>
        <v>19.47551204206707</v>
      </c>
      <c r="P140" s="218">
        <f t="shared" si="44"/>
        <v>20.059777403329086</v>
      </c>
      <c r="Q140" s="218">
        <f t="shared" si="44"/>
        <v>20.661570725428955</v>
      </c>
      <c r="R140" s="218">
        <f t="shared" si="44"/>
        <v>21.281417847191825</v>
      </c>
      <c r="S140" s="218">
        <f t="shared" si="44"/>
        <v>21.919860382607581</v>
      </c>
      <c r="T140" s="218">
        <f t="shared" si="44"/>
        <v>22.577456194085812</v>
      </c>
      <c r="U140" s="218">
        <f t="shared" si="44"/>
        <v>23.254779879908384</v>
      </c>
      <c r="V140" s="218">
        <f t="shared" si="44"/>
        <v>23.952423276305638</v>
      </c>
      <c r="W140" s="218">
        <f t="shared" si="44"/>
        <v>24.670995974594806</v>
      </c>
      <c r="X140" s="218">
        <f t="shared" si="44"/>
        <v>0</v>
      </c>
      <c r="Y140" s="218">
        <f t="shared" si="44"/>
        <v>0</v>
      </c>
      <c r="AA140" s="606">
        <f t="shared" si="27"/>
        <v>349.49225179442146</v>
      </c>
      <c r="AB140" s="607">
        <f t="shared" si="40"/>
        <v>349.49225179442146</v>
      </c>
    </row>
    <row r="141" spans="1:28" s="199" customFormat="1">
      <c r="A141" s="199" t="s">
        <v>82</v>
      </c>
      <c r="F141" s="203">
        <f>F138-F139-F140</f>
        <v>27.720379700000002</v>
      </c>
      <c r="G141" s="203">
        <f t="shared" ref="G141:Y141" si="45">G138-G139-G140</f>
        <v>28.551991091000001</v>
      </c>
      <c r="H141" s="203">
        <f t="shared" si="45"/>
        <v>29.408550823729996</v>
      </c>
      <c r="I141" s="203">
        <f t="shared" si="45"/>
        <v>30.290807348441906</v>
      </c>
      <c r="J141" s="203">
        <f t="shared" si="45"/>
        <v>31.199531568895164</v>
      </c>
      <c r="K141" s="203">
        <f t="shared" si="45"/>
        <v>32.135517515962015</v>
      </c>
      <c r="L141" s="203">
        <f t="shared" si="45"/>
        <v>33.09958304144088</v>
      </c>
      <c r="M141" s="203">
        <f t="shared" si="45"/>
        <v>34.092570532684107</v>
      </c>
      <c r="N141" s="203">
        <f t="shared" si="45"/>
        <v>35.115347648664624</v>
      </c>
      <c r="O141" s="203">
        <f t="shared" si="45"/>
        <v>36.16880807812457</v>
      </c>
      <c r="P141" s="203">
        <f t="shared" si="45"/>
        <v>37.253872320468304</v>
      </c>
      <c r="Q141" s="203">
        <f t="shared" si="45"/>
        <v>38.371488490082356</v>
      </c>
      <c r="R141" s="203">
        <f t="shared" si="45"/>
        <v>39.522633144784827</v>
      </c>
      <c r="S141" s="203">
        <f t="shared" si="45"/>
        <v>40.708312139128367</v>
      </c>
      <c r="T141" s="203">
        <f t="shared" si="45"/>
        <v>41.929561503302224</v>
      </c>
      <c r="U141" s="203">
        <f t="shared" si="45"/>
        <v>43.18744834840129</v>
      </c>
      <c r="V141" s="203">
        <f t="shared" si="45"/>
        <v>44.483071798853331</v>
      </c>
      <c r="W141" s="203">
        <f t="shared" si="45"/>
        <v>45.817563952818929</v>
      </c>
      <c r="X141" s="203">
        <f t="shared" si="45"/>
        <v>0</v>
      </c>
      <c r="Y141" s="203">
        <f t="shared" si="45"/>
        <v>0</v>
      </c>
      <c r="AA141" s="606">
        <f t="shared" si="27"/>
        <v>649.05703904678285</v>
      </c>
      <c r="AB141" s="607">
        <f t="shared" si="40"/>
        <v>649.05703904678285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1696.3316103500001</v>
      </c>
      <c r="G143" s="220">
        <f t="shared" ref="G143:Y143" si="46">G76</f>
        <v>1070.4944251104998</v>
      </c>
      <c r="H143" s="220">
        <f t="shared" si="46"/>
        <v>1011.5380399638152</v>
      </c>
      <c r="I143" s="220">
        <f t="shared" si="46"/>
        <v>1418.2447943627299</v>
      </c>
      <c r="J143" s="220">
        <f t="shared" si="46"/>
        <v>2089.9359352936117</v>
      </c>
      <c r="K143" s="220">
        <f t="shared" si="46"/>
        <v>2094.6014160024197</v>
      </c>
      <c r="L143" s="220">
        <f t="shared" si="46"/>
        <v>2153.6248346824923</v>
      </c>
      <c r="M143" s="220">
        <f t="shared" si="46"/>
        <v>2575.333853122967</v>
      </c>
      <c r="N143" s="220">
        <f t="shared" si="46"/>
        <v>2634.2462303166567</v>
      </c>
      <c r="O143" s="220">
        <f t="shared" si="46"/>
        <v>2728.204476026156</v>
      </c>
      <c r="P143" s="220">
        <f t="shared" si="46"/>
        <v>2651.2639693069405</v>
      </c>
      <c r="Q143" s="220">
        <f t="shared" si="46"/>
        <v>2769.0885419861493</v>
      </c>
      <c r="R143" s="220">
        <f t="shared" si="46"/>
        <v>2814.3016420957329</v>
      </c>
      <c r="S143" s="220">
        <f t="shared" si="46"/>
        <v>850.33621725860507</v>
      </c>
      <c r="T143" s="220">
        <f t="shared" si="46"/>
        <v>891.32127302636309</v>
      </c>
      <c r="U143" s="220">
        <f t="shared" si="46"/>
        <v>932.82210116715419</v>
      </c>
      <c r="V143" s="220">
        <f t="shared" si="46"/>
        <v>974.25155790216866</v>
      </c>
      <c r="W143" s="220">
        <f t="shared" si="46"/>
        <v>1018.5328270892339</v>
      </c>
      <c r="X143" s="220">
        <f t="shared" si="46"/>
        <v>0</v>
      </c>
      <c r="Y143" s="220">
        <f t="shared" si="46"/>
        <v>0</v>
      </c>
      <c r="AA143" s="606">
        <f t="shared" si="27"/>
        <v>32374.473745063693</v>
      </c>
      <c r="AB143" s="607">
        <f t="shared" si="40"/>
        <v>32374.473745063693</v>
      </c>
    </row>
    <row r="144" spans="1:28" s="199" customFormat="1">
      <c r="A144" s="124" t="s">
        <v>91</v>
      </c>
      <c r="F144" s="213">
        <f>F141+F143</f>
        <v>1724.0519900500001</v>
      </c>
      <c r="G144" s="213">
        <f t="shared" ref="G144:Y144" si="47">G141+G143</f>
        <v>1099.0464162014998</v>
      </c>
      <c r="H144" s="213">
        <f t="shared" si="47"/>
        <v>1040.9465907875451</v>
      </c>
      <c r="I144" s="213">
        <f t="shared" si="47"/>
        <v>1448.5356017111717</v>
      </c>
      <c r="J144" s="213">
        <f t="shared" si="47"/>
        <v>2121.1354668625067</v>
      </c>
      <c r="K144" s="213">
        <f t="shared" si="47"/>
        <v>2126.7369335183816</v>
      </c>
      <c r="L144" s="213">
        <f t="shared" si="47"/>
        <v>2186.7244177239331</v>
      </c>
      <c r="M144" s="213">
        <f t="shared" si="47"/>
        <v>2609.426423655651</v>
      </c>
      <c r="N144" s="213">
        <f t="shared" si="47"/>
        <v>2669.3615779653214</v>
      </c>
      <c r="O144" s="213">
        <f t="shared" si="47"/>
        <v>2764.3732841042806</v>
      </c>
      <c r="P144" s="213">
        <f t="shared" si="47"/>
        <v>2688.5178416274089</v>
      </c>
      <c r="Q144" s="213">
        <f t="shared" si="47"/>
        <v>2807.4600304762316</v>
      </c>
      <c r="R144" s="213">
        <f t="shared" si="47"/>
        <v>2853.8242752405176</v>
      </c>
      <c r="S144" s="213">
        <f t="shared" si="47"/>
        <v>891.04452939773341</v>
      </c>
      <c r="T144" s="213">
        <f t="shared" si="47"/>
        <v>933.25083452966533</v>
      </c>
      <c r="U144" s="213">
        <f t="shared" si="47"/>
        <v>976.00954951555548</v>
      </c>
      <c r="V144" s="213">
        <f t="shared" si="47"/>
        <v>1018.734629701022</v>
      </c>
      <c r="W144" s="213">
        <f t="shared" si="47"/>
        <v>1064.3503910420529</v>
      </c>
      <c r="X144" s="213">
        <f t="shared" si="47"/>
        <v>0</v>
      </c>
      <c r="Y144" s="213">
        <f t="shared" si="47"/>
        <v>0</v>
      </c>
      <c r="AA144" s="606">
        <f t="shared" si="27"/>
        <v>33023.53078411048</v>
      </c>
      <c r="AB144" s="607">
        <f t="shared" si="40"/>
        <v>33023.53078411048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+F137*(1-(C139+C140*(1-C139)))</f>
        <v>27.720379699999999</v>
      </c>
      <c r="G149" s="165">
        <f t="shared" ref="G149:Y149" si="48">+G137*(1-($C$139+$C$140*(1-$C$139)))</f>
        <v>28.551991090999998</v>
      </c>
      <c r="H149" s="165">
        <f t="shared" si="48"/>
        <v>29.408550823729996</v>
      </c>
      <c r="I149" s="165">
        <f t="shared" si="48"/>
        <v>30.290807348441898</v>
      </c>
      <c r="J149" s="165">
        <f t="shared" si="48"/>
        <v>31.199531568895157</v>
      </c>
      <c r="K149" s="165">
        <f t="shared" si="48"/>
        <v>32.135517515962007</v>
      </c>
      <c r="L149" s="165">
        <f t="shared" si="48"/>
        <v>33.099583041440873</v>
      </c>
      <c r="M149" s="165">
        <f t="shared" si="48"/>
        <v>34.0925705326841</v>
      </c>
      <c r="N149" s="165">
        <f t="shared" si="48"/>
        <v>35.115347648664624</v>
      </c>
      <c r="O149" s="165">
        <f t="shared" si="48"/>
        <v>36.168808078124563</v>
      </c>
      <c r="P149" s="165">
        <f t="shared" si="48"/>
        <v>37.253872320468304</v>
      </c>
      <c r="Q149" s="165">
        <f t="shared" si="48"/>
        <v>38.371488490082349</v>
      </c>
      <c r="R149" s="165">
        <f t="shared" si="48"/>
        <v>39.52263314478482</v>
      </c>
      <c r="S149" s="165">
        <f t="shared" si="48"/>
        <v>40.708312139128367</v>
      </c>
      <c r="T149" s="165">
        <f t="shared" si="48"/>
        <v>41.929561503302217</v>
      </c>
      <c r="U149" s="165">
        <f t="shared" si="48"/>
        <v>43.187448348401283</v>
      </c>
      <c r="V149" s="165">
        <f t="shared" si="48"/>
        <v>44.483071798853324</v>
      </c>
      <c r="W149" s="165">
        <f t="shared" si="48"/>
        <v>45.817563952818922</v>
      </c>
      <c r="X149" s="165">
        <f t="shared" si="48"/>
        <v>0</v>
      </c>
      <c r="Y149" s="165">
        <f t="shared" si="48"/>
        <v>0</v>
      </c>
      <c r="AA149" s="606">
        <f t="shared" si="27"/>
        <v>649.05703904678285</v>
      </c>
      <c r="AB149" s="607">
        <f t="shared" si="40"/>
        <v>649.05703904678285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27.720379699999999</v>
      </c>
      <c r="G151" s="260">
        <f t="shared" ref="G151:Y151" si="49">+G149+G150</f>
        <v>28.551991090999998</v>
      </c>
      <c r="H151" s="260">
        <f t="shared" si="49"/>
        <v>29.408550823729996</v>
      </c>
      <c r="I151" s="260">
        <f t="shared" si="49"/>
        <v>30.290807348441898</v>
      </c>
      <c r="J151" s="260">
        <f t="shared" si="49"/>
        <v>31.199531568895157</v>
      </c>
      <c r="K151" s="260">
        <f t="shared" si="49"/>
        <v>32.135517515962007</v>
      </c>
      <c r="L151" s="260">
        <f t="shared" si="49"/>
        <v>33.099583041440873</v>
      </c>
      <c r="M151" s="260">
        <f t="shared" si="49"/>
        <v>34.0925705326841</v>
      </c>
      <c r="N151" s="260">
        <f t="shared" si="49"/>
        <v>35.115347648664624</v>
      </c>
      <c r="O151" s="260">
        <f t="shared" si="49"/>
        <v>36.168808078124563</v>
      </c>
      <c r="P151" s="260">
        <f t="shared" si="49"/>
        <v>37.253872320468304</v>
      </c>
      <c r="Q151" s="260">
        <f t="shared" si="49"/>
        <v>38.371488490082349</v>
      </c>
      <c r="R151" s="260">
        <f t="shared" si="49"/>
        <v>39.52263314478482</v>
      </c>
      <c r="S151" s="260">
        <f t="shared" si="49"/>
        <v>40.708312139128367</v>
      </c>
      <c r="T151" s="260">
        <f t="shared" si="49"/>
        <v>41.929561503302217</v>
      </c>
      <c r="U151" s="260">
        <f t="shared" si="49"/>
        <v>43.187448348401283</v>
      </c>
      <c r="V151" s="260">
        <f t="shared" si="49"/>
        <v>44.483071798853324</v>
      </c>
      <c r="W151" s="260">
        <f t="shared" si="49"/>
        <v>45.817563952818922</v>
      </c>
      <c r="X151" s="260">
        <f t="shared" si="49"/>
        <v>0</v>
      </c>
      <c r="Y151" s="260">
        <f t="shared" si="49"/>
        <v>0</v>
      </c>
      <c r="AA151" s="606">
        <f t="shared" si="27"/>
        <v>649.05703904678285</v>
      </c>
      <c r="AB151" s="607">
        <f t="shared" si="40"/>
        <v>649.05703904678285</v>
      </c>
    </row>
    <row r="152" spans="1:28" s="199" customFormat="1">
      <c r="AA152" s="541"/>
      <c r="AB152" s="541"/>
    </row>
    <row r="153" spans="1:28" s="199" customFormat="1">
      <c r="AA153" s="541"/>
      <c r="AB153" s="541"/>
    </row>
    <row r="154" spans="1:28" s="199" customFormat="1" ht="13.5" thickBot="1">
      <c r="A154" s="199" t="s">
        <v>57</v>
      </c>
      <c r="C154" s="203">
        <f>NPV(C155,F151:Y151)</f>
        <v>274.74953346548148</v>
      </c>
      <c r="AA154" s="541"/>
      <c r="AB154" s="541"/>
    </row>
    <row r="155" spans="1:28" s="199" customFormat="1" ht="13.5" thickBot="1">
      <c r="A155" s="199" t="s">
        <v>59</v>
      </c>
      <c r="C155" s="146">
        <v>0.1</v>
      </c>
      <c r="AA155" s="541"/>
      <c r="AB155" s="541"/>
    </row>
    <row r="156" spans="1:28" s="199" customFormat="1">
      <c r="AA156" s="541"/>
      <c r="AB156" s="541"/>
    </row>
    <row r="157" spans="1:28" s="199" customFormat="1" ht="13.5" thickBot="1">
      <c r="AA157" s="541"/>
      <c r="AB157" s="541"/>
    </row>
    <row r="158" spans="1:28" s="199" customFormat="1">
      <c r="A158" s="112" t="s">
        <v>83</v>
      </c>
      <c r="B158" s="132"/>
      <c r="C158" s="132"/>
      <c r="D158" s="133"/>
      <c r="AA158" s="541"/>
      <c r="AB158" s="541"/>
    </row>
    <row r="159" spans="1:28" s="199" customFormat="1">
      <c r="A159" s="134" t="s">
        <v>84</v>
      </c>
      <c r="B159" s="135"/>
      <c r="C159" s="135"/>
      <c r="D159" s="136">
        <f>-E91*C76</f>
        <v>22510.249658590055</v>
      </c>
      <c r="AA159" s="541"/>
      <c r="AB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  <c r="AB160" s="541"/>
    </row>
    <row r="161" spans="1:28" s="199" customFormat="1">
      <c r="A161" s="134" t="s">
        <v>86</v>
      </c>
      <c r="B161" s="135"/>
      <c r="C161" s="135"/>
      <c r="D161" s="139">
        <f>C154-D160</f>
        <v>274.74953346548148</v>
      </c>
      <c r="AA161" s="541"/>
      <c r="AB161" s="541"/>
    </row>
    <row r="162" spans="1:28" s="199" customFormat="1" ht="13.5" thickBot="1">
      <c r="A162" s="140" t="s">
        <v>87</v>
      </c>
      <c r="B162" s="109"/>
      <c r="C162" s="109"/>
      <c r="D162" s="158">
        <f>SUM(D159:D161)</f>
        <v>22784.999192055537</v>
      </c>
      <c r="AA162" s="541"/>
      <c r="AB162" s="541"/>
    </row>
    <row r="163" spans="1:28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8" outlineLevel="1">
      <c r="A164" s="8"/>
      <c r="B164" s="8"/>
      <c r="C164" s="35"/>
      <c r="D164" s="35"/>
      <c r="E164" s="35"/>
    </row>
    <row r="165" spans="1:28" outlineLevel="1">
      <c r="A165" s="8"/>
      <c r="B165" s="8"/>
      <c r="C165" s="35"/>
      <c r="D165" s="8"/>
      <c r="E165" s="8"/>
    </row>
    <row r="166" spans="1:28">
      <c r="A166" s="8"/>
      <c r="B166" s="8"/>
      <c r="C166" s="35"/>
      <c r="D166" s="35"/>
      <c r="E166" s="35"/>
    </row>
    <row r="167" spans="1:28" outlineLevel="1">
      <c r="A167" s="8"/>
      <c r="B167" s="8"/>
      <c r="C167" s="35"/>
      <c r="D167" s="35"/>
      <c r="E167" s="35"/>
    </row>
    <row r="168" spans="1:28" outlineLevel="1">
      <c r="A168" s="8"/>
      <c r="B168" s="8"/>
      <c r="C168" s="35"/>
      <c r="D168" s="35"/>
      <c r="E168" s="35"/>
    </row>
    <row r="169" spans="1:28" outlineLevel="1">
      <c r="A169" s="8"/>
      <c r="B169" s="8"/>
      <c r="C169" s="35"/>
      <c r="D169" s="35"/>
      <c r="E169" s="35"/>
    </row>
    <row r="170" spans="1:28" outlineLevel="1">
      <c r="A170" s="8"/>
      <c r="B170" s="8"/>
      <c r="C170" s="35"/>
      <c r="D170" s="35"/>
      <c r="E170" s="35"/>
    </row>
    <row r="171" spans="1:28" outlineLevel="1">
      <c r="A171" s="8"/>
      <c r="B171" s="8"/>
      <c r="C171" s="35"/>
      <c r="D171" s="35"/>
      <c r="E171" s="35"/>
    </row>
    <row r="172" spans="1:28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8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8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8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8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8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8" s="54" customFormat="1" outlineLevel="1">
      <c r="A338" s="53"/>
      <c r="AA338" s="603"/>
      <c r="AB338" s="603"/>
    </row>
    <row r="339" spans="1:28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8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8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8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8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8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8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8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8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8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8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8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8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8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604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8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8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8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8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8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8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8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8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8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8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8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8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8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8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8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8" s="71" customFormat="1" outlineLevel="1">
      <c r="A544" s="70"/>
      <c r="B544" s="70"/>
      <c r="C544" s="70"/>
      <c r="D544" s="70"/>
      <c r="E544" s="70"/>
      <c r="F544" s="70"/>
      <c r="G544" s="70"/>
      <c r="AA544" s="605"/>
      <c r="AB544" s="605"/>
    </row>
    <row r="545" spans="1:28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  <c r="AB545" s="605"/>
    </row>
    <row r="546" spans="1:28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  <c r="AB546" s="605"/>
    </row>
    <row r="547" spans="1:28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  <c r="AB547" s="605"/>
    </row>
    <row r="548" spans="1:28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  <c r="AB548" s="605"/>
    </row>
    <row r="549" spans="1:28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  <c r="AB549" s="605"/>
    </row>
    <row r="550" spans="1:28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  <c r="AB550" s="605"/>
    </row>
    <row r="551" spans="1:28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  <c r="AB551" s="605"/>
    </row>
    <row r="552" spans="1:28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  <c r="AB552" s="605"/>
    </row>
    <row r="553" spans="1:28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  <c r="AB553" s="605"/>
    </row>
    <row r="554" spans="1:28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  <c r="AB554" s="605"/>
    </row>
    <row r="555" spans="1:28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  <c r="AB555" s="605"/>
    </row>
    <row r="556" spans="1:28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  <c r="AB556" s="605"/>
    </row>
    <row r="557" spans="1:28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  <c r="AB557" s="605"/>
    </row>
    <row r="558" spans="1:28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  <c r="AB558" s="605"/>
    </row>
    <row r="559" spans="1:28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  <c r="AB559" s="605"/>
    </row>
    <row r="560" spans="1:28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  <c r="AB560" s="605"/>
    </row>
    <row r="561" spans="1:28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  <c r="AB561" s="605"/>
    </row>
    <row r="562" spans="1:28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  <c r="AB562" s="605"/>
    </row>
    <row r="563" spans="1:28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  <c r="AB563" s="605"/>
    </row>
    <row r="564" spans="1:28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  <c r="AB564" s="605"/>
    </row>
    <row r="565" spans="1:28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  <c r="AB565" s="605"/>
    </row>
    <row r="566" spans="1:28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  <c r="AB566" s="605"/>
    </row>
    <row r="567" spans="1:28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  <c r="AB567" s="605"/>
    </row>
    <row r="568" spans="1:28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  <c r="AB568" s="605"/>
    </row>
    <row r="569" spans="1:28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  <c r="AB569" s="605"/>
    </row>
    <row r="570" spans="1:28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  <c r="AB570" s="605"/>
    </row>
    <row r="571" spans="1:28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  <c r="AB571" s="605"/>
    </row>
    <row r="572" spans="1:28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  <c r="AB572" s="605"/>
    </row>
    <row r="573" spans="1:28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  <c r="AB573" s="605"/>
    </row>
    <row r="574" spans="1:28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  <c r="AB574" s="605"/>
    </row>
    <row r="575" spans="1:28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  <c r="AB575" s="605"/>
    </row>
    <row r="576" spans="1:28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  <c r="AB576" s="605"/>
    </row>
    <row r="577" spans="1:28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  <c r="AB577" s="605"/>
    </row>
    <row r="578" spans="1:28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  <c r="AB578" s="605"/>
    </row>
    <row r="579" spans="1:28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  <c r="AB579" s="605"/>
    </row>
    <row r="580" spans="1:28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  <c r="AB580" s="605"/>
    </row>
    <row r="581" spans="1:28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  <c r="AB581" s="605"/>
    </row>
    <row r="582" spans="1:28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  <c r="AB582" s="605"/>
    </row>
    <row r="583" spans="1:28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  <c r="AB583" s="605"/>
    </row>
    <row r="584" spans="1:28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  <c r="AB584" s="605"/>
    </row>
    <row r="585" spans="1:28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  <c r="AB585" s="605"/>
    </row>
    <row r="586" spans="1:28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  <c r="AB586" s="605"/>
    </row>
    <row r="587" spans="1:28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  <c r="AB587" s="605"/>
    </row>
    <row r="588" spans="1:28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  <c r="AB588" s="605"/>
    </row>
    <row r="589" spans="1:28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  <c r="AB589" s="605"/>
    </row>
    <row r="590" spans="1:28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  <c r="AB590" s="605"/>
    </row>
    <row r="591" spans="1:28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  <c r="AB591" s="605"/>
    </row>
    <row r="592" spans="1:28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  <c r="AB592" s="605"/>
    </row>
    <row r="593" spans="1:28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  <c r="AB593" s="605"/>
    </row>
    <row r="594" spans="1:28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  <c r="AB594" s="605"/>
    </row>
    <row r="595" spans="1:28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  <c r="AB595" s="605"/>
    </row>
    <row r="596" spans="1:28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  <c r="AB596" s="605"/>
    </row>
    <row r="597" spans="1:28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  <c r="AB597" s="605"/>
    </row>
    <row r="598" spans="1:28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  <c r="AB598" s="605"/>
    </row>
    <row r="599" spans="1:28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  <c r="AB599" s="605"/>
    </row>
    <row r="600" spans="1:28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8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8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8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8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8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8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8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8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AK778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4" width="9.7109375" style="7" customWidth="1" outlineLevel="1"/>
    <col min="5" max="7" width="10.7109375" style="7" customWidth="1" outlineLevel="1"/>
    <col min="8" max="25" width="10.7109375" style="7" customWidth="1"/>
    <col min="26" max="26" width="10.7109375" style="8" customWidth="1"/>
    <col min="27" max="28" width="12" style="8" bestFit="1" customWidth="1"/>
    <col min="29" max="16384" width="9.140625" style="8"/>
  </cols>
  <sheetData>
    <row r="2" spans="1:28" ht="18.75">
      <c r="A2" s="270" t="s">
        <v>41</v>
      </c>
      <c r="B2" s="592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+[1]Financials!O$12</f>
        <v>81910.006200000003</v>
      </c>
      <c r="F10" s="90">
        <f>+[1]Financials!P$12</f>
        <v>81910.006200000003</v>
      </c>
      <c r="G10" s="90">
        <f>+[1]Financials!Q$12</f>
        <v>81910.006200000003</v>
      </c>
      <c r="H10" s="90">
        <f>+[1]Financials!R$12</f>
        <v>81910.006200000003</v>
      </c>
      <c r="I10" s="90">
        <f>+[1]Financials!S$12</f>
        <v>81910.006200000003</v>
      </c>
      <c r="J10" s="90">
        <f>+[1]Financials!T$12</f>
        <v>81910.006200000003</v>
      </c>
      <c r="K10" s="90">
        <f>+[1]Financials!U$12</f>
        <v>81910.006200000003</v>
      </c>
      <c r="L10" s="90">
        <f>+[1]Financials!V$12</f>
        <v>47063.893799999998</v>
      </c>
      <c r="M10" s="90">
        <f>+[1]Financials!W$12</f>
        <v>47063.893799999998</v>
      </c>
      <c r="N10" s="90">
        <f>+[1]Financials!X$12</f>
        <v>47063.893799999998</v>
      </c>
      <c r="O10" s="90">
        <f>+[1]Financials!Y$12</f>
        <v>47063.893799999998</v>
      </c>
      <c r="P10" s="90">
        <f>+[1]Financials!Z$12</f>
        <v>47063.893799999998</v>
      </c>
      <c r="Q10" s="90">
        <f>+[1]Financials!AA$12</f>
        <v>47063.893799999998</v>
      </c>
      <c r="R10" s="90">
        <f>+[1]Financials!AB$12</f>
        <v>47063.893799999998</v>
      </c>
      <c r="S10" s="90">
        <f>+[1]Financials!AC$12</f>
        <v>47063.893799999998</v>
      </c>
      <c r="T10" s="90">
        <f>+[1]Financials!AD$12</f>
        <v>47063.893799999998</v>
      </c>
      <c r="U10" s="90">
        <f>+[1]Financials!AE$12</f>
        <v>47063.893799999998</v>
      </c>
      <c r="V10" s="90">
        <f>+[1]Financials!AF$12</f>
        <v>15473.055172944602</v>
      </c>
      <c r="W10" s="90">
        <f>+[1]Financials!AG$12</f>
        <v>0</v>
      </c>
      <c r="X10" s="90">
        <f>+[1]Financials!AH$12</f>
        <v>0</v>
      </c>
      <c r="Y10" s="90">
        <f>+[1]Financials!AI$12</f>
        <v>0</v>
      </c>
      <c r="Z10" s="22"/>
      <c r="AA10" s="606">
        <f t="shared" ref="AA10:AA38" si="1">SUM(F10:Y10)</f>
        <v>977572.03037294419</v>
      </c>
      <c r="AB10" s="607">
        <f>AA10*$C$60</f>
        <v>977572.03037294419</v>
      </c>
    </row>
    <row r="11" spans="1:28">
      <c r="A11" s="4" t="s">
        <v>9</v>
      </c>
      <c r="B11" s="12"/>
      <c r="C11" s="12"/>
      <c r="D11" s="141"/>
      <c r="E11" s="90">
        <f>+[1]Financials!O$13+[1]Financials!O$14</f>
        <v>30617.886900998747</v>
      </c>
      <c r="F11" s="90">
        <f>+[1]Financials!P$13+[1]Financials!P$14</f>
        <v>30713.587028546244</v>
      </c>
      <c r="G11" s="90">
        <f>+[1]Financials!Q$13+[1]Financials!Q$14</f>
        <v>32099.083871683259</v>
      </c>
      <c r="H11" s="90">
        <f>+[1]Financials!R$13+[1]Financials!R$14</f>
        <v>33622.609876767558</v>
      </c>
      <c r="I11" s="90">
        <f>+[1]Financials!S$13+[1]Financials!S$14</f>
        <v>34341.484149798845</v>
      </c>
      <c r="J11" s="90">
        <f>+[1]Financials!T$13+[1]Financials!T$14</f>
        <v>34543.663125342078</v>
      </c>
      <c r="K11" s="90">
        <f>+[1]Financials!U$13+[1]Financials!U$14</f>
        <v>35318.691277628102</v>
      </c>
      <c r="L11" s="90">
        <f>+[1]Financials!V$13+[1]Financials!V$14</f>
        <v>36247.817408639479</v>
      </c>
      <c r="M11" s="90">
        <f>+[1]Financials!W$13+[1]Financials!W$14</f>
        <v>37057.167612004909</v>
      </c>
      <c r="N11" s="90">
        <f>+[1]Financials!X$13+[1]Financials!X$14</f>
        <v>37789.365454487634</v>
      </c>
      <c r="O11" s="90">
        <f>+[1]Financials!Y$13+[1]Financials!Y$14</f>
        <v>38523.714326255402</v>
      </c>
      <c r="P11" s="90">
        <f>+[1]Financials!Z$13+[1]Financials!Z$14</f>
        <v>39378.160725648282</v>
      </c>
      <c r="Q11" s="90">
        <f>+[1]Financials!AA$13+[1]Financials!AA$14</f>
        <v>40248.94052755009</v>
      </c>
      <c r="R11" s="90">
        <f>+[1]Financials!AB$13+[1]Financials!AB$14</f>
        <v>41104.413181114345</v>
      </c>
      <c r="S11" s="90">
        <f>+[1]Financials!AC$13+[1]Financials!AC$14</f>
        <v>41969.078404533335</v>
      </c>
      <c r="T11" s="90">
        <f>+[1]Financials!AD$13+[1]Financials!AD$14</f>
        <v>42862.793522706757</v>
      </c>
      <c r="U11" s="90">
        <f>+[1]Financials!AE$13+[1]Financials!AE$14</f>
        <v>43791.673909915611</v>
      </c>
      <c r="V11" s="90">
        <f>+[1]Financials!AF$13+[1]Financials!AF$14</f>
        <v>14707.720807533638</v>
      </c>
      <c r="W11" s="90">
        <f>+[1]Financials!AG$13+[1]Financials!AG$14</f>
        <v>0</v>
      </c>
      <c r="X11" s="90">
        <f>+[1]Financials!AH$13+[1]Financials!AH$14</f>
        <v>0</v>
      </c>
      <c r="Y11" s="90">
        <f>+[1]Financials!AI$13+[1]Financials!AI$14</f>
        <v>0</v>
      </c>
      <c r="Z11" s="22"/>
      <c r="AA11" s="606">
        <f t="shared" si="1"/>
        <v>614319.96521015547</v>
      </c>
      <c r="AB11" s="607">
        <f t="shared" ref="AB11:AB74" si="2">AA11*$C$60</f>
        <v>614319.96521015547</v>
      </c>
    </row>
    <row r="12" spans="1:28">
      <c r="A12" s="4" t="s">
        <v>10</v>
      </c>
      <c r="B12" s="12"/>
      <c r="C12" s="12"/>
      <c r="D12" s="141"/>
      <c r="E12" s="63">
        <f>+[1]Financials!O$15+[1]Financials!O$16</f>
        <v>22811.617360478282</v>
      </c>
      <c r="F12" s="63">
        <f>+[1]Financials!P$15+[1]Financials!P$16</f>
        <v>22858.3937366473</v>
      </c>
      <c r="G12" s="63">
        <f>+[1]Financials!Q$15+[1]Financials!Q$16</f>
        <v>22675.43192550055</v>
      </c>
      <c r="H12" s="63">
        <f>+[1]Financials!R$15+[1]Financials!R$16</f>
        <v>22198.928790140628</v>
      </c>
      <c r="I12" s="63">
        <f>+[1]Financials!S$15+[1]Financials!S$16</f>
        <v>21461.416895876169</v>
      </c>
      <c r="J12" s="63">
        <f>+[1]Financials!T$15+[1]Financials!T$16</f>
        <v>21347.867403494085</v>
      </c>
      <c r="K12" s="63">
        <f>+[1]Financials!U$15+[1]Financials!U$16</f>
        <v>21225.094145436393</v>
      </c>
      <c r="L12" s="63">
        <f>+[1]Financials!V$15+[1]Financials!V$16</f>
        <v>21101.709267771439</v>
      </c>
      <c r="M12" s="63">
        <f>+[1]Financials!W$15+[1]Financials!W$16</f>
        <v>20984.799550653523</v>
      </c>
      <c r="N12" s="63">
        <f>+[1]Financials!X$15+[1]Financials!X$16</f>
        <v>20874.907673555204</v>
      </c>
      <c r="O12" s="63">
        <f>+[1]Financials!Y$15+[1]Financials!Y$16</f>
        <v>20772.894434290338</v>
      </c>
      <c r="P12" s="63">
        <f>+[1]Financials!Z$15+[1]Financials!Z$16</f>
        <v>20676.303508717447</v>
      </c>
      <c r="Q12" s="63">
        <f>+[1]Financials!AA$15+[1]Financials!AA$16</f>
        <v>20584.018222199746</v>
      </c>
      <c r="R12" s="63">
        <f>+[1]Financials!AB$15+[1]Financials!AB$16</f>
        <v>20496.989333377493</v>
      </c>
      <c r="S12" s="63">
        <f>+[1]Financials!AC$15+[1]Financials!AC$16</f>
        <v>20414.980598433867</v>
      </c>
      <c r="T12" s="63">
        <f>+[1]Financials!AD$15+[1]Financials!AD$16</f>
        <v>20337.640262938829</v>
      </c>
      <c r="U12" s="63">
        <f>+[1]Financials!AE$15+[1]Financials!AE$16</f>
        <v>20264.450337767295</v>
      </c>
      <c r="V12" s="63">
        <f>+[1]Financials!AF$15+[1]Financials!AF$16</f>
        <v>18078.084010764553</v>
      </c>
      <c r="W12" s="63">
        <f>+[1]Financials!AG$15+[1]Financials!AG$16</f>
        <v>0</v>
      </c>
      <c r="X12" s="63">
        <f>+[1]Financials!AH$15+[1]Financials!AH$16</f>
        <v>0</v>
      </c>
      <c r="Y12" s="63">
        <f>+[1]Financials!AI$15+[1]Financials!AI$16</f>
        <v>0</v>
      </c>
      <c r="Z12" s="22"/>
      <c r="AA12" s="606">
        <f t="shared" si="1"/>
        <v>356353.91009756486</v>
      </c>
      <c r="AB12" s="607">
        <f t="shared" si="2"/>
        <v>356353.91009756486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41"/>
      <c r="E19" s="91">
        <f>+[1]Financials!O$47</f>
        <v>621</v>
      </c>
      <c r="F19" s="91">
        <f>+[1]Financials!P$47</f>
        <v>607</v>
      </c>
      <c r="G19" s="91">
        <f>+[1]Financials!Q$47</f>
        <v>614</v>
      </c>
      <c r="H19" s="91">
        <f>+[1]Financials!R$47</f>
        <v>621</v>
      </c>
      <c r="I19" s="91">
        <f>+[1]Financials!S$47</f>
        <v>631</v>
      </c>
      <c r="J19" s="91">
        <f>+[1]Financials!T$47</f>
        <v>1573</v>
      </c>
      <c r="K19" s="91">
        <f>+[1]Financials!U$47</f>
        <v>700</v>
      </c>
      <c r="L19" s="91">
        <f>+[1]Financials!V$47</f>
        <v>700</v>
      </c>
      <c r="M19" s="91">
        <f>+[1]Financials!W$47</f>
        <v>700</v>
      </c>
      <c r="N19" s="91">
        <f>+[1]Financials!X$47</f>
        <v>700</v>
      </c>
      <c r="O19" s="91">
        <f>+[1]Financials!Y$47</f>
        <v>700</v>
      </c>
      <c r="P19" s="91">
        <f>+[1]Financials!Z$47</f>
        <v>700</v>
      </c>
      <c r="Q19" s="91">
        <f>+[1]Financials!AA$47</f>
        <v>700</v>
      </c>
      <c r="R19" s="91">
        <f>+[1]Financials!AB$47</f>
        <v>700</v>
      </c>
      <c r="S19" s="91">
        <f>+[1]Financials!AC$47</f>
        <v>700</v>
      </c>
      <c r="T19" s="91">
        <f>+[1]Financials!AD$47</f>
        <v>700</v>
      </c>
      <c r="U19" s="91">
        <f>+[1]Financials!AE$47</f>
        <v>700</v>
      </c>
      <c r="V19" s="91">
        <f>+[1]Financials!AF$47</f>
        <v>700</v>
      </c>
      <c r="W19" s="91">
        <f>+[1]Financials!AG$47</f>
        <v>0</v>
      </c>
      <c r="X19" s="91">
        <f>+[1]Financials!AH$47</f>
        <v>0</v>
      </c>
      <c r="Y19" s="91">
        <f>+[1]Financials!AI$47</f>
        <v>0</v>
      </c>
      <c r="Z19" s="22"/>
      <c r="AA19" s="606">
        <f t="shared" si="1"/>
        <v>12446</v>
      </c>
      <c r="AB19" s="607">
        <f t="shared" si="2"/>
        <v>12446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135960.51046147704</v>
      </c>
      <c r="F20" s="90">
        <f t="shared" si="3"/>
        <v>136088.98696519356</v>
      </c>
      <c r="G20" s="90">
        <f t="shared" si="3"/>
        <v>137298.52199718379</v>
      </c>
      <c r="H20" s="90">
        <f t="shared" si="3"/>
        <v>138352.5448669082</v>
      </c>
      <c r="I20" s="90">
        <f t="shared" si="3"/>
        <v>138343.90724567501</v>
      </c>
      <c r="J20" s="90">
        <f t="shared" si="3"/>
        <v>139374.53672883616</v>
      </c>
      <c r="K20" s="90">
        <f t="shared" si="3"/>
        <v>139153.79162306449</v>
      </c>
      <c r="L20" s="90">
        <f t="shared" si="3"/>
        <v>105113.42047641092</v>
      </c>
      <c r="M20" s="90">
        <f t="shared" si="3"/>
        <v>105805.86096265842</v>
      </c>
      <c r="N20" s="90">
        <f t="shared" si="3"/>
        <v>106428.16692804285</v>
      </c>
      <c r="O20" s="90">
        <f t="shared" si="3"/>
        <v>107060.50256054573</v>
      </c>
      <c r="P20" s="90">
        <f t="shared" si="3"/>
        <v>107818.35803436572</v>
      </c>
      <c r="Q20" s="90">
        <f t="shared" si="3"/>
        <v>108596.85254974983</v>
      </c>
      <c r="R20" s="90">
        <f t="shared" si="3"/>
        <v>109365.29631449185</v>
      </c>
      <c r="S20" s="90">
        <f t="shared" si="3"/>
        <v>110147.95280296719</v>
      </c>
      <c r="T20" s="90">
        <f t="shared" si="3"/>
        <v>110964.32758564559</v>
      </c>
      <c r="U20" s="90">
        <f t="shared" si="3"/>
        <v>111820.0180476829</v>
      </c>
      <c r="V20" s="90">
        <f t="shared" si="3"/>
        <v>48958.859991242789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1960691.905680665</v>
      </c>
      <c r="AB20" s="607">
        <f t="shared" si="2"/>
        <v>1960691.905680665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41"/>
      <c r="E24" s="90">
        <f>SUM([1]Financials!O$22:O$24)</f>
        <v>45077.141701485409</v>
      </c>
      <c r="F24" s="90">
        <f>SUM([1]Financials!P$22:P$24)</f>
        <v>45039.250254144194</v>
      </c>
      <c r="G24" s="90">
        <f>SUM([1]Financials!Q$22:Q$24)</f>
        <v>46294.851717773665</v>
      </c>
      <c r="H24" s="90">
        <f>SUM([1]Financials!R$22:R$24)</f>
        <v>47665.549363405065</v>
      </c>
      <c r="I24" s="90">
        <f>SUM([1]Financials!S$22:S$24)</f>
        <v>48226.566258825347</v>
      </c>
      <c r="J24" s="90">
        <f>SUM([1]Financials!T$22:T$24)</f>
        <v>48276.44779858215</v>
      </c>
      <c r="K24" s="90">
        <f>SUM([1]Financials!U$22:U$24)</f>
        <v>48934.138397969451</v>
      </c>
      <c r="L24" s="90">
        <f>SUM([1]Financials!V$22:V$24)</f>
        <v>49749.323727022405</v>
      </c>
      <c r="M24" s="90">
        <f>SUM([1]Financials!W$22:W$24)</f>
        <v>50446.103573918917</v>
      </c>
      <c r="N24" s="90">
        <f>SUM([1]Financials!X$22:X$24)</f>
        <v>51067.656459993479</v>
      </c>
      <c r="O24" s="90">
        <f>SUM([1]Financials!Y$22:Y$24)</f>
        <v>51699.254102738356</v>
      </c>
      <c r="P24" s="90">
        <f>SUM([1]Financials!Z$22:Z$24)</f>
        <v>52460.603591869578</v>
      </c>
      <c r="Q24" s="90">
        <f>SUM([1]Financials!AA$22:AA$24)</f>
        <v>53242.246936471842</v>
      </c>
      <c r="R24" s="90">
        <f>SUM([1]Financials!AB$22:AB$24)</f>
        <v>54012.470386577268</v>
      </c>
      <c r="S24" s="90">
        <f>SUM([1]Financials!AC$22:AC$24)</f>
        <v>54796.417961643194</v>
      </c>
      <c r="T24" s="90">
        <f>SUM([1]Financials!AD$22:AD$24)</f>
        <v>55614.663060836348</v>
      </c>
      <c r="U24" s="90">
        <f>SUM([1]Financials!AE$22:AE$24)</f>
        <v>56472.916876929718</v>
      </c>
      <c r="V24" s="90">
        <f>SUM([1]Financials!AF$22:AF$24)</f>
        <v>19075.807875165738</v>
      </c>
      <c r="W24" s="90">
        <f>SUM([1]Financials!AG$22:AG$24)</f>
        <v>0</v>
      </c>
      <c r="X24" s="90">
        <f>SUM([1]Financials!AH$22:AH$24)</f>
        <v>0</v>
      </c>
      <c r="Y24" s="90">
        <f>SUM([1]Financials!AI$22:AI$24)</f>
        <v>0</v>
      </c>
      <c r="AA24" s="606">
        <f t="shared" si="1"/>
        <v>833074.26834386669</v>
      </c>
      <c r="AB24" s="607">
        <f t="shared" si="2"/>
        <v>833074.26834386669</v>
      </c>
    </row>
    <row r="25" spans="1:28">
      <c r="A25" s="4" t="s">
        <v>1</v>
      </c>
      <c r="D25" s="141"/>
      <c r="E25" s="90">
        <f>+[1]Financials!O$25-E35</f>
        <v>8833</v>
      </c>
      <c r="F25" s="90">
        <f>+[1]Financials!P$25-F35</f>
        <v>11306</v>
      </c>
      <c r="G25" s="90">
        <f>+[1]Financials!Q$25-G35</f>
        <v>10388</v>
      </c>
      <c r="H25" s="90">
        <f>+[1]Financials!R$25-H35</f>
        <v>9141</v>
      </c>
      <c r="I25" s="90">
        <f>+[1]Financials!S$25-I35</f>
        <v>7103</v>
      </c>
      <c r="J25" s="90">
        <f>+[1]Financials!T$25-J35</f>
        <v>11009</v>
      </c>
      <c r="K25" s="90">
        <f>+[1]Financials!U$25-K35</f>
        <v>10640.146000000001</v>
      </c>
      <c r="L25" s="90">
        <f>+[1]Financials!V$25-L35</f>
        <v>10905.117405999998</v>
      </c>
      <c r="M25" s="90">
        <f>+[1]Financials!W$25-M35</f>
        <v>11177.106703425996</v>
      </c>
      <c r="N25" s="90">
        <f>+[1]Financials!X$25-N35</f>
        <v>11456.312140214442</v>
      </c>
      <c r="O25" s="90">
        <f>+[1]Financials!Y$25-O35</f>
        <v>11742.937908036023</v>
      </c>
      <c r="P25" s="90">
        <f>+[1]Financials!Z$25-P35</f>
        <v>12037.194329432554</v>
      </c>
      <c r="Q25" s="90">
        <f>+[1]Financials!AA$25-Q35</f>
        <v>12339.298051064883</v>
      </c>
      <c r="R25" s="90">
        <f>+[1]Financials!AB$25-R35</f>
        <v>12649.47224327649</v>
      </c>
      <c r="S25" s="90">
        <f>+[1]Financials!AC$25-S35</f>
        <v>12967.946806184416</v>
      </c>
      <c r="T25" s="90">
        <f>+[1]Financials!AD$25-T35</f>
        <v>13294.958582516378</v>
      </c>
      <c r="U25" s="90">
        <f>+[1]Financials!AE$25-U35</f>
        <v>13630.751577420378</v>
      </c>
      <c r="V25" s="90">
        <f>+[1]Financials!AF$25-V35</f>
        <v>16914.704807403024</v>
      </c>
      <c r="W25" s="90">
        <f>+[1]Financials!AG$25-W35</f>
        <v>0</v>
      </c>
      <c r="X25" s="90">
        <f>+[1]Financials!AH$25-X35</f>
        <v>0</v>
      </c>
      <c r="Y25" s="90">
        <f>+[1]Financials!AI$25-Y35</f>
        <v>0</v>
      </c>
      <c r="AA25" s="606">
        <f t="shared" si="1"/>
        <v>198702.94655497459</v>
      </c>
      <c r="AB25" s="607">
        <f t="shared" si="2"/>
        <v>198702.94655497459</v>
      </c>
    </row>
    <row r="26" spans="1:28">
      <c r="A26" s="4" t="s">
        <v>18</v>
      </c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41"/>
      <c r="E27" s="90">
        <f>-'[1]Operating Expense'!L$30</f>
        <v>3648</v>
      </c>
      <c r="F27" s="90">
        <f>-'[1]Operating Expense'!M$30</f>
        <v>6042</v>
      </c>
      <c r="G27" s="90">
        <f>-'[1]Operating Expense'!N$30</f>
        <v>5038</v>
      </c>
      <c r="H27" s="90">
        <f>-'[1]Operating Expense'!O$30</f>
        <v>3678</v>
      </c>
      <c r="I27" s="90">
        <f>-'[1]Operating Expense'!P$30</f>
        <v>1532</v>
      </c>
      <c r="J27" s="90">
        <f>-'[1]Operating Expense'!Q$30</f>
        <v>5361</v>
      </c>
      <c r="K27" s="90">
        <f>-'[1]Operating Expense'!R$30</f>
        <v>4833.4139999999998</v>
      </c>
      <c r="L27" s="90">
        <f>-'[1]Operating Expense'!S$30</f>
        <v>4934.9156939999993</v>
      </c>
      <c r="M27" s="90">
        <f>-'[1]Operating Expense'!T$30</f>
        <v>5038.5489235739988</v>
      </c>
      <c r="N27" s="90">
        <f>-'[1]Operating Expense'!U$30</f>
        <v>5144.3584509690527</v>
      </c>
      <c r="O27" s="90">
        <f>-'[1]Operating Expense'!V$30</f>
        <v>5252.3899784394025</v>
      </c>
      <c r="P27" s="90">
        <f>-'[1]Operating Expense'!W$30</f>
        <v>5362.6901679866296</v>
      </c>
      <c r="Q27" s="90">
        <f>-'[1]Operating Expense'!X$30</f>
        <v>5475.306661514348</v>
      </c>
      <c r="R27" s="90">
        <f>-'[1]Operating Expense'!Y$30</f>
        <v>5590.2881014061486</v>
      </c>
      <c r="S27" s="90">
        <f>-'[1]Operating Expense'!Z$30</f>
        <v>5707.6841515356773</v>
      </c>
      <c r="T27" s="90">
        <f>-'[1]Operating Expense'!AA$30</f>
        <v>5827.5455187179259</v>
      </c>
      <c r="U27" s="90">
        <f>-'[1]Operating Expense'!AB$30</f>
        <v>5949.9239746110015</v>
      </c>
      <c r="V27" s="90">
        <f>-'[1]Operating Expense'!AC$30</f>
        <v>9014</v>
      </c>
      <c r="W27" s="90">
        <f>-'[1]Operating Expense'!AD$30</f>
        <v>0</v>
      </c>
      <c r="X27" s="90">
        <f>-'[1]Operating Expense'!AE$30</f>
        <v>0</v>
      </c>
      <c r="Y27" s="90">
        <f>-'[1]Operating Expense'!AF$30</f>
        <v>0</v>
      </c>
      <c r="AA27" s="606">
        <f t="shared" si="1"/>
        <v>89782.065622754177</v>
      </c>
      <c r="AB27" s="607">
        <f t="shared" si="2"/>
        <v>89782.065622754177</v>
      </c>
    </row>
    <row r="28" spans="1:28">
      <c r="A28" s="4" t="s">
        <v>3</v>
      </c>
      <c r="D28" s="141"/>
      <c r="E28" s="90">
        <f>+[1]Financials!O$28</f>
        <v>744</v>
      </c>
      <c r="F28" s="90">
        <f>+[1]Financials!P$28</f>
        <v>768</v>
      </c>
      <c r="G28" s="90">
        <f>+[1]Financials!Q$28</f>
        <v>780</v>
      </c>
      <c r="H28" s="90">
        <f>+[1]Financials!R$28</f>
        <v>792</v>
      </c>
      <c r="I28" s="90">
        <f>+[1]Financials!S$28</f>
        <v>816</v>
      </c>
      <c r="J28" s="90">
        <f>+[1]Financials!T$28</f>
        <v>835</v>
      </c>
      <c r="K28" s="90">
        <f>+[1]Financials!U$28</f>
        <v>852.53499999999997</v>
      </c>
      <c r="L28" s="90">
        <f>+[1]Financials!V$28</f>
        <v>870.43823499999985</v>
      </c>
      <c r="M28" s="90">
        <f>+[1]Financials!W$28</f>
        <v>888.71743793499979</v>
      </c>
      <c r="N28" s="90">
        <f>+[1]Financials!X$28</f>
        <v>907.38050413163467</v>
      </c>
      <c r="O28" s="90">
        <f>+[1]Financials!Y$28</f>
        <v>926.4354947183989</v>
      </c>
      <c r="P28" s="90">
        <f>+[1]Financials!Z$28</f>
        <v>945.89064010748518</v>
      </c>
      <c r="Q28" s="90">
        <f>+[1]Financials!AA$28</f>
        <v>965.75434354974232</v>
      </c>
      <c r="R28" s="90">
        <f>+[1]Financials!AB$28</f>
        <v>986.03518476428678</v>
      </c>
      <c r="S28" s="90">
        <f>+[1]Financials!AC$28</f>
        <v>1006.7419236443367</v>
      </c>
      <c r="T28" s="90">
        <f>+[1]Financials!AD$28</f>
        <v>1027.8835040408676</v>
      </c>
      <c r="U28" s="90">
        <f>+[1]Financials!AE$28</f>
        <v>1049.4690576257258</v>
      </c>
      <c r="V28" s="90">
        <f>+[1]Financials!AF$28</f>
        <v>1071.507907835866</v>
      </c>
      <c r="W28" s="90">
        <f>+[1]Financials!AG$28</f>
        <v>0</v>
      </c>
      <c r="X28" s="90">
        <f>+[1]Financials!AH$28</f>
        <v>0</v>
      </c>
      <c r="Y28" s="90">
        <f>+[1]Financials!AI$28</f>
        <v>0</v>
      </c>
      <c r="AA28" s="606">
        <f t="shared" si="1"/>
        <v>15489.789233353345</v>
      </c>
      <c r="AB28" s="607">
        <f t="shared" si="2"/>
        <v>15489.789233353345</v>
      </c>
    </row>
    <row r="29" spans="1:28">
      <c r="A29" s="4" t="s">
        <v>4</v>
      </c>
      <c r="D29" s="141"/>
      <c r="E29" s="90">
        <f>+[1]Financials!O$27</f>
        <v>424</v>
      </c>
      <c r="F29" s="90">
        <f>+[1]Financials!P$27</f>
        <v>436</v>
      </c>
      <c r="G29" s="90">
        <f>+[1]Financials!Q$27</f>
        <v>436</v>
      </c>
      <c r="H29" s="90">
        <f>+[1]Financials!R$27</f>
        <v>452</v>
      </c>
      <c r="I29" s="90">
        <f>+[1]Financials!S$27</f>
        <v>456</v>
      </c>
      <c r="J29" s="90">
        <f>+[1]Financials!T$27</f>
        <v>466</v>
      </c>
      <c r="K29" s="90">
        <f>+[1]Financials!U$27</f>
        <v>475.78599999999994</v>
      </c>
      <c r="L29" s="90">
        <f>+[1]Financials!V$27</f>
        <v>485.77750599999996</v>
      </c>
      <c r="M29" s="90">
        <f>+[1]Financials!W$27</f>
        <v>495.97883362599987</v>
      </c>
      <c r="N29" s="90">
        <f>+[1]Financials!X$27</f>
        <v>506.39438913214576</v>
      </c>
      <c r="O29" s="90">
        <f>+[1]Financials!Y$27</f>
        <v>517.02867130392087</v>
      </c>
      <c r="P29" s="90">
        <f>+[1]Financials!Z$27</f>
        <v>527.88627340130313</v>
      </c>
      <c r="Q29" s="90">
        <f>+[1]Financials!AA$27</f>
        <v>538.97188514273046</v>
      </c>
      <c r="R29" s="90">
        <f>+[1]Financials!AB$27</f>
        <v>550.29029473072774</v>
      </c>
      <c r="S29" s="90">
        <f>+[1]Financials!AC$27</f>
        <v>561.84639092007308</v>
      </c>
      <c r="T29" s="90">
        <f>+[1]Financials!AD$27</f>
        <v>573.64516512939451</v>
      </c>
      <c r="U29" s="90">
        <f>+[1]Financials!AE$27</f>
        <v>585.69171359711163</v>
      </c>
      <c r="V29" s="90">
        <f>+[1]Financials!AF$27</f>
        <v>597.99123958265102</v>
      </c>
      <c r="W29" s="90">
        <f>+[1]Financials!AG$27</f>
        <v>0</v>
      </c>
      <c r="X29" s="90">
        <f>+[1]Financials!AH$27</f>
        <v>0</v>
      </c>
      <c r="Y29" s="90">
        <f>+[1]Financials!AI$27</f>
        <v>0</v>
      </c>
      <c r="AA29" s="606">
        <f t="shared" si="1"/>
        <v>8663.2883625660579</v>
      </c>
      <c r="AB29" s="607">
        <f t="shared" si="2"/>
        <v>8663.2883625660579</v>
      </c>
    </row>
    <row r="30" spans="1:28">
      <c r="A30" s="4" t="s">
        <v>47</v>
      </c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41"/>
      <c r="E31" s="90">
        <f>+[1]Financials!O$29</f>
        <v>1188</v>
      </c>
      <c r="F31" s="90">
        <f>+[1]Financials!P$29</f>
        <v>1188</v>
      </c>
      <c r="G31" s="90">
        <f>+[1]Financials!Q$29</f>
        <v>1188</v>
      </c>
      <c r="H31" s="90">
        <f>+[1]Financials!R$29</f>
        <v>1188</v>
      </c>
      <c r="I31" s="90">
        <f>+[1]Financials!S$29</f>
        <v>1200</v>
      </c>
      <c r="J31" s="90">
        <f>+[1]Financials!T$29</f>
        <v>1228</v>
      </c>
      <c r="K31" s="90">
        <f>+[1]Financials!U$29</f>
        <v>1253.7879999999998</v>
      </c>
      <c r="L31" s="90">
        <f>+[1]Financials!V$29</f>
        <v>1280.1175479999997</v>
      </c>
      <c r="M31" s="90">
        <f>+[1]Financials!W$29</f>
        <v>1307.0000165079996</v>
      </c>
      <c r="N31" s="90">
        <f>+[1]Financials!X$29</f>
        <v>1334.4470168546675</v>
      </c>
      <c r="O31" s="90">
        <f>+[1]Financials!Y$29</f>
        <v>1362.4704042086153</v>
      </c>
      <c r="P31" s="90">
        <f>+[1]Financials!Z$29</f>
        <v>1391.0822826969961</v>
      </c>
      <c r="Q31" s="90">
        <f>+[1]Financials!AA$29</f>
        <v>1420.295010633633</v>
      </c>
      <c r="R31" s="90">
        <f>+[1]Financials!AB$29</f>
        <v>1450.121205856939</v>
      </c>
      <c r="S31" s="90">
        <f>+[1]Financials!AC$29</f>
        <v>1480.5737511799346</v>
      </c>
      <c r="T31" s="90">
        <f>+[1]Financials!AD$29</f>
        <v>1511.6657999547131</v>
      </c>
      <c r="U31" s="90">
        <f>+[1]Financials!AE$29</f>
        <v>1543.410781753762</v>
      </c>
      <c r="V31" s="90">
        <f>+[1]Financials!AF$29</f>
        <v>1575.8224081705907</v>
      </c>
      <c r="W31" s="90">
        <f>+[1]Financials!AG$29</f>
        <v>0</v>
      </c>
      <c r="X31" s="90">
        <f>+[1]Financials!AH$29</f>
        <v>0</v>
      </c>
      <c r="Y31" s="90">
        <f>+[1]Financials!AI$29</f>
        <v>0</v>
      </c>
      <c r="AA31" s="606">
        <f t="shared" si="1"/>
        <v>22902.794225817852</v>
      </c>
      <c r="AB31" s="607">
        <f t="shared" si="2"/>
        <v>22902.794225817852</v>
      </c>
    </row>
    <row r="32" spans="1:28">
      <c r="A32" s="4" t="s">
        <v>38</v>
      </c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41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41"/>
      <c r="E35" s="107">
        <f>+'[1]Operating Expense'!L14</f>
        <v>472</v>
      </c>
      <c r="F35" s="107">
        <f>+'[1]Operating Expense'!M14</f>
        <v>472</v>
      </c>
      <c r="G35" s="107">
        <f>+'[1]Operating Expense'!N14</f>
        <v>472</v>
      </c>
      <c r="H35" s="107">
        <f>+'[1]Operating Expense'!O14</f>
        <v>472</v>
      </c>
      <c r="I35" s="107">
        <f>+'[1]Operating Expense'!P14</f>
        <v>472</v>
      </c>
      <c r="J35" s="107">
        <f>+'[1]Operating Expense'!Q14</f>
        <v>472</v>
      </c>
      <c r="K35" s="107">
        <f>+'[1]Operating Expense'!R14</f>
        <v>472</v>
      </c>
      <c r="L35" s="107">
        <f>+'[1]Operating Expense'!S14</f>
        <v>472</v>
      </c>
      <c r="M35" s="107">
        <f>+'[1]Operating Expense'!T14</f>
        <v>472</v>
      </c>
      <c r="N35" s="107">
        <f>+'[1]Operating Expense'!U14</f>
        <v>472</v>
      </c>
      <c r="O35" s="107">
        <f>+'[1]Operating Expense'!V14</f>
        <v>472</v>
      </c>
      <c r="P35" s="107">
        <f>+'[1]Operating Expense'!W14</f>
        <v>472</v>
      </c>
      <c r="Q35" s="107">
        <f>+'[1]Operating Expense'!X14</f>
        <v>472</v>
      </c>
      <c r="R35" s="107">
        <f>+'[1]Operating Expense'!Y14</f>
        <v>472</v>
      </c>
      <c r="S35" s="107">
        <f>+'[1]Operating Expense'!Z14</f>
        <v>472</v>
      </c>
      <c r="T35" s="107">
        <f>+'[1]Operating Expense'!AA14</f>
        <v>472</v>
      </c>
      <c r="U35" s="107">
        <f>+'[1]Operating Expense'!AB14</f>
        <v>472</v>
      </c>
      <c r="V35" s="107">
        <f>+'[1]Operating Expense'!AC14</f>
        <v>472</v>
      </c>
      <c r="W35" s="107">
        <f>+'[1]Operating Expense'!AD14</f>
        <v>0</v>
      </c>
      <c r="X35" s="107">
        <f>+'[1]Operating Expense'!AE14</f>
        <v>0</v>
      </c>
      <c r="Y35" s="107">
        <f>+'[1]Operating Expense'!AF14</f>
        <v>0</v>
      </c>
      <c r="AA35" s="606">
        <f t="shared" si="1"/>
        <v>8024</v>
      </c>
      <c r="AB35" s="607">
        <f t="shared" si="2"/>
        <v>8024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60386.141701485409</v>
      </c>
      <c r="F36" s="90">
        <f t="shared" si="4"/>
        <v>65251.250254144194</v>
      </c>
      <c r="G36" s="90">
        <f t="shared" si="4"/>
        <v>64596.851717773665</v>
      </c>
      <c r="H36" s="90">
        <f t="shared" si="4"/>
        <v>63388.549363405065</v>
      </c>
      <c r="I36" s="90">
        <f t="shared" si="4"/>
        <v>59805.566258825347</v>
      </c>
      <c r="J36" s="90">
        <f t="shared" si="4"/>
        <v>67647.447798582143</v>
      </c>
      <c r="K36" s="90">
        <f t="shared" si="4"/>
        <v>67461.807397969445</v>
      </c>
      <c r="L36" s="90">
        <f t="shared" si="4"/>
        <v>68697.690116022393</v>
      </c>
      <c r="M36" s="90">
        <f t="shared" si="4"/>
        <v>69825.455488987907</v>
      </c>
      <c r="N36" s="90">
        <f t="shared" si="4"/>
        <v>70888.548961295426</v>
      </c>
      <c r="O36" s="90">
        <f t="shared" si="4"/>
        <v>71972.516559444717</v>
      </c>
      <c r="P36" s="90">
        <f t="shared" si="4"/>
        <v>73197.347285494543</v>
      </c>
      <c r="Q36" s="90">
        <f t="shared" si="4"/>
        <v>74453.872888377169</v>
      </c>
      <c r="R36" s="90">
        <f t="shared" si="4"/>
        <v>75710.677416611856</v>
      </c>
      <c r="S36" s="90">
        <f t="shared" si="4"/>
        <v>76993.210985107653</v>
      </c>
      <c r="T36" s="90">
        <f t="shared" si="4"/>
        <v>78322.361631195643</v>
      </c>
      <c r="U36" s="90">
        <f t="shared" si="4"/>
        <v>79704.163981937687</v>
      </c>
      <c r="V36" s="90">
        <f t="shared" si="4"/>
        <v>48721.834238157877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1176639.1523433325</v>
      </c>
      <c r="AB36" s="607">
        <f t="shared" si="2"/>
        <v>1176639.1523433325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>E20-E36</f>
        <v>75574.36875999163</v>
      </c>
      <c r="F39" s="93">
        <f t="shared" ref="F39:Y39" si="5">F20-F36</f>
        <v>70837.736711049365</v>
      </c>
      <c r="G39" s="93">
        <f t="shared" si="5"/>
        <v>72701.670279410129</v>
      </c>
      <c r="H39" s="93">
        <f t="shared" si="5"/>
        <v>74963.995503503131</v>
      </c>
      <c r="I39" s="93">
        <f t="shared" si="5"/>
        <v>78538.340986849667</v>
      </c>
      <c r="J39" s="93">
        <f t="shared" si="5"/>
        <v>71727.088930254016</v>
      </c>
      <c r="K39" s="93">
        <f t="shared" si="5"/>
        <v>71691.984225095046</v>
      </c>
      <c r="L39" s="93">
        <f t="shared" si="5"/>
        <v>36415.730360388523</v>
      </c>
      <c r="M39" s="93">
        <f t="shared" si="5"/>
        <v>35980.405473670515</v>
      </c>
      <c r="N39" s="93">
        <f t="shared" si="5"/>
        <v>35539.617966747421</v>
      </c>
      <c r="O39" s="93">
        <f t="shared" si="5"/>
        <v>35087.986001101017</v>
      </c>
      <c r="P39" s="93">
        <f t="shared" si="5"/>
        <v>34621.01074887118</v>
      </c>
      <c r="Q39" s="93">
        <f t="shared" si="5"/>
        <v>34142.979661372665</v>
      </c>
      <c r="R39" s="93">
        <f t="shared" si="5"/>
        <v>33654.618897879991</v>
      </c>
      <c r="S39" s="93">
        <f t="shared" si="5"/>
        <v>33154.74181785954</v>
      </c>
      <c r="T39" s="93">
        <f t="shared" si="5"/>
        <v>32641.965954449945</v>
      </c>
      <c r="U39" s="93">
        <f t="shared" si="5"/>
        <v>32115.85406574521</v>
      </c>
      <c r="V39" s="93">
        <f t="shared" si="5"/>
        <v>237.02575308491214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784052.75333733216</v>
      </c>
      <c r="AB39" s="607">
        <f t="shared" si="2"/>
        <v>784052.75333733216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8284</v>
      </c>
      <c r="G41" s="90">
        <f t="shared" si="7"/>
        <v>8284</v>
      </c>
      <c r="H41" s="90">
        <f t="shared" si="7"/>
        <v>8284</v>
      </c>
      <c r="I41" s="90">
        <f t="shared" si="7"/>
        <v>8284</v>
      </c>
      <c r="J41" s="90">
        <f t="shared" si="7"/>
        <v>8284</v>
      </c>
      <c r="K41" s="90">
        <f t="shared" si="7"/>
        <v>8284</v>
      </c>
      <c r="L41" s="90">
        <f t="shared" si="7"/>
        <v>8284</v>
      </c>
      <c r="M41" s="90">
        <f t="shared" si="7"/>
        <v>8284</v>
      </c>
      <c r="N41" s="90">
        <f t="shared" si="7"/>
        <v>8284</v>
      </c>
      <c r="O41" s="90">
        <f t="shared" si="7"/>
        <v>8284</v>
      </c>
      <c r="P41" s="90">
        <f t="shared" si="7"/>
        <v>8284</v>
      </c>
      <c r="Q41" s="90">
        <f t="shared" si="7"/>
        <v>8284</v>
      </c>
      <c r="R41" s="90">
        <f t="shared" si="7"/>
        <v>8284</v>
      </c>
      <c r="S41" s="90">
        <f t="shared" si="7"/>
        <v>8284</v>
      </c>
      <c r="T41" s="90">
        <f t="shared" si="7"/>
        <v>8284</v>
      </c>
      <c r="U41" s="90">
        <f t="shared" si="7"/>
        <v>8284</v>
      </c>
      <c r="V41" s="90">
        <f t="shared" si="7"/>
        <v>8284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140828</v>
      </c>
      <c r="AB41" s="607">
        <f t="shared" si="2"/>
        <v>140828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62553.736711049365</v>
      </c>
      <c r="G44" s="93">
        <f t="shared" si="8"/>
        <v>64417.670279410129</v>
      </c>
      <c r="H44" s="93">
        <f t="shared" si="8"/>
        <v>66679.995503503131</v>
      </c>
      <c r="I44" s="93">
        <f t="shared" si="8"/>
        <v>70254.340986849667</v>
      </c>
      <c r="J44" s="93">
        <f t="shared" si="8"/>
        <v>63443.088930254016</v>
      </c>
      <c r="K44" s="93">
        <f t="shared" si="8"/>
        <v>63407.984225095046</v>
      </c>
      <c r="L44" s="93">
        <f t="shared" si="8"/>
        <v>28131.730360388523</v>
      </c>
      <c r="M44" s="93">
        <f t="shared" si="8"/>
        <v>27696.405473670515</v>
      </c>
      <c r="N44" s="93">
        <f t="shared" si="8"/>
        <v>27255.617966747421</v>
      </c>
      <c r="O44" s="93">
        <f t="shared" si="8"/>
        <v>26803.986001101017</v>
      </c>
      <c r="P44" s="93">
        <f t="shared" si="8"/>
        <v>26337.01074887118</v>
      </c>
      <c r="Q44" s="93">
        <f t="shared" si="8"/>
        <v>25858.979661372665</v>
      </c>
      <c r="R44" s="93">
        <f t="shared" si="8"/>
        <v>25370.618897879991</v>
      </c>
      <c r="S44" s="93">
        <f t="shared" si="8"/>
        <v>24870.74181785954</v>
      </c>
      <c r="T44" s="93">
        <f t="shared" si="8"/>
        <v>24357.965954449945</v>
      </c>
      <c r="U44" s="93">
        <f t="shared" si="8"/>
        <v>23831.85406574521</v>
      </c>
      <c r="V44" s="93">
        <f t="shared" si="8"/>
        <v>-8046.9742469150879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643224.7533373324</v>
      </c>
      <c r="AB44" s="607">
        <f t="shared" si="2"/>
        <v>643224.7533373324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29"/>
      <c r="F46" s="268">
        <v>0</v>
      </c>
      <c r="G46" s="268">
        <v>0</v>
      </c>
      <c r="H46" s="268">
        <v>0</v>
      </c>
      <c r="I46" s="268">
        <v>0</v>
      </c>
      <c r="J46" s="268">
        <v>0</v>
      </c>
      <c r="K46" s="268">
        <v>0</v>
      </c>
      <c r="L46" s="268">
        <v>0</v>
      </c>
      <c r="M46" s="268">
        <v>0</v>
      </c>
      <c r="N46" s="268">
        <v>0</v>
      </c>
      <c r="O46" s="268">
        <v>0</v>
      </c>
      <c r="P46" s="268">
        <v>0</v>
      </c>
      <c r="Q46" s="268">
        <v>0</v>
      </c>
      <c r="R46" s="268">
        <v>0</v>
      </c>
      <c r="S46" s="268">
        <v>0</v>
      </c>
      <c r="T46" s="268">
        <v>0</v>
      </c>
      <c r="U46" s="268">
        <v>0</v>
      </c>
      <c r="V46" s="268">
        <v>0</v>
      </c>
      <c r="W46" s="268">
        <v>0</v>
      </c>
      <c r="X46" s="268">
        <v>0</v>
      </c>
      <c r="Y46" s="26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62553.736711049365</v>
      </c>
      <c r="G49" s="93">
        <f t="shared" si="9"/>
        <v>64417.670279410129</v>
      </c>
      <c r="H49" s="93">
        <f t="shared" si="9"/>
        <v>66679.995503503131</v>
      </c>
      <c r="I49" s="93">
        <f t="shared" si="9"/>
        <v>70254.340986849667</v>
      </c>
      <c r="J49" s="93">
        <f t="shared" si="9"/>
        <v>63443.088930254016</v>
      </c>
      <c r="K49" s="93">
        <f t="shared" si="9"/>
        <v>63407.984225095046</v>
      </c>
      <c r="L49" s="93">
        <f t="shared" si="9"/>
        <v>28131.730360388523</v>
      </c>
      <c r="M49" s="93">
        <f t="shared" si="9"/>
        <v>27696.405473670515</v>
      </c>
      <c r="N49" s="93">
        <f t="shared" si="9"/>
        <v>27255.617966747421</v>
      </c>
      <c r="O49" s="93">
        <f t="shared" si="9"/>
        <v>26803.986001101017</v>
      </c>
      <c r="P49" s="93">
        <f t="shared" si="9"/>
        <v>26337.01074887118</v>
      </c>
      <c r="Q49" s="93">
        <f t="shared" si="9"/>
        <v>25858.979661372665</v>
      </c>
      <c r="R49" s="93">
        <f t="shared" si="9"/>
        <v>25370.618897879991</v>
      </c>
      <c r="S49" s="93">
        <f t="shared" si="9"/>
        <v>24870.74181785954</v>
      </c>
      <c r="T49" s="93">
        <f t="shared" si="9"/>
        <v>24357.965954449945</v>
      </c>
      <c r="U49" s="93">
        <f t="shared" si="9"/>
        <v>23831.85406574521</v>
      </c>
      <c r="V49" s="93">
        <f t="shared" si="9"/>
        <v>-8046.9742469150879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643224.7533373324</v>
      </c>
      <c r="AB49" s="607">
        <f t="shared" si="2"/>
        <v>643224.7533373324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-3753.2242026629619</v>
      </c>
      <c r="G51" s="55">
        <f t="shared" si="10"/>
        <v>-3865.0602167646075</v>
      </c>
      <c r="H51" s="90">
        <f t="shared" si="10"/>
        <v>-4000.7997302101876</v>
      </c>
      <c r="I51" s="90">
        <f t="shared" si="10"/>
        <v>-4215.2604592109801</v>
      </c>
      <c r="J51" s="90">
        <f t="shared" si="10"/>
        <v>-3806.5853358152408</v>
      </c>
      <c r="K51" s="90">
        <f t="shared" si="10"/>
        <v>-3804.4790535057027</v>
      </c>
      <c r="L51" s="90">
        <f t="shared" si="10"/>
        <v>-1687.9038216233114</v>
      </c>
      <c r="M51" s="90">
        <f t="shared" si="10"/>
        <v>-1661.7843284202308</v>
      </c>
      <c r="N51" s="90">
        <f t="shared" si="10"/>
        <v>-1635.3370780048451</v>
      </c>
      <c r="O51" s="90">
        <f t="shared" si="10"/>
        <v>-1608.239160066061</v>
      </c>
      <c r="P51" s="90">
        <f t="shared" si="10"/>
        <v>-1580.2206449322707</v>
      </c>
      <c r="Q51" s="90">
        <f t="shared" si="10"/>
        <v>-1551.5387796823597</v>
      </c>
      <c r="R51" s="90">
        <f t="shared" si="10"/>
        <v>-1522.2371338727994</v>
      </c>
      <c r="S51" s="90">
        <f t="shared" si="10"/>
        <v>-1492.2445090715723</v>
      </c>
      <c r="T51" s="90">
        <f t="shared" si="10"/>
        <v>-1461.4779572669966</v>
      </c>
      <c r="U51" s="90">
        <f t="shared" si="10"/>
        <v>-1429.9112439447126</v>
      </c>
      <c r="V51" s="90">
        <f t="shared" si="10"/>
        <v>482.81845481490524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-38593.485200239928</v>
      </c>
      <c r="AB51" s="607">
        <f t="shared" si="2"/>
        <v>-38593.485200239928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-20580.179377935241</v>
      </c>
      <c r="G52" s="89">
        <f t="shared" si="11"/>
        <v>-21193.413521925933</v>
      </c>
      <c r="H52" s="89">
        <f t="shared" si="11"/>
        <v>-21937.718520652528</v>
      </c>
      <c r="I52" s="89">
        <f t="shared" si="11"/>
        <v>-23113.678184673536</v>
      </c>
      <c r="J52" s="89">
        <f t="shared" si="11"/>
        <v>-20872.776258053571</v>
      </c>
      <c r="K52" s="89">
        <f t="shared" si="11"/>
        <v>-20861.226810056269</v>
      </c>
      <c r="L52" s="89">
        <f t="shared" si="11"/>
        <v>-9255.3392885678222</v>
      </c>
      <c r="M52" s="89">
        <f t="shared" si="11"/>
        <v>-9112.1174008375983</v>
      </c>
      <c r="N52" s="89">
        <f t="shared" si="11"/>
        <v>-8967.0983110599009</v>
      </c>
      <c r="O52" s="89">
        <f t="shared" si="11"/>
        <v>-8818.5113943622346</v>
      </c>
      <c r="P52" s="89">
        <f t="shared" si="11"/>
        <v>-8664.8765363786188</v>
      </c>
      <c r="Q52" s="89">
        <f t="shared" si="11"/>
        <v>-8507.6043085916062</v>
      </c>
      <c r="R52" s="89">
        <f t="shared" si="11"/>
        <v>-8346.9336174025157</v>
      </c>
      <c r="S52" s="89">
        <f t="shared" si="11"/>
        <v>-8182.474058075788</v>
      </c>
      <c r="T52" s="89">
        <f t="shared" si="11"/>
        <v>-8013.7707990140307</v>
      </c>
      <c r="U52" s="89">
        <f t="shared" si="11"/>
        <v>-7840.6799876301739</v>
      </c>
      <c r="V52" s="89">
        <f t="shared" si="11"/>
        <v>2647.4545272350638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-211620.94384798224</v>
      </c>
      <c r="AB52" s="607">
        <f t="shared" si="2"/>
        <v>-211620.94384798224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38220.333130451167</v>
      </c>
      <c r="G54" s="93">
        <f t="shared" si="12"/>
        <v>39359.196540719589</v>
      </c>
      <c r="H54" s="93">
        <f t="shared" si="12"/>
        <v>40741.477252640412</v>
      </c>
      <c r="I54" s="93">
        <f t="shared" si="12"/>
        <v>42925.402342965142</v>
      </c>
      <c r="J54" s="93">
        <f t="shared" si="12"/>
        <v>38763.727336385207</v>
      </c>
      <c r="K54" s="93">
        <f t="shared" si="12"/>
        <v>38742.27836153307</v>
      </c>
      <c r="L54" s="93">
        <f t="shared" si="12"/>
        <v>17188.487250197388</v>
      </c>
      <c r="M54" s="93">
        <f t="shared" si="12"/>
        <v>16922.503744412687</v>
      </c>
      <c r="N54" s="93">
        <f t="shared" si="12"/>
        <v>16653.182577682674</v>
      </c>
      <c r="O54" s="93">
        <f t="shared" si="12"/>
        <v>16377.235446672723</v>
      </c>
      <c r="P54" s="93">
        <f t="shared" si="12"/>
        <v>16091.913567560292</v>
      </c>
      <c r="Q54" s="93">
        <f t="shared" si="12"/>
        <v>15799.836573098699</v>
      </c>
      <c r="R54" s="93">
        <f t="shared" si="12"/>
        <v>15501.448146604675</v>
      </c>
      <c r="S54" s="93">
        <f t="shared" si="12"/>
        <v>15196.023250712178</v>
      </c>
      <c r="T54" s="93">
        <f t="shared" si="12"/>
        <v>14882.717198168917</v>
      </c>
      <c r="U54" s="93">
        <f t="shared" si="12"/>
        <v>14561.262834170324</v>
      </c>
      <c r="V54" s="93">
        <f t="shared" si="12"/>
        <v>-4916.701264865118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393010.32428911002</v>
      </c>
      <c r="AB54" s="607">
        <f t="shared" si="2"/>
        <v>393010.32428911002</v>
      </c>
    </row>
    <row r="55" spans="1:28" outlineLevel="1">
      <c r="B55" s="96">
        <f>SUM(H55:Y55)</f>
        <v>0</v>
      </c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42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70837.736711049365</v>
      </c>
      <c r="G64" s="24">
        <f t="shared" si="14"/>
        <v>72701.670279410129</v>
      </c>
      <c r="H64" s="20">
        <f t="shared" si="14"/>
        <v>74963.995503503131</v>
      </c>
      <c r="I64" s="20">
        <f t="shared" si="14"/>
        <v>78538.340986849667</v>
      </c>
      <c r="J64" s="20">
        <f t="shared" si="14"/>
        <v>71727.088930254016</v>
      </c>
      <c r="K64" s="20">
        <f t="shared" si="14"/>
        <v>71691.984225095046</v>
      </c>
      <c r="L64" s="20">
        <f t="shared" si="14"/>
        <v>36415.730360388523</v>
      </c>
      <c r="M64" s="20">
        <f t="shared" si="14"/>
        <v>35980.405473670515</v>
      </c>
      <c r="N64" s="20">
        <f t="shared" si="14"/>
        <v>35539.617966747421</v>
      </c>
      <c r="O64" s="20">
        <f t="shared" si="14"/>
        <v>35087.986001101017</v>
      </c>
      <c r="P64" s="20">
        <f t="shared" si="14"/>
        <v>34621.01074887118</v>
      </c>
      <c r="Q64" s="20">
        <f t="shared" si="14"/>
        <v>34142.979661372665</v>
      </c>
      <c r="R64" s="20">
        <f t="shared" si="14"/>
        <v>33654.618897879991</v>
      </c>
      <c r="S64" s="20">
        <f t="shared" si="14"/>
        <v>33154.74181785954</v>
      </c>
      <c r="T64" s="20">
        <f t="shared" si="14"/>
        <v>32641.965954449945</v>
      </c>
      <c r="U64" s="20">
        <f t="shared" si="14"/>
        <v>32115.85406574521</v>
      </c>
      <c r="V64" s="20">
        <f t="shared" si="14"/>
        <v>237.02575308491214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784052.75333733216</v>
      </c>
      <c r="AB64" s="607">
        <f t="shared" si="2"/>
        <v>784052.75333733216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70837.736711049365</v>
      </c>
      <c r="G69" s="95">
        <f t="shared" si="15"/>
        <v>72701.670279410129</v>
      </c>
      <c r="H69" s="95">
        <f t="shared" si="15"/>
        <v>74963.995503503131</v>
      </c>
      <c r="I69" s="95">
        <f t="shared" si="15"/>
        <v>78538.340986849667</v>
      </c>
      <c r="J69" s="95">
        <f t="shared" si="15"/>
        <v>71727.088930254016</v>
      </c>
      <c r="K69" s="95">
        <f t="shared" si="15"/>
        <v>71691.984225095046</v>
      </c>
      <c r="L69" s="95">
        <f t="shared" si="15"/>
        <v>36415.730360388523</v>
      </c>
      <c r="M69" s="95">
        <f t="shared" si="15"/>
        <v>35980.405473670515</v>
      </c>
      <c r="N69" s="95">
        <f t="shared" si="15"/>
        <v>35539.617966747421</v>
      </c>
      <c r="O69" s="95">
        <f t="shared" si="15"/>
        <v>35087.986001101017</v>
      </c>
      <c r="P69" s="95">
        <f t="shared" si="15"/>
        <v>34621.01074887118</v>
      </c>
      <c r="Q69" s="95">
        <f t="shared" si="15"/>
        <v>34142.979661372665</v>
      </c>
      <c r="R69" s="95">
        <f t="shared" si="15"/>
        <v>33654.618897879991</v>
      </c>
      <c r="S69" s="95">
        <f t="shared" si="15"/>
        <v>33154.74181785954</v>
      </c>
      <c r="T69" s="95">
        <f t="shared" si="15"/>
        <v>32641.965954449945</v>
      </c>
      <c r="U69" s="95">
        <f t="shared" si="15"/>
        <v>32115.85406574521</v>
      </c>
      <c r="V69" s="95">
        <f t="shared" si="15"/>
        <v>237.02575308491214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784052.75333733216</v>
      </c>
      <c r="AB69" s="607">
        <f t="shared" si="2"/>
        <v>784052.75333733216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-22722.044419973732</v>
      </c>
      <c r="G71" s="100">
        <f t="shared" si="16"/>
        <v>-18975.494798811065</v>
      </c>
      <c r="H71" s="100">
        <f t="shared" si="16"/>
        <v>-20554.189619532164</v>
      </c>
      <c r="I71" s="100">
        <f t="shared" si="16"/>
        <v>-22589.121367303895</v>
      </c>
      <c r="J71" s="100">
        <f t="shared" si="16"/>
        <v>-20537.650854496118</v>
      </c>
      <c r="K71" s="100">
        <f t="shared" si="16"/>
        <v>-21075.696843855221</v>
      </c>
      <c r="L71" s="100">
        <f t="shared" si="16"/>
        <v>-7864.9761061558283</v>
      </c>
      <c r="M71" s="100">
        <f t="shared" si="16"/>
        <v>-8167.4170368994692</v>
      </c>
      <c r="N71" s="100">
        <f t="shared" si="16"/>
        <v>-8073.2920592763785</v>
      </c>
      <c r="O71" s="100">
        <f t="shared" si="16"/>
        <v>-7898.8962473494284</v>
      </c>
      <c r="P71" s="100">
        <f t="shared" si="16"/>
        <v>-7715.9538515225213</v>
      </c>
      <c r="Q71" s="100">
        <f t="shared" si="16"/>
        <v>-7531.2887811950986</v>
      </c>
      <c r="R71" s="100">
        <f t="shared" si="16"/>
        <v>-7340.0274214869478</v>
      </c>
      <c r="S71" s="100">
        <f t="shared" si="16"/>
        <v>-7146.8642600684934</v>
      </c>
      <c r="T71" s="100">
        <f t="shared" si="16"/>
        <v>-6946.1054264926606</v>
      </c>
      <c r="U71" s="100">
        <f t="shared" si="16"/>
        <v>-6742.73692449602</v>
      </c>
      <c r="V71" s="100">
        <f t="shared" si="16"/>
        <v>5659.4163118383367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-196222.3397070767</v>
      </c>
      <c r="AB71" s="607">
        <f t="shared" si="2"/>
        <v>-196222.3397070767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48115.692291075633</v>
      </c>
      <c r="G73" s="28">
        <f t="shared" si="17"/>
        <v>53726.175480599064</v>
      </c>
      <c r="H73" s="28">
        <f t="shared" si="17"/>
        <v>54409.80588397097</v>
      </c>
      <c r="I73" s="28">
        <f t="shared" si="17"/>
        <v>55949.219619545773</v>
      </c>
      <c r="J73" s="28">
        <f t="shared" si="17"/>
        <v>51189.438075757898</v>
      </c>
      <c r="K73" s="28">
        <f t="shared" si="17"/>
        <v>50616.287381239825</v>
      </c>
      <c r="L73" s="28">
        <f t="shared" si="17"/>
        <v>28550.754254232696</v>
      </c>
      <c r="M73" s="28">
        <f t="shared" si="17"/>
        <v>27812.988436771047</v>
      </c>
      <c r="N73" s="28">
        <f t="shared" si="17"/>
        <v>27466.325907471044</v>
      </c>
      <c r="O73" s="28">
        <f t="shared" si="17"/>
        <v>27189.089753751588</v>
      </c>
      <c r="P73" s="28">
        <f t="shared" si="17"/>
        <v>26905.056897348659</v>
      </c>
      <c r="Q73" s="28">
        <f t="shared" si="17"/>
        <v>26611.690880177564</v>
      </c>
      <c r="R73" s="28">
        <f t="shared" si="17"/>
        <v>26314.591476393041</v>
      </c>
      <c r="S73" s="28">
        <f t="shared" si="17"/>
        <v>26007.877557791046</v>
      </c>
      <c r="T73" s="28">
        <f t="shared" si="17"/>
        <v>25695.860527957284</v>
      </c>
      <c r="U73" s="28">
        <f t="shared" si="17"/>
        <v>25373.117141249189</v>
      </c>
      <c r="V73" s="28">
        <f t="shared" si="17"/>
        <v>5896.4420649232488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587830.41363025561</v>
      </c>
      <c r="AB73" s="607">
        <f t="shared" si="2"/>
        <v>587830.41363025561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38220.333130451167</v>
      </c>
      <c r="G76" s="95">
        <f t="shared" si="19"/>
        <v>39359.196540719589</v>
      </c>
      <c r="H76" s="28">
        <f t="shared" si="19"/>
        <v>40741.477252640412</v>
      </c>
      <c r="I76" s="28">
        <f t="shared" si="19"/>
        <v>42925.402342965142</v>
      </c>
      <c r="J76" s="28">
        <f t="shared" si="19"/>
        <v>38763.727336385207</v>
      </c>
      <c r="K76" s="28">
        <f t="shared" si="19"/>
        <v>38742.27836153307</v>
      </c>
      <c r="L76" s="28">
        <f t="shared" si="19"/>
        <v>17188.487250197388</v>
      </c>
      <c r="M76" s="28">
        <f t="shared" si="19"/>
        <v>16922.503744412687</v>
      </c>
      <c r="N76" s="28">
        <f t="shared" si="19"/>
        <v>16653.182577682674</v>
      </c>
      <c r="O76" s="28">
        <f t="shared" si="19"/>
        <v>16377.235446672723</v>
      </c>
      <c r="P76" s="28">
        <f t="shared" si="19"/>
        <v>16091.913567560292</v>
      </c>
      <c r="Q76" s="28">
        <f t="shared" si="19"/>
        <v>15799.836573098699</v>
      </c>
      <c r="R76" s="28">
        <f t="shared" si="19"/>
        <v>15501.448146604675</v>
      </c>
      <c r="S76" s="28">
        <f t="shared" si="19"/>
        <v>15196.023250712178</v>
      </c>
      <c r="T76" s="28">
        <f t="shared" si="19"/>
        <v>14882.717198168917</v>
      </c>
      <c r="U76" s="28">
        <f t="shared" si="19"/>
        <v>14561.262834170324</v>
      </c>
      <c r="V76" s="28">
        <f t="shared" si="19"/>
        <v>-4916.701264865118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393010.32428911002</v>
      </c>
      <c r="AB76" s="607">
        <f>AA76</f>
        <v>393010.32428911002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48115.692291075633</v>
      </c>
      <c r="G77" s="95">
        <f t="shared" si="20"/>
        <v>53726.175480599064</v>
      </c>
      <c r="H77" s="28">
        <f t="shared" si="20"/>
        <v>54409.80588397097</v>
      </c>
      <c r="I77" s="28">
        <f t="shared" si="20"/>
        <v>55949.219619545773</v>
      </c>
      <c r="J77" s="28">
        <f t="shared" si="20"/>
        <v>51189.438075757898</v>
      </c>
      <c r="K77" s="28">
        <f t="shared" si="20"/>
        <v>50616.287381239825</v>
      </c>
      <c r="L77" s="28">
        <f t="shared" si="20"/>
        <v>28550.754254232696</v>
      </c>
      <c r="M77" s="28">
        <f t="shared" si="20"/>
        <v>27812.988436771047</v>
      </c>
      <c r="N77" s="28">
        <f t="shared" si="20"/>
        <v>27466.325907471044</v>
      </c>
      <c r="O77" s="28">
        <f t="shared" si="20"/>
        <v>27189.089753751588</v>
      </c>
      <c r="P77" s="28">
        <f t="shared" si="20"/>
        <v>26905.056897348659</v>
      </c>
      <c r="Q77" s="28">
        <f t="shared" si="20"/>
        <v>26611.690880177564</v>
      </c>
      <c r="R77" s="28">
        <f t="shared" si="20"/>
        <v>26314.591476393041</v>
      </c>
      <c r="S77" s="28">
        <f t="shared" si="20"/>
        <v>26007.877557791046</v>
      </c>
      <c r="T77" s="28">
        <f t="shared" si="20"/>
        <v>25695.860527957284</v>
      </c>
      <c r="U77" s="28">
        <f t="shared" si="20"/>
        <v>25373.117141249189</v>
      </c>
      <c r="V77" s="28">
        <f t="shared" si="20"/>
        <v>5896.4420649232488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587830.41363025561</v>
      </c>
      <c r="AB77" s="607">
        <f>AA77</f>
        <v>587830.41363025561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 t="s">
        <v>49</v>
      </c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5" customFormat="1">
      <c r="AA87" s="606">
        <f t="shared" si="6"/>
        <v>0</v>
      </c>
      <c r="AB87" s="607">
        <f t="shared" si="18"/>
        <v>0</v>
      </c>
    </row>
    <row r="88" spans="1:28" s="105" customFormat="1">
      <c r="A88" s="14" t="s">
        <v>34</v>
      </c>
      <c r="F88" s="165">
        <f>F69</f>
        <v>70837.736711049365</v>
      </c>
      <c r="G88" s="165">
        <f t="shared" ref="G88:Y88" si="22">G69</f>
        <v>72701.670279410129</v>
      </c>
      <c r="H88" s="165">
        <f t="shared" si="22"/>
        <v>74963.995503503131</v>
      </c>
      <c r="I88" s="165">
        <f t="shared" si="22"/>
        <v>78538.340986849667</v>
      </c>
      <c r="J88" s="165">
        <f t="shared" si="22"/>
        <v>71727.088930254016</v>
      </c>
      <c r="K88" s="165">
        <f t="shared" si="22"/>
        <v>71691.984225095046</v>
      </c>
      <c r="L88" s="165">
        <f t="shared" si="22"/>
        <v>36415.730360388523</v>
      </c>
      <c r="M88" s="165">
        <f t="shared" si="22"/>
        <v>35980.405473670515</v>
      </c>
      <c r="N88" s="165">
        <f t="shared" si="22"/>
        <v>35539.617966747421</v>
      </c>
      <c r="O88" s="165">
        <f t="shared" si="22"/>
        <v>35087.986001101017</v>
      </c>
      <c r="P88" s="165">
        <f t="shared" si="22"/>
        <v>34621.01074887118</v>
      </c>
      <c r="Q88" s="165">
        <f t="shared" si="22"/>
        <v>34142.979661372665</v>
      </c>
      <c r="R88" s="165">
        <f t="shared" si="22"/>
        <v>33654.618897879991</v>
      </c>
      <c r="S88" s="165">
        <f t="shared" si="22"/>
        <v>33154.74181785954</v>
      </c>
      <c r="T88" s="165">
        <f t="shared" si="22"/>
        <v>32641.965954449945</v>
      </c>
      <c r="U88" s="165">
        <f t="shared" si="22"/>
        <v>32115.85406574521</v>
      </c>
      <c r="V88" s="165">
        <f t="shared" si="22"/>
        <v>237.02575308491214</v>
      </c>
      <c r="W88" s="165">
        <f t="shared" si="22"/>
        <v>0</v>
      </c>
      <c r="X88" s="165">
        <f t="shared" si="22"/>
        <v>0</v>
      </c>
      <c r="Y88" s="165">
        <f t="shared" si="22"/>
        <v>0</v>
      </c>
      <c r="AA88" s="606">
        <f t="shared" si="6"/>
        <v>784052.75333733216</v>
      </c>
      <c r="AB88" s="607">
        <f t="shared" si="18"/>
        <v>784052.75333733216</v>
      </c>
    </row>
    <row r="89" spans="1:28" s="105" customFormat="1">
      <c r="A89" s="105" t="s">
        <v>53</v>
      </c>
      <c r="F89" s="110">
        <f>F125+F126</f>
        <v>-22722.044419973732</v>
      </c>
      <c r="G89" s="110">
        <f t="shared" ref="G89:V89" si="23">G125+G126</f>
        <v>-18975.494798811065</v>
      </c>
      <c r="H89" s="110">
        <f t="shared" si="23"/>
        <v>-20554.189619532164</v>
      </c>
      <c r="I89" s="110">
        <f t="shared" si="23"/>
        <v>-22589.121367303895</v>
      </c>
      <c r="J89" s="110">
        <f t="shared" si="23"/>
        <v>-20537.650854496118</v>
      </c>
      <c r="K89" s="110">
        <f t="shared" si="23"/>
        <v>-21075.696843855221</v>
      </c>
      <c r="L89" s="110">
        <f t="shared" si="23"/>
        <v>-7864.9761061558283</v>
      </c>
      <c r="M89" s="110">
        <f t="shared" si="23"/>
        <v>-8167.4170368994692</v>
      </c>
      <c r="N89" s="110">
        <f t="shared" si="23"/>
        <v>-8073.2920592763785</v>
      </c>
      <c r="O89" s="110">
        <f t="shared" si="23"/>
        <v>-7898.8962473494284</v>
      </c>
      <c r="P89" s="110">
        <f t="shared" si="23"/>
        <v>-7715.9538515225213</v>
      </c>
      <c r="Q89" s="110">
        <f t="shared" si="23"/>
        <v>-7531.2887811950986</v>
      </c>
      <c r="R89" s="110">
        <f t="shared" si="23"/>
        <v>-7340.0274214869478</v>
      </c>
      <c r="S89" s="110">
        <f t="shared" si="23"/>
        <v>-7146.8642600684934</v>
      </c>
      <c r="T89" s="110">
        <f t="shared" si="23"/>
        <v>-6946.1054264926606</v>
      </c>
      <c r="U89" s="110">
        <f t="shared" si="23"/>
        <v>-6742.73692449602</v>
      </c>
      <c r="V89" s="110">
        <f t="shared" si="23"/>
        <v>5659.4163118383367</v>
      </c>
      <c r="W89" s="110">
        <v>0</v>
      </c>
      <c r="X89" s="110">
        <v>0</v>
      </c>
      <c r="Y89" s="110">
        <v>0</v>
      </c>
      <c r="AA89" s="606">
        <f t="shared" si="6"/>
        <v>-196222.3397070767</v>
      </c>
      <c r="AB89" s="607">
        <f t="shared" si="18"/>
        <v>-196222.3397070767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f>Y98</f>
        <v>80289.635164363019</v>
      </c>
      <c r="W90" s="111">
        <v>0</v>
      </c>
      <c r="X90" s="111">
        <v>0</v>
      </c>
      <c r="Y90" s="111">
        <v>0</v>
      </c>
      <c r="AA90" s="606">
        <f t="shared" si="6"/>
        <v>80289.635164363019</v>
      </c>
      <c r="AB90" s="607">
        <f t="shared" si="18"/>
        <v>80289.635164363019</v>
      </c>
    </row>
    <row r="91" spans="1:28" s="105" customFormat="1">
      <c r="A91" s="166" t="s">
        <v>55</v>
      </c>
      <c r="B91" s="166"/>
      <c r="C91" s="166"/>
      <c r="D91" s="166"/>
      <c r="E91" s="148">
        <v>-368187.00642669474</v>
      </c>
      <c r="F91" s="165">
        <f>F88+F89+F90</f>
        <v>48115.692291075633</v>
      </c>
      <c r="G91" s="165">
        <f t="shared" ref="G91:Y91" si="24">G88+G89+G90</f>
        <v>53726.175480599064</v>
      </c>
      <c r="H91" s="165">
        <f t="shared" si="24"/>
        <v>54409.80588397097</v>
      </c>
      <c r="I91" s="165">
        <f t="shared" si="24"/>
        <v>55949.219619545773</v>
      </c>
      <c r="J91" s="165">
        <f t="shared" si="24"/>
        <v>51189.438075757898</v>
      </c>
      <c r="K91" s="165">
        <f t="shared" si="24"/>
        <v>50616.287381239825</v>
      </c>
      <c r="L91" s="165">
        <f t="shared" si="24"/>
        <v>28550.754254232696</v>
      </c>
      <c r="M91" s="165">
        <f t="shared" si="24"/>
        <v>27812.988436771047</v>
      </c>
      <c r="N91" s="165">
        <f t="shared" si="24"/>
        <v>27466.325907471044</v>
      </c>
      <c r="O91" s="165">
        <f t="shared" si="24"/>
        <v>27189.089753751588</v>
      </c>
      <c r="P91" s="165">
        <f t="shared" si="24"/>
        <v>26905.056897348659</v>
      </c>
      <c r="Q91" s="165">
        <f t="shared" si="24"/>
        <v>26611.690880177564</v>
      </c>
      <c r="R91" s="165">
        <f t="shared" si="24"/>
        <v>26314.591476393041</v>
      </c>
      <c r="S91" s="165">
        <f t="shared" si="24"/>
        <v>26007.877557791046</v>
      </c>
      <c r="T91" s="165">
        <f t="shared" si="24"/>
        <v>25695.860527957284</v>
      </c>
      <c r="U91" s="165">
        <f t="shared" si="24"/>
        <v>25373.117141249189</v>
      </c>
      <c r="V91" s="165">
        <f t="shared" si="24"/>
        <v>86186.077229286268</v>
      </c>
      <c r="W91" s="165">
        <f t="shared" si="24"/>
        <v>0</v>
      </c>
      <c r="X91" s="165">
        <f t="shared" si="24"/>
        <v>0</v>
      </c>
      <c r="Y91" s="165">
        <f t="shared" si="24"/>
        <v>0</v>
      </c>
      <c r="AA91" s="606">
        <f t="shared" si="6"/>
        <v>668120.04879461869</v>
      </c>
      <c r="AB91" s="607">
        <f t="shared" si="18"/>
        <v>668120.04879461869</v>
      </c>
    </row>
    <row r="92" spans="1:28" s="105" customFormat="1" ht="13.5" thickBot="1">
      <c r="AA92" s="606">
        <f t="shared" si="6"/>
        <v>0</v>
      </c>
      <c r="AB92" s="607">
        <f t="shared" si="18"/>
        <v>0</v>
      </c>
    </row>
    <row r="93" spans="1:28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s="105" customFormat="1" ht="13.5" thickBot="1">
      <c r="A94" s="105" t="s">
        <v>57</v>
      </c>
      <c r="E94" s="169">
        <f>NPV(C95,E91:Y91)</f>
        <v>1.3411903436282813E-11</v>
      </c>
      <c r="R94" s="170"/>
      <c r="U94" s="171" t="s">
        <v>94</v>
      </c>
      <c r="V94" s="172"/>
      <c r="W94" s="172"/>
      <c r="X94" s="172"/>
      <c r="Y94" s="173">
        <f>U39</f>
        <v>32115.85406574521</v>
      </c>
      <c r="AA94" s="606">
        <f t="shared" si="6"/>
        <v>32115.85406574521</v>
      </c>
      <c r="AB94" s="607">
        <f t="shared" si="18"/>
        <v>32115.85406574521</v>
      </c>
    </row>
    <row r="95" spans="1:28" s="105" customFormat="1" ht="13.5" thickBot="1">
      <c r="A95" s="105" t="s">
        <v>59</v>
      </c>
      <c r="C95" s="269">
        <v>8.5000000000000006E-2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5" customFormat="1">
      <c r="U96" s="177" t="s">
        <v>61</v>
      </c>
      <c r="V96" s="172"/>
      <c r="W96" s="172"/>
      <c r="X96" s="172"/>
      <c r="Y96" s="178">
        <f>Y94*Y95</f>
        <v>16057.927032872605</v>
      </c>
      <c r="AA96" s="606">
        <f t="shared" si="6"/>
        <v>16057.927032872605</v>
      </c>
      <c r="AB96" s="607">
        <f t="shared" si="18"/>
        <v>16057.927032872605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80289.635164363019</v>
      </c>
      <c r="AA98" s="606">
        <f t="shared" si="6"/>
        <v>80289.635164363019</v>
      </c>
      <c r="AB98" s="607">
        <f t="shared" si="18"/>
        <v>80289.635164363019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368187.00642669474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368187.00642669474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331368.30578402529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40</v>
      </c>
      <c r="C108" s="105" t="s">
        <v>0</v>
      </c>
      <c r="D108" s="184">
        <f>D104</f>
        <v>331368.30578402529</v>
      </c>
      <c r="F108" s="169">
        <f>ROUND(D108/$B$108,0)</f>
        <v>8284</v>
      </c>
      <c r="G108" s="169">
        <f>F108</f>
        <v>8284</v>
      </c>
      <c r="H108" s="169">
        <f t="shared" ref="H108:V109" si="27">G108</f>
        <v>8284</v>
      </c>
      <c r="I108" s="169">
        <f t="shared" si="27"/>
        <v>8284</v>
      </c>
      <c r="J108" s="169">
        <f t="shared" si="27"/>
        <v>8284</v>
      </c>
      <c r="K108" s="169">
        <f t="shared" si="27"/>
        <v>8284</v>
      </c>
      <c r="L108" s="169">
        <f t="shared" si="27"/>
        <v>8284</v>
      </c>
      <c r="M108" s="169">
        <f t="shared" si="27"/>
        <v>8284</v>
      </c>
      <c r="N108" s="169">
        <f t="shared" si="27"/>
        <v>8284</v>
      </c>
      <c r="O108" s="169">
        <f t="shared" si="27"/>
        <v>8284</v>
      </c>
      <c r="P108" s="169">
        <f t="shared" si="27"/>
        <v>8284</v>
      </c>
      <c r="Q108" s="169">
        <f t="shared" si="27"/>
        <v>8284</v>
      </c>
      <c r="R108" s="169">
        <f t="shared" si="27"/>
        <v>8284</v>
      </c>
      <c r="S108" s="169">
        <f t="shared" si="27"/>
        <v>8284</v>
      </c>
      <c r="T108" s="169">
        <f t="shared" si="27"/>
        <v>8284</v>
      </c>
      <c r="U108" s="169">
        <f t="shared" si="27"/>
        <v>8284</v>
      </c>
      <c r="V108" s="169">
        <f t="shared" si="27"/>
        <v>8284</v>
      </c>
      <c r="W108" s="740"/>
      <c r="X108" s="740"/>
      <c r="Y108" s="740"/>
      <c r="AA108" s="606">
        <f t="shared" si="25"/>
        <v>140828</v>
      </c>
      <c r="AB108" s="607">
        <f t="shared" si="18"/>
        <v>140828</v>
      </c>
    </row>
    <row r="109" spans="1:28" s="105" customFormat="1">
      <c r="A109" s="199" t="s">
        <v>571</v>
      </c>
      <c r="D109" s="184">
        <f>D103*'FPLE_Valuation Summary'!V19</f>
        <v>50309.46580557117</v>
      </c>
      <c r="F109" s="169">
        <f>ROUND(D109/$B$108,0)</f>
        <v>1258</v>
      </c>
      <c r="G109" s="169">
        <f>F109</f>
        <v>1258</v>
      </c>
      <c r="H109" s="169">
        <f t="shared" si="27"/>
        <v>1258</v>
      </c>
      <c r="I109" s="169">
        <f t="shared" si="27"/>
        <v>1258</v>
      </c>
      <c r="J109" s="169">
        <f t="shared" si="27"/>
        <v>1258</v>
      </c>
      <c r="K109" s="169">
        <f t="shared" si="27"/>
        <v>1258</v>
      </c>
      <c r="L109" s="169">
        <f t="shared" si="27"/>
        <v>1258</v>
      </c>
      <c r="M109" s="169">
        <f t="shared" si="27"/>
        <v>1258</v>
      </c>
      <c r="N109" s="169">
        <f t="shared" si="27"/>
        <v>1258</v>
      </c>
      <c r="O109" s="169">
        <f t="shared" si="27"/>
        <v>1258</v>
      </c>
      <c r="P109" s="169">
        <f t="shared" si="27"/>
        <v>1258</v>
      </c>
      <c r="Q109" s="169">
        <f t="shared" si="27"/>
        <v>1258</v>
      </c>
      <c r="R109" s="169">
        <f t="shared" si="27"/>
        <v>1258</v>
      </c>
      <c r="S109" s="169">
        <f t="shared" si="27"/>
        <v>1258</v>
      </c>
      <c r="T109" s="169">
        <f t="shared" si="27"/>
        <v>1258</v>
      </c>
      <c r="U109" s="169">
        <f t="shared" si="27"/>
        <v>1258</v>
      </c>
      <c r="V109" s="169">
        <f t="shared" si="27"/>
        <v>1258</v>
      </c>
      <c r="W109" s="740"/>
      <c r="X109" s="740"/>
      <c r="Y109" s="740"/>
      <c r="AA109" s="606">
        <f t="shared" si="25"/>
        <v>21386</v>
      </c>
      <c r="AB109" s="607">
        <f t="shared" si="18"/>
        <v>21386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331368.30578402529</v>
      </c>
      <c r="AA112" s="606">
        <f t="shared" si="25"/>
        <v>0</v>
      </c>
      <c r="AB112" s="607">
        <f t="shared" si="18"/>
        <v>0</v>
      </c>
    </row>
    <row r="113" spans="1:37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64"/>
      <c r="AA113" s="606">
        <f t="shared" si="25"/>
        <v>0.97769000000000017</v>
      </c>
      <c r="AB113" s="607">
        <f t="shared" si="18"/>
        <v>0.97769000000000017</v>
      </c>
      <c r="AC113" s="186"/>
      <c r="AD113" s="186"/>
      <c r="AE113" s="186"/>
      <c r="AF113" s="186"/>
      <c r="AG113" s="186"/>
      <c r="AH113" s="186"/>
      <c r="AI113" s="186"/>
      <c r="AJ113" s="186"/>
      <c r="AK113" s="186"/>
    </row>
    <row r="114" spans="1:37" s="105" customFormat="1">
      <c r="A114" s="105" t="s">
        <v>70</v>
      </c>
      <c r="F114" s="169">
        <f t="shared" ref="F114:V114" si="28">$D$112*F113</f>
        <v>12426.311466900948</v>
      </c>
      <c r="G114" s="169">
        <f t="shared" si="28"/>
        <v>23921.477994548786</v>
      </c>
      <c r="H114" s="169">
        <f t="shared" si="28"/>
        <v>22125.461777199369</v>
      </c>
      <c r="I114" s="169">
        <f t="shared" si="28"/>
        <v>20468.620248279243</v>
      </c>
      <c r="J114" s="169">
        <f t="shared" si="28"/>
        <v>18931.071309441366</v>
      </c>
      <c r="K114" s="169">
        <f t="shared" si="28"/>
        <v>17512.814960685737</v>
      </c>
      <c r="L114" s="169">
        <f t="shared" si="28"/>
        <v>16197.282786723155</v>
      </c>
      <c r="M114" s="169">
        <f t="shared" si="28"/>
        <v>14984.474787553625</v>
      </c>
      <c r="N114" s="169">
        <f t="shared" si="28"/>
        <v>14785.653804083207</v>
      </c>
      <c r="O114" s="169">
        <f t="shared" si="28"/>
        <v>14782.340121025367</v>
      </c>
      <c r="P114" s="169">
        <f t="shared" si="28"/>
        <v>14785.653804083207</v>
      </c>
      <c r="Q114" s="169">
        <f t="shared" si="28"/>
        <v>14782.340121025367</v>
      </c>
      <c r="R114" s="169">
        <f t="shared" si="28"/>
        <v>14785.653804083207</v>
      </c>
      <c r="S114" s="169">
        <f t="shared" si="28"/>
        <v>14782.340121025367</v>
      </c>
      <c r="T114" s="169">
        <f t="shared" si="28"/>
        <v>14785.653804083207</v>
      </c>
      <c r="U114" s="169">
        <f t="shared" si="28"/>
        <v>14782.340121025367</v>
      </c>
      <c r="V114" s="169">
        <f t="shared" si="28"/>
        <v>14785.653804083207</v>
      </c>
      <c r="W114" s="740"/>
      <c r="X114" s="740"/>
      <c r="Y114" s="740"/>
      <c r="AA114" s="606">
        <f t="shared" si="25"/>
        <v>279625.1448358497</v>
      </c>
      <c r="AB114" s="607">
        <f t="shared" si="18"/>
        <v>279625.1448358497</v>
      </c>
    </row>
    <row r="115" spans="1:37" s="105" customFormat="1">
      <c r="A115" s="199" t="s">
        <v>571</v>
      </c>
      <c r="D115" s="184">
        <f>D109</f>
        <v>50309.46580557117</v>
      </c>
      <c r="F115" s="169">
        <f>$D$115*F113</f>
        <v>1886.6049677089188</v>
      </c>
      <c r="G115" s="169">
        <f t="shared" ref="G115:V115" si="29">$D$115*G113</f>
        <v>3631.8403365041831</v>
      </c>
      <c r="H115" s="169">
        <f t="shared" si="29"/>
        <v>3359.1630318379866</v>
      </c>
      <c r="I115" s="169">
        <f t="shared" si="29"/>
        <v>3107.6157028101311</v>
      </c>
      <c r="J115" s="169">
        <f t="shared" si="29"/>
        <v>2874.1797814722809</v>
      </c>
      <c r="K115" s="169">
        <f t="shared" si="29"/>
        <v>2658.8552678244364</v>
      </c>
      <c r="L115" s="169">
        <f t="shared" si="29"/>
        <v>2459.1266885763189</v>
      </c>
      <c r="M115" s="169">
        <f t="shared" si="29"/>
        <v>2274.9940437279283</v>
      </c>
      <c r="N115" s="169">
        <f t="shared" si="29"/>
        <v>2244.8083642445854</v>
      </c>
      <c r="O115" s="169">
        <f t="shared" si="29"/>
        <v>2244.3052695865299</v>
      </c>
      <c r="P115" s="169">
        <f t="shared" si="29"/>
        <v>2244.8083642445854</v>
      </c>
      <c r="Q115" s="169">
        <f t="shared" si="29"/>
        <v>2244.3052695865299</v>
      </c>
      <c r="R115" s="169">
        <f t="shared" si="29"/>
        <v>2244.8083642445854</v>
      </c>
      <c r="S115" s="169">
        <f t="shared" si="29"/>
        <v>2244.3052695865299</v>
      </c>
      <c r="T115" s="169">
        <f t="shared" si="29"/>
        <v>2244.8083642445854</v>
      </c>
      <c r="U115" s="169">
        <f t="shared" si="29"/>
        <v>2244.3052695865299</v>
      </c>
      <c r="V115" s="169">
        <f t="shared" si="29"/>
        <v>2244.8083642445854</v>
      </c>
      <c r="W115" s="740"/>
      <c r="X115" s="740"/>
      <c r="Y115" s="740"/>
      <c r="AA115" s="606">
        <f t="shared" si="25"/>
        <v>42453.642720031232</v>
      </c>
      <c r="AB115" s="607">
        <f t="shared" si="18"/>
        <v>42453.642720031232</v>
      </c>
    </row>
    <row r="116" spans="1:37" s="105" customFormat="1">
      <c r="AA116" s="606">
        <f t="shared" si="25"/>
        <v>0</v>
      </c>
      <c r="AB116" s="607">
        <f t="shared" si="18"/>
        <v>0</v>
      </c>
    </row>
    <row r="117" spans="1:37" s="105" customFormat="1">
      <c r="AA117" s="606">
        <f t="shared" si="25"/>
        <v>0</v>
      </c>
      <c r="AB117" s="607">
        <f t="shared" si="18"/>
        <v>0</v>
      </c>
    </row>
    <row r="118" spans="1:37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40210</v>
      </c>
    </row>
    <row r="119" spans="1:37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37" s="105" customFormat="1">
      <c r="A120" s="187" t="str">
        <f>A64</f>
        <v>EBITDA</v>
      </c>
      <c r="F120" s="169">
        <f>F39</f>
        <v>70837.736711049365</v>
      </c>
      <c r="G120" s="169">
        <f t="shared" ref="G120:Y120" si="31">G39</f>
        <v>72701.670279410129</v>
      </c>
      <c r="H120" s="169">
        <f t="shared" si="31"/>
        <v>74963.995503503131</v>
      </c>
      <c r="I120" s="169">
        <f t="shared" si="31"/>
        <v>78538.340986849667</v>
      </c>
      <c r="J120" s="169">
        <f t="shared" si="31"/>
        <v>71727.088930254016</v>
      </c>
      <c r="K120" s="169">
        <f t="shared" si="31"/>
        <v>71691.984225095046</v>
      </c>
      <c r="L120" s="169">
        <f t="shared" si="31"/>
        <v>36415.730360388523</v>
      </c>
      <c r="M120" s="169">
        <f t="shared" si="31"/>
        <v>35980.405473670515</v>
      </c>
      <c r="N120" s="169">
        <f t="shared" si="31"/>
        <v>35539.617966747421</v>
      </c>
      <c r="O120" s="169">
        <f t="shared" si="31"/>
        <v>35087.986001101017</v>
      </c>
      <c r="P120" s="169">
        <f t="shared" si="31"/>
        <v>34621.01074887118</v>
      </c>
      <c r="Q120" s="169">
        <f t="shared" si="31"/>
        <v>34142.979661372665</v>
      </c>
      <c r="R120" s="169">
        <f t="shared" si="31"/>
        <v>33654.618897879991</v>
      </c>
      <c r="S120" s="169">
        <f t="shared" si="31"/>
        <v>33154.74181785954</v>
      </c>
      <c r="T120" s="169">
        <f t="shared" si="31"/>
        <v>32641.965954449945</v>
      </c>
      <c r="U120" s="169">
        <f t="shared" si="31"/>
        <v>32115.85406574521</v>
      </c>
      <c r="V120" s="169">
        <f t="shared" si="31"/>
        <v>237.02575308491214</v>
      </c>
      <c r="W120" s="169">
        <f t="shared" si="31"/>
        <v>0</v>
      </c>
      <c r="X120" s="169">
        <f t="shared" si="31"/>
        <v>0</v>
      </c>
      <c r="Y120" s="169">
        <f t="shared" si="31"/>
        <v>0</v>
      </c>
      <c r="AA120" s="606">
        <f t="shared" si="25"/>
        <v>784052.75333733216</v>
      </c>
      <c r="AB120" s="607">
        <f t="shared" si="18"/>
        <v>784052.75333733216</v>
      </c>
    </row>
    <row r="121" spans="1:37" s="105" customFormat="1">
      <c r="A121" s="105" t="s">
        <v>74</v>
      </c>
      <c r="F121" s="169">
        <f>-F114</f>
        <v>-12426.311466900948</v>
      </c>
      <c r="G121" s="169">
        <f t="shared" ref="G121:Y121" si="32">-G114</f>
        <v>-23921.477994548786</v>
      </c>
      <c r="H121" s="169">
        <f t="shared" si="32"/>
        <v>-22125.461777199369</v>
      </c>
      <c r="I121" s="169">
        <f t="shared" si="32"/>
        <v>-20468.620248279243</v>
      </c>
      <c r="J121" s="169">
        <f t="shared" si="32"/>
        <v>-18931.071309441366</v>
      </c>
      <c r="K121" s="169">
        <f t="shared" si="32"/>
        <v>-17512.814960685737</v>
      </c>
      <c r="L121" s="169">
        <f t="shared" si="32"/>
        <v>-16197.282786723155</v>
      </c>
      <c r="M121" s="169">
        <f t="shared" si="32"/>
        <v>-14984.474787553625</v>
      </c>
      <c r="N121" s="169">
        <f t="shared" si="32"/>
        <v>-14785.653804083207</v>
      </c>
      <c r="O121" s="169">
        <f t="shared" si="32"/>
        <v>-14782.340121025367</v>
      </c>
      <c r="P121" s="169">
        <f t="shared" si="32"/>
        <v>-14785.653804083207</v>
      </c>
      <c r="Q121" s="169">
        <f t="shared" si="32"/>
        <v>-14782.340121025367</v>
      </c>
      <c r="R121" s="169">
        <f t="shared" si="32"/>
        <v>-14785.653804083207</v>
      </c>
      <c r="S121" s="169">
        <f t="shared" si="32"/>
        <v>-14782.340121025367</v>
      </c>
      <c r="T121" s="169">
        <f t="shared" si="32"/>
        <v>-14785.653804083207</v>
      </c>
      <c r="U121" s="169">
        <f t="shared" si="32"/>
        <v>-14782.340121025367</v>
      </c>
      <c r="V121" s="169">
        <f t="shared" si="32"/>
        <v>-14785.653804083207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-279625.1448358497</v>
      </c>
      <c r="AB121" s="607">
        <f t="shared" si="18"/>
        <v>-279625.1448358497</v>
      </c>
    </row>
    <row r="122" spans="1:37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37" s="105" customFormat="1">
      <c r="A123" s="105" t="s">
        <v>76</v>
      </c>
      <c r="F123" s="169">
        <f>SUM(F120:F122)</f>
        <v>58411.425244148413</v>
      </c>
      <c r="G123" s="169">
        <f t="shared" ref="G123:Y123" si="34">SUM(G120:G122)</f>
        <v>48780.192284861347</v>
      </c>
      <c r="H123" s="169">
        <f t="shared" si="34"/>
        <v>52838.533726303765</v>
      </c>
      <c r="I123" s="169">
        <f t="shared" si="34"/>
        <v>58069.720738570424</v>
      </c>
      <c r="J123" s="169">
        <f t="shared" si="34"/>
        <v>52796.01762081265</v>
      </c>
      <c r="K123" s="169">
        <f t="shared" si="34"/>
        <v>54179.169264409313</v>
      </c>
      <c r="L123" s="169">
        <f t="shared" si="34"/>
        <v>20218.447573665369</v>
      </c>
      <c r="M123" s="169">
        <f t="shared" si="34"/>
        <v>20995.930686116888</v>
      </c>
      <c r="N123" s="169">
        <f t="shared" si="34"/>
        <v>20753.964162664211</v>
      </c>
      <c r="O123" s="169">
        <f t="shared" si="34"/>
        <v>20305.645880075652</v>
      </c>
      <c r="P123" s="169">
        <f t="shared" si="34"/>
        <v>19835.356944787971</v>
      </c>
      <c r="Q123" s="169">
        <f t="shared" si="34"/>
        <v>19360.6395403473</v>
      </c>
      <c r="R123" s="169">
        <f t="shared" si="34"/>
        <v>18868.965093796782</v>
      </c>
      <c r="S123" s="169">
        <f t="shared" si="34"/>
        <v>18372.401696834175</v>
      </c>
      <c r="T123" s="169">
        <f t="shared" si="34"/>
        <v>17856.312150366735</v>
      </c>
      <c r="U123" s="169">
        <f t="shared" si="34"/>
        <v>17333.513944719845</v>
      </c>
      <c r="V123" s="169">
        <f t="shared" si="34"/>
        <v>-14548.628050998295</v>
      </c>
      <c r="W123" s="169">
        <f t="shared" si="34"/>
        <v>0</v>
      </c>
      <c r="X123" s="169">
        <f t="shared" si="34"/>
        <v>0</v>
      </c>
      <c r="Y123" s="169">
        <f t="shared" si="34"/>
        <v>0</v>
      </c>
      <c r="AA123" s="606">
        <f t="shared" si="25"/>
        <v>504427.60850148246</v>
      </c>
      <c r="AB123" s="607">
        <f t="shared" si="18"/>
        <v>504427.60850148246</v>
      </c>
    </row>
    <row r="124" spans="1:37" s="105" customFormat="1">
      <c r="AA124" s="606">
        <f t="shared" si="25"/>
        <v>0</v>
      </c>
      <c r="AB124" s="607">
        <f t="shared" si="18"/>
        <v>0</v>
      </c>
    </row>
    <row r="125" spans="1:37" s="105" customFormat="1">
      <c r="A125" s="105" t="s">
        <v>88</v>
      </c>
      <c r="C125" s="189">
        <f>C51</f>
        <v>0.06</v>
      </c>
      <c r="F125" s="169">
        <f>-F123*$C$125</f>
        <v>-3504.6855146489047</v>
      </c>
      <c r="G125" s="169">
        <f t="shared" ref="G125:Y125" si="35">-G123*$C$125</f>
        <v>-2926.8115370916807</v>
      </c>
      <c r="H125" s="169">
        <f t="shared" si="35"/>
        <v>-3170.3120235782258</v>
      </c>
      <c r="I125" s="169">
        <f t="shared" si="35"/>
        <v>-3484.1832443142252</v>
      </c>
      <c r="J125" s="169">
        <f t="shared" si="35"/>
        <v>-3167.7610572487588</v>
      </c>
      <c r="K125" s="169">
        <f t="shared" si="35"/>
        <v>-3250.7501558645586</v>
      </c>
      <c r="L125" s="169">
        <f t="shared" si="35"/>
        <v>-1213.1068544199222</v>
      </c>
      <c r="M125" s="169">
        <f t="shared" si="35"/>
        <v>-1259.7558411670132</v>
      </c>
      <c r="N125" s="169">
        <f t="shared" si="35"/>
        <v>-1245.2378497598527</v>
      </c>
      <c r="O125" s="169">
        <f t="shared" si="35"/>
        <v>-1218.3387528045391</v>
      </c>
      <c r="P125" s="169">
        <f t="shared" si="35"/>
        <v>-1190.1214166872783</v>
      </c>
      <c r="Q125" s="169">
        <f t="shared" si="35"/>
        <v>-1161.6383724208379</v>
      </c>
      <c r="R125" s="169">
        <f t="shared" si="35"/>
        <v>-1132.137905627807</v>
      </c>
      <c r="S125" s="169">
        <f t="shared" si="35"/>
        <v>-1102.3441018100505</v>
      </c>
      <c r="T125" s="169">
        <f t="shared" si="35"/>
        <v>-1071.3787290220041</v>
      </c>
      <c r="U125" s="169">
        <f t="shared" si="35"/>
        <v>-1040.0108366831907</v>
      </c>
      <c r="V125" s="169">
        <f t="shared" si="35"/>
        <v>872.91768305989774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-30265.656510088949</v>
      </c>
      <c r="AB125" s="607">
        <f t="shared" si="18"/>
        <v>-30265.656510088949</v>
      </c>
    </row>
    <row r="126" spans="1:37" s="105" customFormat="1">
      <c r="A126" s="105" t="s">
        <v>77</v>
      </c>
      <c r="C126" s="189">
        <f>C52</f>
        <v>0.35</v>
      </c>
      <c r="F126" s="169">
        <f>-(F123+F125)*$C$126</f>
        <v>-19217.358905324829</v>
      </c>
      <c r="G126" s="169">
        <f t="shared" ref="G126:Y126" si="36">-(G123+G125)*$C$126</f>
        <v>-16048.683261719383</v>
      </c>
      <c r="H126" s="169">
        <f t="shared" si="36"/>
        <v>-17383.877595953938</v>
      </c>
      <c r="I126" s="169">
        <f t="shared" si="36"/>
        <v>-19104.938122989668</v>
      </c>
      <c r="J126" s="169">
        <f t="shared" si="36"/>
        <v>-17369.889797247361</v>
      </c>
      <c r="K126" s="169">
        <f t="shared" si="36"/>
        <v>-17824.946687990661</v>
      </c>
      <c r="L126" s="169">
        <f t="shared" si="36"/>
        <v>-6651.8692517359059</v>
      </c>
      <c r="M126" s="169">
        <f t="shared" si="36"/>
        <v>-6907.6611957324558</v>
      </c>
      <c r="N126" s="169">
        <f t="shared" si="36"/>
        <v>-6828.0542095165256</v>
      </c>
      <c r="O126" s="169">
        <f t="shared" si="36"/>
        <v>-6680.5574945448889</v>
      </c>
      <c r="P126" s="169">
        <f t="shared" si="36"/>
        <v>-6525.8324348352426</v>
      </c>
      <c r="Q126" s="169">
        <f t="shared" si="36"/>
        <v>-6369.6504087742605</v>
      </c>
      <c r="R126" s="169">
        <f t="shared" si="36"/>
        <v>-6207.8895158591413</v>
      </c>
      <c r="S126" s="169">
        <f t="shared" si="36"/>
        <v>-6044.5201582584432</v>
      </c>
      <c r="T126" s="169">
        <f t="shared" si="36"/>
        <v>-5874.7266974706563</v>
      </c>
      <c r="U126" s="169">
        <f t="shared" si="36"/>
        <v>-5702.7260878128291</v>
      </c>
      <c r="V126" s="169">
        <f t="shared" si="36"/>
        <v>4786.4986287784386</v>
      </c>
      <c r="W126" s="169">
        <f t="shared" si="36"/>
        <v>0</v>
      </c>
      <c r="X126" s="169">
        <f t="shared" si="36"/>
        <v>0</v>
      </c>
      <c r="Y126" s="169">
        <f t="shared" si="36"/>
        <v>0</v>
      </c>
      <c r="AA126" s="606">
        <f t="shared" si="25"/>
        <v>-165956.68319698769</v>
      </c>
      <c r="AB126" s="607">
        <f t="shared" si="18"/>
        <v>-165956.68319698769</v>
      </c>
    </row>
    <row r="127" spans="1:37" s="105" customFormat="1">
      <c r="AA127" s="606">
        <f t="shared" si="25"/>
        <v>0</v>
      </c>
      <c r="AB127" s="607">
        <f t="shared" si="18"/>
        <v>0</v>
      </c>
    </row>
    <row r="128" spans="1:37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>SUM(F33:F35)</f>
        <v>472</v>
      </c>
      <c r="G137" s="188">
        <f t="shared" ref="G137:Y137" si="39">SUM(G33:G35)</f>
        <v>472</v>
      </c>
      <c r="H137" s="188">
        <f t="shared" si="39"/>
        <v>472</v>
      </c>
      <c r="I137" s="188">
        <f t="shared" si="39"/>
        <v>472</v>
      </c>
      <c r="J137" s="188">
        <f t="shared" si="39"/>
        <v>472</v>
      </c>
      <c r="K137" s="188">
        <f t="shared" si="39"/>
        <v>472</v>
      </c>
      <c r="L137" s="188">
        <f t="shared" si="39"/>
        <v>472</v>
      </c>
      <c r="M137" s="188">
        <f t="shared" si="39"/>
        <v>472</v>
      </c>
      <c r="N137" s="188">
        <f t="shared" si="39"/>
        <v>472</v>
      </c>
      <c r="O137" s="188">
        <f t="shared" si="39"/>
        <v>472</v>
      </c>
      <c r="P137" s="188">
        <f t="shared" si="39"/>
        <v>472</v>
      </c>
      <c r="Q137" s="188">
        <f t="shared" si="39"/>
        <v>472</v>
      </c>
      <c r="R137" s="188">
        <f t="shared" si="39"/>
        <v>472</v>
      </c>
      <c r="S137" s="188">
        <f t="shared" si="39"/>
        <v>472</v>
      </c>
      <c r="T137" s="188">
        <f t="shared" si="39"/>
        <v>472</v>
      </c>
      <c r="U137" s="188">
        <f t="shared" si="39"/>
        <v>472</v>
      </c>
      <c r="V137" s="188">
        <f t="shared" si="39"/>
        <v>472</v>
      </c>
      <c r="W137" s="188">
        <f t="shared" si="39"/>
        <v>0</v>
      </c>
      <c r="X137" s="188">
        <f t="shared" si="39"/>
        <v>0</v>
      </c>
      <c r="Y137" s="188">
        <f t="shared" si="39"/>
        <v>0</v>
      </c>
      <c r="AA137" s="606">
        <f t="shared" si="25"/>
        <v>8024</v>
      </c>
      <c r="AB137" s="607">
        <f t="shared" si="38"/>
        <v>8024</v>
      </c>
    </row>
    <row r="138" spans="1:28" s="105" customFormat="1">
      <c r="A138" s="105" t="s">
        <v>79</v>
      </c>
      <c r="F138" s="169">
        <f>F136+F137</f>
        <v>472</v>
      </c>
      <c r="G138" s="169">
        <f t="shared" ref="G138:Y138" si="40">G136+G137</f>
        <v>472</v>
      </c>
      <c r="H138" s="169">
        <f t="shared" si="40"/>
        <v>472</v>
      </c>
      <c r="I138" s="169">
        <f t="shared" si="40"/>
        <v>472</v>
      </c>
      <c r="J138" s="169">
        <f t="shared" si="40"/>
        <v>472</v>
      </c>
      <c r="K138" s="169">
        <f t="shared" si="40"/>
        <v>472</v>
      </c>
      <c r="L138" s="169">
        <f t="shared" si="40"/>
        <v>472</v>
      </c>
      <c r="M138" s="169">
        <f t="shared" si="40"/>
        <v>472</v>
      </c>
      <c r="N138" s="169">
        <f t="shared" si="40"/>
        <v>472</v>
      </c>
      <c r="O138" s="169">
        <f t="shared" si="40"/>
        <v>472</v>
      </c>
      <c r="P138" s="169">
        <f t="shared" si="40"/>
        <v>472</v>
      </c>
      <c r="Q138" s="169">
        <f t="shared" si="40"/>
        <v>472</v>
      </c>
      <c r="R138" s="169">
        <f t="shared" si="40"/>
        <v>472</v>
      </c>
      <c r="S138" s="169">
        <f t="shared" si="40"/>
        <v>472</v>
      </c>
      <c r="T138" s="169">
        <f t="shared" si="40"/>
        <v>472</v>
      </c>
      <c r="U138" s="169">
        <f t="shared" si="40"/>
        <v>472</v>
      </c>
      <c r="V138" s="169">
        <f t="shared" si="40"/>
        <v>472</v>
      </c>
      <c r="W138" s="169">
        <f t="shared" si="40"/>
        <v>0</v>
      </c>
      <c r="X138" s="169">
        <f t="shared" si="40"/>
        <v>0</v>
      </c>
      <c r="Y138" s="169">
        <f t="shared" si="40"/>
        <v>0</v>
      </c>
      <c r="AA138" s="606">
        <f t="shared" si="25"/>
        <v>8024</v>
      </c>
      <c r="AB138" s="607">
        <f t="shared" si="38"/>
        <v>8024</v>
      </c>
    </row>
    <row r="139" spans="1:28" s="105" customFormat="1">
      <c r="A139" s="105" t="s">
        <v>80</v>
      </c>
      <c r="C139" s="189">
        <f>C125</f>
        <v>0.06</v>
      </c>
      <c r="F139" s="169">
        <f>F138*$C$139</f>
        <v>28.32</v>
      </c>
      <c r="G139" s="169">
        <f t="shared" ref="G139:Y139" si="41">G138*$C$139</f>
        <v>28.32</v>
      </c>
      <c r="H139" s="169">
        <f t="shared" si="41"/>
        <v>28.32</v>
      </c>
      <c r="I139" s="169">
        <f t="shared" si="41"/>
        <v>28.32</v>
      </c>
      <c r="J139" s="169">
        <f t="shared" si="41"/>
        <v>28.32</v>
      </c>
      <c r="K139" s="169">
        <f t="shared" si="41"/>
        <v>28.32</v>
      </c>
      <c r="L139" s="169">
        <f t="shared" si="41"/>
        <v>28.32</v>
      </c>
      <c r="M139" s="169">
        <f t="shared" si="41"/>
        <v>28.32</v>
      </c>
      <c r="N139" s="169">
        <f t="shared" si="41"/>
        <v>28.32</v>
      </c>
      <c r="O139" s="169">
        <f t="shared" si="41"/>
        <v>28.32</v>
      </c>
      <c r="P139" s="169">
        <f t="shared" si="41"/>
        <v>28.32</v>
      </c>
      <c r="Q139" s="169">
        <f t="shared" si="41"/>
        <v>28.32</v>
      </c>
      <c r="R139" s="169">
        <f t="shared" si="41"/>
        <v>28.32</v>
      </c>
      <c r="S139" s="169">
        <f t="shared" si="41"/>
        <v>28.32</v>
      </c>
      <c r="T139" s="169">
        <f t="shared" si="41"/>
        <v>28.32</v>
      </c>
      <c r="U139" s="169">
        <f t="shared" si="41"/>
        <v>28.32</v>
      </c>
      <c r="V139" s="169">
        <f t="shared" si="41"/>
        <v>28.32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481.43999999999994</v>
      </c>
      <c r="AB139" s="607">
        <f t="shared" si="38"/>
        <v>481.43999999999994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155.28799999999998</v>
      </c>
      <c r="G140" s="188">
        <f t="shared" ref="G140:Y140" si="42">(G138-G139)*$C$140</f>
        <v>155.28799999999998</v>
      </c>
      <c r="H140" s="188">
        <f t="shared" si="42"/>
        <v>155.28799999999998</v>
      </c>
      <c r="I140" s="188">
        <f t="shared" si="42"/>
        <v>155.28799999999998</v>
      </c>
      <c r="J140" s="188">
        <f t="shared" si="42"/>
        <v>155.28799999999998</v>
      </c>
      <c r="K140" s="188">
        <f t="shared" si="42"/>
        <v>155.28799999999998</v>
      </c>
      <c r="L140" s="188">
        <f t="shared" si="42"/>
        <v>155.28799999999998</v>
      </c>
      <c r="M140" s="188">
        <f t="shared" si="42"/>
        <v>155.28799999999998</v>
      </c>
      <c r="N140" s="188">
        <f t="shared" si="42"/>
        <v>155.28799999999998</v>
      </c>
      <c r="O140" s="188">
        <f t="shared" si="42"/>
        <v>155.28799999999998</v>
      </c>
      <c r="P140" s="188">
        <f t="shared" si="42"/>
        <v>155.28799999999998</v>
      </c>
      <c r="Q140" s="188">
        <f t="shared" si="42"/>
        <v>155.28799999999998</v>
      </c>
      <c r="R140" s="188">
        <f t="shared" si="42"/>
        <v>155.28799999999998</v>
      </c>
      <c r="S140" s="188">
        <f t="shared" si="42"/>
        <v>155.28799999999998</v>
      </c>
      <c r="T140" s="188">
        <f t="shared" si="42"/>
        <v>155.28799999999998</v>
      </c>
      <c r="U140" s="188">
        <f t="shared" si="42"/>
        <v>155.28799999999998</v>
      </c>
      <c r="V140" s="188">
        <f t="shared" si="42"/>
        <v>155.28799999999998</v>
      </c>
      <c r="W140" s="188">
        <f t="shared" si="42"/>
        <v>0</v>
      </c>
      <c r="X140" s="188">
        <f t="shared" si="42"/>
        <v>0</v>
      </c>
      <c r="Y140" s="188">
        <f t="shared" si="42"/>
        <v>0</v>
      </c>
      <c r="AA140" s="606">
        <f t="shared" si="25"/>
        <v>2639.8959999999997</v>
      </c>
      <c r="AB140" s="607">
        <f t="shared" si="38"/>
        <v>2639.8959999999997</v>
      </c>
    </row>
    <row r="141" spans="1:28" s="105" customFormat="1">
      <c r="A141" s="105" t="s">
        <v>82</v>
      </c>
      <c r="F141" s="169">
        <f>F138-F139-F140</f>
        <v>288.39200000000005</v>
      </c>
      <c r="G141" s="169">
        <f t="shared" ref="G141:Y141" si="43">G138-G139-G140</f>
        <v>288.39200000000005</v>
      </c>
      <c r="H141" s="169">
        <f t="shared" si="43"/>
        <v>288.39200000000005</v>
      </c>
      <c r="I141" s="169">
        <f t="shared" si="43"/>
        <v>288.39200000000005</v>
      </c>
      <c r="J141" s="169">
        <f t="shared" si="43"/>
        <v>288.39200000000005</v>
      </c>
      <c r="K141" s="169">
        <f t="shared" si="43"/>
        <v>288.39200000000005</v>
      </c>
      <c r="L141" s="169">
        <f t="shared" si="43"/>
        <v>288.39200000000005</v>
      </c>
      <c r="M141" s="169">
        <f t="shared" si="43"/>
        <v>288.39200000000005</v>
      </c>
      <c r="N141" s="169">
        <f t="shared" si="43"/>
        <v>288.39200000000005</v>
      </c>
      <c r="O141" s="169">
        <f t="shared" si="43"/>
        <v>288.39200000000005</v>
      </c>
      <c r="P141" s="169">
        <f t="shared" si="43"/>
        <v>288.39200000000005</v>
      </c>
      <c r="Q141" s="169">
        <f t="shared" si="43"/>
        <v>288.39200000000005</v>
      </c>
      <c r="R141" s="169">
        <f t="shared" si="43"/>
        <v>288.39200000000005</v>
      </c>
      <c r="S141" s="169">
        <f t="shared" si="43"/>
        <v>288.39200000000005</v>
      </c>
      <c r="T141" s="169">
        <f t="shared" si="43"/>
        <v>288.39200000000005</v>
      </c>
      <c r="U141" s="169">
        <f t="shared" si="43"/>
        <v>288.39200000000005</v>
      </c>
      <c r="V141" s="169">
        <f t="shared" si="43"/>
        <v>288.39200000000005</v>
      </c>
      <c r="W141" s="169">
        <f t="shared" si="43"/>
        <v>0</v>
      </c>
      <c r="X141" s="169">
        <f t="shared" si="43"/>
        <v>0</v>
      </c>
      <c r="Y141" s="169">
        <f t="shared" si="43"/>
        <v>0</v>
      </c>
      <c r="AA141" s="606">
        <f t="shared" si="25"/>
        <v>4902.6639999999989</v>
      </c>
      <c r="AB141" s="607">
        <f t="shared" si="38"/>
        <v>4902.6639999999989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38220.333130451167</v>
      </c>
      <c r="G143" s="190">
        <f t="shared" ref="G143:Y143" si="44">G76</f>
        <v>39359.196540719589</v>
      </c>
      <c r="H143" s="190">
        <f t="shared" si="44"/>
        <v>40741.477252640412</v>
      </c>
      <c r="I143" s="190">
        <f t="shared" si="44"/>
        <v>42925.402342965142</v>
      </c>
      <c r="J143" s="190">
        <f t="shared" si="44"/>
        <v>38763.727336385207</v>
      </c>
      <c r="K143" s="190">
        <f t="shared" si="44"/>
        <v>38742.27836153307</v>
      </c>
      <c r="L143" s="190">
        <f t="shared" si="44"/>
        <v>17188.487250197388</v>
      </c>
      <c r="M143" s="190">
        <f t="shared" si="44"/>
        <v>16922.503744412687</v>
      </c>
      <c r="N143" s="190">
        <f t="shared" si="44"/>
        <v>16653.182577682674</v>
      </c>
      <c r="O143" s="190">
        <f t="shared" si="44"/>
        <v>16377.235446672723</v>
      </c>
      <c r="P143" s="190">
        <f t="shared" si="44"/>
        <v>16091.913567560292</v>
      </c>
      <c r="Q143" s="190">
        <f t="shared" si="44"/>
        <v>15799.836573098699</v>
      </c>
      <c r="R143" s="190">
        <f t="shared" si="44"/>
        <v>15501.448146604675</v>
      </c>
      <c r="S143" s="190">
        <f t="shared" si="44"/>
        <v>15196.023250712178</v>
      </c>
      <c r="T143" s="190">
        <f t="shared" si="44"/>
        <v>14882.717198168917</v>
      </c>
      <c r="U143" s="190">
        <f t="shared" si="44"/>
        <v>14561.262834170324</v>
      </c>
      <c r="V143" s="190">
        <f t="shared" si="44"/>
        <v>-4916.701264865118</v>
      </c>
      <c r="W143" s="190">
        <f t="shared" si="44"/>
        <v>0</v>
      </c>
      <c r="X143" s="190">
        <f t="shared" si="44"/>
        <v>0</v>
      </c>
      <c r="Y143" s="190">
        <f t="shared" si="44"/>
        <v>0</v>
      </c>
      <c r="AA143" s="606">
        <f t="shared" si="25"/>
        <v>393010.32428911002</v>
      </c>
      <c r="AB143" s="607">
        <f t="shared" si="38"/>
        <v>393010.32428911002</v>
      </c>
    </row>
    <row r="144" spans="1:28" s="105" customFormat="1">
      <c r="A144" s="124" t="s">
        <v>91</v>
      </c>
      <c r="F144" s="183">
        <f>F141+F143</f>
        <v>38508.725130451166</v>
      </c>
      <c r="G144" s="183">
        <f t="shared" ref="G144:Y144" si="45">G141+G143</f>
        <v>39647.588540719589</v>
      </c>
      <c r="H144" s="183">
        <f t="shared" si="45"/>
        <v>41029.869252640412</v>
      </c>
      <c r="I144" s="183">
        <f t="shared" si="45"/>
        <v>43213.794342965142</v>
      </c>
      <c r="J144" s="183">
        <f t="shared" si="45"/>
        <v>39052.119336385207</v>
      </c>
      <c r="K144" s="183">
        <f t="shared" si="45"/>
        <v>39030.67036153307</v>
      </c>
      <c r="L144" s="183">
        <f t="shared" si="45"/>
        <v>17476.879250197388</v>
      </c>
      <c r="M144" s="183">
        <f t="shared" si="45"/>
        <v>17210.895744412686</v>
      </c>
      <c r="N144" s="183">
        <f t="shared" si="45"/>
        <v>16941.574577682673</v>
      </c>
      <c r="O144" s="183">
        <f t="shared" si="45"/>
        <v>16665.627446672723</v>
      </c>
      <c r="P144" s="183">
        <f t="shared" si="45"/>
        <v>16380.305567560292</v>
      </c>
      <c r="Q144" s="183">
        <f t="shared" si="45"/>
        <v>16088.228573098699</v>
      </c>
      <c r="R144" s="183">
        <f t="shared" si="45"/>
        <v>15789.840146604674</v>
      </c>
      <c r="S144" s="183">
        <f t="shared" si="45"/>
        <v>15484.415250712178</v>
      </c>
      <c r="T144" s="183">
        <f t="shared" si="45"/>
        <v>15171.109198168917</v>
      </c>
      <c r="U144" s="183">
        <f t="shared" si="45"/>
        <v>14849.654834170324</v>
      </c>
      <c r="V144" s="183">
        <f t="shared" si="45"/>
        <v>-4628.3092648651182</v>
      </c>
      <c r="W144" s="183">
        <f t="shared" si="45"/>
        <v>0</v>
      </c>
      <c r="X144" s="183">
        <f t="shared" si="45"/>
        <v>0</v>
      </c>
      <c r="Y144" s="183">
        <f t="shared" si="45"/>
        <v>0</v>
      </c>
      <c r="AA144" s="606">
        <f t="shared" si="25"/>
        <v>397912.98828911001</v>
      </c>
      <c r="AB144" s="607">
        <f t="shared" si="38"/>
        <v>397912.98828911001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288.392</v>
      </c>
      <c r="G149" s="165">
        <f t="shared" ref="G149:Y149" si="46">+G137*(1-($C$139+$C$140*(1-$C$139)))</f>
        <v>288.392</v>
      </c>
      <c r="H149" s="165">
        <f t="shared" si="46"/>
        <v>288.392</v>
      </c>
      <c r="I149" s="165">
        <f t="shared" si="46"/>
        <v>288.392</v>
      </c>
      <c r="J149" s="165">
        <f t="shared" si="46"/>
        <v>288.392</v>
      </c>
      <c r="K149" s="165">
        <f t="shared" si="46"/>
        <v>288.392</v>
      </c>
      <c r="L149" s="165">
        <f t="shared" si="46"/>
        <v>288.392</v>
      </c>
      <c r="M149" s="165">
        <f t="shared" si="46"/>
        <v>288.392</v>
      </c>
      <c r="N149" s="165">
        <f t="shared" si="46"/>
        <v>288.392</v>
      </c>
      <c r="O149" s="165">
        <f t="shared" si="46"/>
        <v>288.392</v>
      </c>
      <c r="P149" s="165">
        <f t="shared" si="46"/>
        <v>288.392</v>
      </c>
      <c r="Q149" s="165">
        <f t="shared" si="46"/>
        <v>288.392</v>
      </c>
      <c r="R149" s="165">
        <f t="shared" si="46"/>
        <v>288.392</v>
      </c>
      <c r="S149" s="165">
        <f t="shared" si="46"/>
        <v>288.392</v>
      </c>
      <c r="T149" s="165">
        <f t="shared" si="46"/>
        <v>288.392</v>
      </c>
      <c r="U149" s="165">
        <f t="shared" si="46"/>
        <v>288.392</v>
      </c>
      <c r="V149" s="165">
        <f t="shared" si="46"/>
        <v>288.392</v>
      </c>
      <c r="W149" s="165">
        <f t="shared" si="46"/>
        <v>0</v>
      </c>
      <c r="X149" s="165">
        <f t="shared" si="46"/>
        <v>0</v>
      </c>
      <c r="Y149" s="165">
        <f t="shared" si="46"/>
        <v>0</v>
      </c>
      <c r="AA149" s="606">
        <f t="shared" si="25"/>
        <v>4902.6639999999989</v>
      </c>
      <c r="AB149" s="607">
        <f t="shared" si="38"/>
        <v>4902.6639999999989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288.392</v>
      </c>
      <c r="G151" s="260">
        <f t="shared" ref="G151:Y151" si="47">+G149+G150</f>
        <v>288.392</v>
      </c>
      <c r="H151" s="260">
        <f t="shared" si="47"/>
        <v>288.392</v>
      </c>
      <c r="I151" s="260">
        <f t="shared" si="47"/>
        <v>288.392</v>
      </c>
      <c r="J151" s="260">
        <f t="shared" si="47"/>
        <v>288.392</v>
      </c>
      <c r="K151" s="260">
        <f t="shared" si="47"/>
        <v>288.392</v>
      </c>
      <c r="L151" s="260">
        <f t="shared" si="47"/>
        <v>288.392</v>
      </c>
      <c r="M151" s="260">
        <f t="shared" si="47"/>
        <v>288.392</v>
      </c>
      <c r="N151" s="260">
        <f t="shared" si="47"/>
        <v>288.392</v>
      </c>
      <c r="O151" s="260">
        <f t="shared" si="47"/>
        <v>288.392</v>
      </c>
      <c r="P151" s="260">
        <f t="shared" si="47"/>
        <v>288.392</v>
      </c>
      <c r="Q151" s="260">
        <f t="shared" si="47"/>
        <v>288.392</v>
      </c>
      <c r="R151" s="260">
        <f t="shared" si="47"/>
        <v>288.392</v>
      </c>
      <c r="S151" s="260">
        <f t="shared" si="47"/>
        <v>288.392</v>
      </c>
      <c r="T151" s="260">
        <f t="shared" si="47"/>
        <v>288.392</v>
      </c>
      <c r="U151" s="260">
        <f t="shared" si="47"/>
        <v>288.392</v>
      </c>
      <c r="V151" s="260">
        <f t="shared" si="47"/>
        <v>288.392</v>
      </c>
      <c r="W151" s="260">
        <f t="shared" si="47"/>
        <v>0</v>
      </c>
      <c r="X151" s="260">
        <f t="shared" si="47"/>
        <v>0</v>
      </c>
      <c r="Y151" s="260">
        <f t="shared" si="47"/>
        <v>0</v>
      </c>
      <c r="AA151" s="606">
        <f t="shared" si="25"/>
        <v>4902.6639999999989</v>
      </c>
      <c r="AB151" s="607">
        <f t="shared" si="38"/>
        <v>4902.6639999999989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2545.1147525463457</v>
      </c>
    </row>
    <row r="155" spans="1:28" s="166" customFormat="1" ht="13.5" thickBot="1">
      <c r="A155" s="105" t="s">
        <v>59</v>
      </c>
      <c r="B155" s="105"/>
      <c r="C155" s="146">
        <f>+C95</f>
        <v>8.5000000000000006E-2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368187.00642669474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>
        <f>SUM(F150:Y150)-D160</f>
        <v>0</v>
      </c>
    </row>
    <row r="161" spans="1:25" s="105" customFormat="1">
      <c r="A161" s="134" t="s">
        <v>86</v>
      </c>
      <c r="B161" s="135"/>
      <c r="C161" s="135"/>
      <c r="D161" s="139">
        <f>C154-D160</f>
        <v>2545.1147525463457</v>
      </c>
    </row>
    <row r="162" spans="1:25" s="105" customFormat="1" ht="13.5" thickBot="1">
      <c r="A162" s="140" t="s">
        <v>87</v>
      </c>
      <c r="B162" s="109"/>
      <c r="C162" s="109"/>
      <c r="D162" s="158">
        <f>SUM(D159:D161)</f>
        <v>370732.1211792411</v>
      </c>
    </row>
    <row r="163" spans="1:25" outlineLevel="1">
      <c r="A163" s="31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44"/>
      <c r="B164" s="8"/>
      <c r="C164" s="8"/>
      <c r="D164" s="8"/>
      <c r="E164" s="31"/>
      <c r="F164" s="31"/>
      <c r="G164" s="31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43"/>
      <c r="B166" s="8"/>
      <c r="C166" s="8"/>
      <c r="D166" s="8"/>
      <c r="E166" s="31"/>
      <c r="F166" s="31"/>
      <c r="G166" s="31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43"/>
      <c r="B167" s="8"/>
      <c r="C167" s="8"/>
      <c r="D167" s="24"/>
      <c r="E167" s="31"/>
      <c r="F167" s="31"/>
      <c r="G167" s="31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43"/>
      <c r="B168" s="8"/>
      <c r="C168" s="8"/>
      <c r="D168" s="8"/>
      <c r="E168" s="31"/>
      <c r="F168" s="31"/>
      <c r="G168" s="31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31"/>
      <c r="B169" s="8"/>
      <c r="C169" s="8"/>
      <c r="D169" s="8"/>
      <c r="E169" s="31"/>
      <c r="F169" s="31"/>
      <c r="G169" s="31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44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31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44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43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44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45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43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2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3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2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3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4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3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5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3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2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4"/>
      <c r="B200" s="8"/>
      <c r="C200" s="8"/>
      <c r="D200" s="8"/>
      <c r="E200" s="31"/>
      <c r="F200" s="31"/>
      <c r="G200" s="31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8"/>
      <c r="B203" s="8"/>
      <c r="C203" s="8"/>
      <c r="D203" s="8"/>
      <c r="E203" s="8"/>
      <c r="F203" s="8"/>
      <c r="G203" s="8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outlineLevel="1">
      <c r="A204" s="3"/>
      <c r="B204" s="3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21"/>
      <c r="C205" s="21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21"/>
      <c r="B206" s="47"/>
      <c r="C206" s="4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3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21"/>
      <c r="B209" s="21"/>
      <c r="C209" s="21"/>
      <c r="D209" s="2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21"/>
      <c r="C211" s="21"/>
      <c r="D211" s="21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48"/>
      <c r="C213" s="48"/>
      <c r="D213" s="48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48"/>
      <c r="B214" s="3"/>
      <c r="C214" s="3"/>
      <c r="D214" s="3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8"/>
      <c r="B215" s="8"/>
      <c r="C215" s="8"/>
      <c r="D215" s="8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21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21"/>
      <c r="C225" s="21"/>
      <c r="D225" s="21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48"/>
      <c r="B227" s="48"/>
      <c r="C227" s="48"/>
      <c r="D227" s="48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21"/>
      <c r="B228" s="21"/>
      <c r="C228" s="21"/>
      <c r="D228" s="21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48"/>
      <c r="B230" s="48"/>
      <c r="C230" s="48"/>
      <c r="D230" s="48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21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21"/>
      <c r="C233" s="21"/>
      <c r="D233" s="21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8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21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8"/>
      <c r="B236" s="50"/>
      <c r="C236" s="50"/>
      <c r="D236" s="50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21"/>
      <c r="B237" s="21"/>
      <c r="C237" s="21"/>
      <c r="D237" s="21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8"/>
      <c r="B238" s="8"/>
      <c r="C238" s="8"/>
      <c r="D238" s="8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21"/>
      <c r="B239" s="21"/>
      <c r="C239" s="21"/>
      <c r="D239" s="21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48"/>
      <c r="C244" s="48"/>
      <c r="D244" s="4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48"/>
      <c r="B245" s="8"/>
      <c r="C245" s="8"/>
      <c r="D245" s="8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21"/>
      <c r="B247" s="21"/>
      <c r="C247" s="21"/>
      <c r="D247" s="21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8"/>
      <c r="B248" s="8"/>
      <c r="C248" s="8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51"/>
      <c r="C249" s="51"/>
      <c r="D249" s="8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21"/>
      <c r="B250" s="47"/>
      <c r="C250" s="47"/>
      <c r="D250" s="47"/>
      <c r="E250" s="49"/>
      <c r="F250" s="49"/>
      <c r="G250" s="49"/>
      <c r="H250" s="49"/>
      <c r="I250" s="49"/>
      <c r="J250" s="49"/>
      <c r="K250" s="49"/>
      <c r="L250" s="49"/>
      <c r="M250" s="8"/>
      <c r="N250" s="49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52"/>
      <c r="C252" s="52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21"/>
      <c r="B255" s="8"/>
      <c r="C255" s="8"/>
      <c r="D255" s="8"/>
      <c r="E255" s="8"/>
      <c r="F255" s="8"/>
      <c r="G255" s="24"/>
      <c r="H255" s="24"/>
      <c r="I255" s="24"/>
      <c r="J255" s="24"/>
      <c r="K255" s="24"/>
      <c r="L255" s="24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s="54" customFormat="1" outlineLevel="1">
      <c r="A261" s="53"/>
    </row>
    <row r="262" spans="1:25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21"/>
      <c r="B264" s="8"/>
      <c r="C264" s="8"/>
      <c r="D264" s="8"/>
      <c r="E264" s="8"/>
      <c r="F264" s="8"/>
      <c r="G264" s="55"/>
      <c r="H264" s="55"/>
      <c r="I264" s="55"/>
      <c r="J264" s="55"/>
      <c r="K264" s="55"/>
      <c r="L264" s="55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8"/>
      <c r="B265" s="56"/>
      <c r="C265" s="56"/>
      <c r="D265" s="56"/>
      <c r="E265" s="8"/>
      <c r="F265" s="8"/>
      <c r="G265" s="57"/>
      <c r="H265" s="57"/>
      <c r="I265" s="57"/>
      <c r="J265" s="57"/>
      <c r="K265" s="57"/>
      <c r="L265" s="5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21"/>
      <c r="B266" s="58"/>
      <c r="C266" s="58"/>
      <c r="D266" s="5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24"/>
      <c r="H271" s="24"/>
      <c r="I271" s="24"/>
      <c r="J271" s="24"/>
      <c r="K271" s="24"/>
      <c r="L271" s="24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59"/>
      <c r="B272" s="8"/>
      <c r="C272" s="8"/>
      <c r="D272" s="8"/>
      <c r="E272" s="8"/>
      <c r="F272" s="8"/>
      <c r="G272" s="55"/>
      <c r="H272" s="55"/>
      <c r="I272" s="55"/>
      <c r="J272" s="55"/>
      <c r="K272" s="55"/>
      <c r="L272" s="55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21"/>
      <c r="B273" s="8"/>
      <c r="C273" s="8"/>
      <c r="D273" s="8"/>
      <c r="E273" s="8"/>
      <c r="F273" s="8"/>
      <c r="G273" s="60"/>
      <c r="H273" s="60"/>
      <c r="I273" s="60"/>
      <c r="J273" s="60"/>
      <c r="K273" s="60"/>
      <c r="L273" s="60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17"/>
      <c r="C274" s="17"/>
      <c r="D274" s="17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1"/>
      <c r="H277" s="61"/>
      <c r="I277" s="61"/>
      <c r="J277" s="61"/>
      <c r="K277" s="61"/>
      <c r="L277" s="61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59"/>
      <c r="B278" s="8"/>
      <c r="C278" s="8"/>
      <c r="D278" s="8"/>
      <c r="E278" s="8"/>
      <c r="F278" s="8"/>
      <c r="G278" s="60"/>
      <c r="H278" s="60"/>
      <c r="I278" s="60"/>
      <c r="J278" s="60"/>
      <c r="K278" s="60"/>
      <c r="L278" s="60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8"/>
      <c r="F282" s="8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62"/>
      <c r="F283" s="62"/>
      <c r="G283" s="24"/>
      <c r="H283" s="24"/>
      <c r="I283" s="24"/>
      <c r="J283" s="24"/>
      <c r="K283" s="24"/>
      <c r="L283" s="24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8"/>
      <c r="F288" s="8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59"/>
      <c r="B289" s="8"/>
      <c r="C289" s="8"/>
      <c r="D289" s="8"/>
      <c r="E289" s="62"/>
      <c r="F289" s="62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55"/>
      <c r="H295" s="55"/>
      <c r="I295" s="55"/>
      <c r="J295" s="55"/>
      <c r="K295" s="55"/>
      <c r="L295" s="55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8"/>
      <c r="E297" s="63"/>
      <c r="F297" s="63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17"/>
      <c r="E298" s="62"/>
      <c r="F298" s="62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63"/>
      <c r="F299" s="63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21"/>
      <c r="B300" s="8"/>
      <c r="C300" s="8"/>
      <c r="D300" s="8"/>
      <c r="E300" s="8"/>
      <c r="F300" s="8"/>
      <c r="G300" s="63"/>
      <c r="H300" s="63"/>
      <c r="I300" s="63"/>
      <c r="J300" s="63"/>
      <c r="K300" s="63"/>
      <c r="L300" s="63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49"/>
      <c r="H305" s="49"/>
      <c r="I305" s="49"/>
      <c r="J305" s="49"/>
      <c r="K305" s="49"/>
      <c r="L305" s="49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3"/>
      <c r="H306" s="63"/>
      <c r="I306" s="63"/>
      <c r="J306" s="63"/>
      <c r="K306" s="63"/>
      <c r="L306" s="6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64"/>
      <c r="H307" s="64"/>
      <c r="I307" s="64"/>
      <c r="J307" s="64"/>
      <c r="K307" s="64"/>
      <c r="L307" s="64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49"/>
      <c r="H308" s="49"/>
      <c r="I308" s="49"/>
      <c r="J308" s="49"/>
      <c r="K308" s="49"/>
      <c r="L308" s="49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4"/>
      <c r="H309" s="64"/>
      <c r="I309" s="64"/>
      <c r="J309" s="64"/>
      <c r="K309" s="64"/>
      <c r="L309" s="64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21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8"/>
      <c r="B314" s="8"/>
      <c r="C314" s="8"/>
      <c r="D314" s="8"/>
      <c r="E314" s="8"/>
      <c r="F314" s="8"/>
      <c r="G314" s="65"/>
      <c r="H314" s="65"/>
      <c r="I314" s="65"/>
      <c r="J314" s="65"/>
      <c r="K314" s="65"/>
      <c r="L314" s="65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idden="1" outlineLevel="2">
      <c r="A315" s="21"/>
      <c r="B315" s="12"/>
      <c r="C315" s="12"/>
      <c r="D315" s="12"/>
      <c r="E315" s="13"/>
      <c r="F315" s="13"/>
      <c r="G315" s="13"/>
      <c r="H315" s="12"/>
      <c r="I315" s="12"/>
      <c r="J315" s="13"/>
      <c r="K315" s="13"/>
      <c r="L315" s="12"/>
      <c r="M315" s="13"/>
      <c r="N315" s="13"/>
      <c r="O315" s="13"/>
      <c r="P315" s="12"/>
      <c r="Q315" s="13"/>
      <c r="R315" s="13"/>
      <c r="S315" s="8"/>
      <c r="T315" s="8"/>
      <c r="U315" s="8"/>
      <c r="V315" s="8"/>
      <c r="W315" s="8"/>
      <c r="X315" s="13"/>
      <c r="Y315" s="8"/>
    </row>
    <row r="316" spans="1:25" hidden="1" outlineLevel="2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8"/>
      <c r="T318" s="8"/>
      <c r="U318" s="8"/>
      <c r="V318" s="8"/>
      <c r="W318" s="8"/>
      <c r="X318" s="49"/>
      <c r="Y318" s="8"/>
    </row>
    <row r="319" spans="1:25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idden="1" outlineLevel="2">
      <c r="A320" s="8"/>
      <c r="B320" s="63"/>
      <c r="C320" s="63"/>
      <c r="D320" s="63"/>
      <c r="E320" s="63"/>
      <c r="F320" s="63"/>
      <c r="G320" s="63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8"/>
      <c r="T320" s="8"/>
      <c r="U320" s="8"/>
      <c r="V320" s="8"/>
      <c r="W320" s="8"/>
      <c r="X320" s="49"/>
      <c r="Y320" s="8"/>
    </row>
    <row r="321" spans="1:30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30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8"/>
      <c r="T322" s="8"/>
      <c r="U322" s="8"/>
      <c r="V322" s="8"/>
      <c r="W322" s="8"/>
      <c r="X322" s="49"/>
      <c r="Y322" s="49"/>
      <c r="Z322" s="49"/>
      <c r="AA322" s="49"/>
      <c r="AB322" s="49"/>
      <c r="AC322" s="49"/>
      <c r="AD322" s="49"/>
    </row>
    <row r="323" spans="1:30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30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8"/>
      <c r="T324" s="8"/>
      <c r="U324" s="8"/>
      <c r="V324" s="8"/>
      <c r="W324" s="8"/>
      <c r="X324" s="49"/>
      <c r="Y324" s="8"/>
    </row>
    <row r="325" spans="1:30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30" hidden="1" outlineLevel="2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8"/>
      <c r="T326" s="8"/>
      <c r="U326" s="8"/>
      <c r="V326" s="8"/>
      <c r="W326" s="8"/>
      <c r="X326" s="49"/>
      <c r="Y326" s="49"/>
    </row>
    <row r="327" spans="1:30" hidden="1" outlineLevel="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30" hidden="1" outlineLevel="2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8"/>
      <c r="T328" s="8"/>
      <c r="U328" s="8"/>
      <c r="V328" s="8"/>
      <c r="W328" s="8"/>
      <c r="X328" s="49"/>
      <c r="Y328" s="49"/>
    </row>
    <row r="329" spans="1:30" hidden="1" outlineLevel="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3"/>
      <c r="B333" s="3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21"/>
      <c r="C334" s="21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21"/>
      <c r="B335" s="47"/>
      <c r="C335" s="4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outlineLevel="1">
      <c r="A338" s="21"/>
      <c r="B338" s="21"/>
      <c r="C338" s="21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21"/>
      <c r="C340" s="21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48"/>
      <c r="C342" s="48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48"/>
      <c r="B343" s="3"/>
      <c r="C343" s="3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8"/>
      <c r="B344" s="8"/>
      <c r="C344" s="8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21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21"/>
      <c r="C354" s="21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48"/>
      <c r="B356" s="48"/>
      <c r="C356" s="48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21"/>
      <c r="B357" s="21"/>
      <c r="C357" s="21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48"/>
      <c r="B358" s="48"/>
      <c r="C358" s="48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21"/>
      <c r="B359" s="21"/>
      <c r="C359" s="21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48"/>
      <c r="B360" s="50"/>
      <c r="C360" s="50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21"/>
      <c r="B361" s="21"/>
      <c r="C361" s="21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8"/>
      <c r="B362" s="8"/>
      <c r="C362" s="8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21"/>
      <c r="B363" s="21"/>
      <c r="C363" s="21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48"/>
      <c r="C366" s="4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48"/>
      <c r="B367" s="8"/>
      <c r="C367" s="8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21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48"/>
      <c r="B374" s="21"/>
      <c r="C374" s="21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3"/>
      <c r="B375" s="50"/>
      <c r="C375" s="50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21"/>
      <c r="B376" s="21"/>
      <c r="C376" s="21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8"/>
      <c r="B377" s="8"/>
      <c r="C377" s="8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21"/>
      <c r="B380" s="47"/>
      <c r="C380" s="47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3"/>
      <c r="B383" s="3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21"/>
      <c r="C384" s="21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21"/>
      <c r="B385" s="47"/>
      <c r="C385" s="4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8"/>
      <c r="T387" s="8"/>
      <c r="U387" s="8"/>
      <c r="V387" s="8"/>
      <c r="W387" s="8"/>
      <c r="X387" s="8"/>
      <c r="Y387" s="8"/>
    </row>
    <row r="388" spans="1:25" outlineLevel="1">
      <c r="A388" s="21"/>
      <c r="B388" s="21"/>
      <c r="C388" s="21"/>
      <c r="D388" s="21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21"/>
      <c r="C390" s="21"/>
      <c r="D390" s="21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48"/>
      <c r="C392" s="48"/>
      <c r="D392" s="48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48"/>
      <c r="B394" s="3"/>
      <c r="C394" s="3"/>
      <c r="D394" s="3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21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21"/>
      <c r="C405" s="21"/>
      <c r="D405" s="21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48"/>
      <c r="B407" s="48"/>
      <c r="C407" s="48"/>
      <c r="D407" s="48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21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21"/>
      <c r="C409" s="21"/>
      <c r="D409" s="21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48"/>
      <c r="B410" s="48"/>
      <c r="C410" s="48"/>
      <c r="D410" s="48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21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48"/>
      <c r="B412" s="50"/>
      <c r="C412" s="50"/>
      <c r="D412" s="50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21"/>
      <c r="C415" s="21"/>
      <c r="D415" s="21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21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8"/>
      <c r="T420" s="8"/>
      <c r="U420" s="8"/>
      <c r="V420" s="8"/>
      <c r="W420" s="8"/>
      <c r="X420" s="8"/>
      <c r="Y420" s="8"/>
    </row>
    <row r="421" spans="1:25" outlineLevel="1">
      <c r="A421" s="8"/>
      <c r="B421" s="47"/>
      <c r="C421" s="47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66"/>
      <c r="C422" s="66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21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21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8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8"/>
      <c r="T443" s="8"/>
      <c r="U443" s="8"/>
      <c r="V443" s="8"/>
      <c r="W443" s="8"/>
      <c r="X443" s="8"/>
      <c r="Y443" s="8"/>
    </row>
    <row r="444" spans="1:25" outlineLevel="1">
      <c r="A444" s="21"/>
      <c r="B444" s="47"/>
      <c r="C444" s="47"/>
      <c r="D444" s="47"/>
      <c r="E444" s="67"/>
      <c r="F444" s="67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8"/>
      <c r="T444" s="8"/>
      <c r="U444" s="8"/>
      <c r="V444" s="8"/>
      <c r="W444" s="8"/>
      <c r="X444" s="8"/>
      <c r="Y444" s="8"/>
    </row>
    <row r="445" spans="1:25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outlineLevel="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outlineLevel="1">
      <c r="A451" s="8"/>
      <c r="B451" s="8"/>
      <c r="C451" s="8"/>
      <c r="D451" s="8"/>
      <c r="E451" s="8"/>
      <c r="F451" s="8"/>
      <c r="G451" s="3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outlineLevel="1">
      <c r="A452" s="21"/>
      <c r="B452" s="8"/>
      <c r="C452" s="8"/>
      <c r="D452" s="8"/>
      <c r="E452" s="8"/>
      <c r="F452" s="8"/>
      <c r="G452" s="35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8"/>
      <c r="B456" s="8"/>
      <c r="C456" s="8"/>
      <c r="D456" s="8"/>
      <c r="E456" s="8"/>
      <c r="F456" s="8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59"/>
      <c r="B458" s="8"/>
      <c r="C458" s="8"/>
      <c r="D458" s="8"/>
      <c r="E458" s="8"/>
      <c r="F458" s="8"/>
      <c r="G458" s="35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8"/>
      <c r="T458" s="8"/>
      <c r="U458" s="8"/>
      <c r="V458" s="8"/>
      <c r="W458" s="8"/>
      <c r="X458" s="8"/>
      <c r="Y458" s="8"/>
    </row>
    <row r="459" spans="1:25" outlineLevel="1">
      <c r="A459" s="21"/>
      <c r="B459" s="8"/>
      <c r="C459" s="8"/>
      <c r="D459" s="8"/>
      <c r="E459" s="8"/>
      <c r="F459" s="8"/>
      <c r="G459" s="3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67"/>
      <c r="E460" s="67"/>
      <c r="F460" s="67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3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8"/>
      <c r="C462" s="8"/>
      <c r="D462" s="8"/>
      <c r="E462" s="8"/>
      <c r="F462" s="8"/>
      <c r="G462" s="35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69"/>
      <c r="C463" s="69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8"/>
      <c r="C464" s="8"/>
      <c r="D464" s="8"/>
      <c r="E464" s="8"/>
      <c r="F464" s="8"/>
      <c r="G464" s="35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s="71" customFormat="1" outlineLevel="1">
      <c r="A467" s="70"/>
      <c r="B467" s="70"/>
      <c r="C467" s="70"/>
      <c r="D467" s="70"/>
      <c r="E467" s="70"/>
      <c r="F467" s="70"/>
      <c r="G467" s="70"/>
    </row>
    <row r="468" spans="1:25" s="71" customFormat="1" outlineLevel="1">
      <c r="A468" s="70"/>
      <c r="B468" s="70"/>
      <c r="C468" s="70"/>
      <c r="D468" s="70"/>
      <c r="E468" s="70"/>
      <c r="F468" s="72"/>
      <c r="G468" s="73"/>
      <c r="H468" s="70"/>
      <c r="I468" s="74"/>
    </row>
    <row r="469" spans="1:25" s="71" customFormat="1" outlineLevel="1">
      <c r="A469" s="70"/>
      <c r="B469" s="73"/>
      <c r="C469" s="73"/>
      <c r="D469" s="73"/>
      <c r="E469" s="73"/>
      <c r="F469" s="75"/>
      <c r="G469" s="51"/>
      <c r="H469" s="51"/>
      <c r="I469" s="74"/>
    </row>
    <row r="470" spans="1:25" s="71" customFormat="1" outlineLevel="1">
      <c r="A470" s="70"/>
      <c r="B470" s="51"/>
      <c r="C470" s="51"/>
      <c r="D470" s="51"/>
      <c r="E470" s="51"/>
      <c r="F470" s="51"/>
      <c r="G470" s="74"/>
      <c r="H470" s="51"/>
      <c r="I470" s="75"/>
    </row>
    <row r="471" spans="1:25" s="71" customFormat="1" outlineLevel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</row>
    <row r="472" spans="1:25" s="71" customFormat="1" outlineLevel="1">
      <c r="A472" s="44"/>
      <c r="B472" s="70"/>
      <c r="C472" s="70"/>
      <c r="D472" s="70"/>
      <c r="E472" s="70"/>
      <c r="F472" s="70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0"/>
      <c r="C473" s="70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8"/>
      <c r="C474" s="78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3"/>
      <c r="B475" s="79"/>
      <c r="C475" s="79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42"/>
      <c r="B476" s="76"/>
      <c r="C476" s="76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44"/>
      <c r="B478" s="70"/>
      <c r="C478" s="70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80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46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1"/>
      <c r="C488" s="8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80"/>
      <c r="B489" s="82"/>
      <c r="C489" s="82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4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3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4"/>
      <c r="B496" s="81"/>
      <c r="C496" s="8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</row>
    <row r="497" spans="1:25" s="71" customFormat="1" outlineLevel="1">
      <c r="A497" s="45"/>
      <c r="B497" s="81"/>
      <c r="C497" s="81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</row>
    <row r="498" spans="1:25" s="71" customFormat="1" outlineLevel="1">
      <c r="A498" s="43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ht="13.9" customHeight="1" outlineLevel="1">
      <c r="A499" s="42"/>
      <c r="B499" s="84"/>
      <c r="C499" s="84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3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2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78"/>
      <c r="C502" s="78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3"/>
      <c r="B505" s="85"/>
      <c r="C505" s="85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4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3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5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70"/>
      <c r="C513" s="70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3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5"/>
      <c r="B515" s="86"/>
      <c r="C515" s="86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2"/>
      <c r="B516" s="84"/>
      <c r="C516" s="84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70"/>
      <c r="C519" s="70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s="71" customFormat="1" outlineLevel="1">
      <c r="A522" s="44"/>
      <c r="B522" s="84"/>
      <c r="C522" s="84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3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7"/>
      <c r="B528" s="8"/>
      <c r="C528" s="8"/>
      <c r="D528" s="8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3"/>
      <c r="B530" s="3"/>
      <c r="C530" s="3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4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8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4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8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21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4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4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8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21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idden="1" outlineLevel="2">
      <c r="A555" s="48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 collapsed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21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8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 outlineLevel="1">
      <c r="A564" s="21"/>
      <c r="B564" s="8"/>
      <c r="C564" s="8"/>
      <c r="D564" s="8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49"/>
      <c r="I569" s="49"/>
      <c r="J569" s="49"/>
      <c r="K569" s="49"/>
      <c r="L569" s="49"/>
      <c r="M569" s="49"/>
      <c r="N569" s="49"/>
      <c r="O569" s="49"/>
      <c r="P569" s="49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51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0</v>
      </c>
      <c r="F10" s="90">
        <f>+[2]Financials!H12</f>
        <v>5230.75</v>
      </c>
      <c r="G10" s="90">
        <f>+[2]Financials!I12</f>
        <v>8883</v>
      </c>
      <c r="H10" s="90">
        <f>+[2]Financials!J12</f>
        <v>8883</v>
      </c>
      <c r="I10" s="90">
        <f>+[2]Financials!K12</f>
        <v>8883</v>
      </c>
      <c r="J10" s="90">
        <f>+[2]Financials!L12</f>
        <v>8883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22"/>
      <c r="AA10" s="606">
        <f t="shared" ref="AA10:AA38" si="1">SUM(F10:Y10)</f>
        <v>40762.75</v>
      </c>
      <c r="AB10" s="607">
        <f>AA10*$C$60</f>
        <v>40762.75</v>
      </c>
    </row>
    <row r="11" spans="1:28">
      <c r="A11" s="4" t="s">
        <v>9</v>
      </c>
      <c r="B11" s="12"/>
      <c r="C11" s="12"/>
      <c r="D11" s="90"/>
      <c r="E11" s="141">
        <v>0</v>
      </c>
      <c r="F11" s="90">
        <f>+[2]Financials!H13</f>
        <v>5974.0029988369606</v>
      </c>
      <c r="G11" s="90">
        <f>+[2]Financials!I13</f>
        <v>9420.9618160812443</v>
      </c>
      <c r="H11" s="90">
        <f>+[2]Financials!J13</f>
        <v>9311.5110213295102</v>
      </c>
      <c r="I11" s="90">
        <f>+[2]Financials!K13</f>
        <v>9803.4175717574017</v>
      </c>
      <c r="J11" s="90">
        <f>+[2]Financials!L13</f>
        <v>10399.469510189929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44909.362918195045</v>
      </c>
      <c r="AB11" s="607">
        <f t="shared" ref="AB11:AB74" si="2">AA11*$C$60</f>
        <v>44909.362918195045</v>
      </c>
    </row>
    <row r="12" spans="1:28">
      <c r="A12" s="4" t="s">
        <v>10</v>
      </c>
      <c r="B12" s="12"/>
      <c r="C12" s="12"/>
      <c r="D12" s="90"/>
      <c r="E12" s="141">
        <v>0</v>
      </c>
      <c r="F12" s="141">
        <v>0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04">
        <f>+[2]Financials!M12</f>
        <v>9952.1846763861959</v>
      </c>
      <c r="L15" s="104">
        <f>+[2]Financials!N12</f>
        <v>10287.341099499859</v>
      </c>
      <c r="M15" s="104">
        <f>+[2]Financials!O12</f>
        <v>10406.767825324863</v>
      </c>
      <c r="N15" s="104">
        <f>+[2]Financials!P12</f>
        <v>10559.00450850617</v>
      </c>
      <c r="O15" s="104">
        <f>+[2]Financials!Q12</f>
        <v>10904.390099438046</v>
      </c>
      <c r="P15" s="104">
        <f>+[2]Financials!R12</f>
        <v>11071.28897931029</v>
      </c>
      <c r="Q15" s="104">
        <f>+[2]Financials!S12</f>
        <v>11243.395918083625</v>
      </c>
      <c r="R15" s="104">
        <f>+[2]Financials!T12</f>
        <v>11582.074991999469</v>
      </c>
      <c r="S15" s="104">
        <f>+[2]Financials!U12</f>
        <v>11752.34042657337</v>
      </c>
      <c r="T15" s="104">
        <f>+[2]Financials!V12</f>
        <v>12148.120097938423</v>
      </c>
      <c r="U15" s="104">
        <f>+[2]Financials!W12</f>
        <v>12289.148784961959</v>
      </c>
      <c r="V15" s="104">
        <f>+[2]Financials!X12</f>
        <v>12488.982132661726</v>
      </c>
      <c r="W15" s="104">
        <f>+[2]Financials!Y12</f>
        <v>12876.781205318866</v>
      </c>
      <c r="X15" s="104">
        <f>+[2]Financials!Z12</f>
        <v>13072.182429024499</v>
      </c>
      <c r="Y15" s="104">
        <f>+[2]Financials!AA12</f>
        <v>13277.106552653431</v>
      </c>
      <c r="Z15" s="22"/>
      <c r="AA15" s="606">
        <f t="shared" si="1"/>
        <v>173911.1097276808</v>
      </c>
      <c r="AB15" s="607">
        <f t="shared" si="2"/>
        <v>173911.1097276808</v>
      </c>
    </row>
    <row r="16" spans="1:28">
      <c r="A16" s="4" t="s">
        <v>12</v>
      </c>
      <c r="B16" s="12"/>
      <c r="C16" s="12"/>
      <c r="D16" s="90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04">
        <f>+[2]Financials!M13</f>
        <v>14258.286398829458</v>
      </c>
      <c r="L16" s="104">
        <f>+[2]Financials!N13</f>
        <v>15520.796920838795</v>
      </c>
      <c r="M16" s="104">
        <f>+[2]Financials!O13</f>
        <v>16666.143920176743</v>
      </c>
      <c r="N16" s="104">
        <f>+[2]Financials!P13</f>
        <v>17898.920999014728</v>
      </c>
      <c r="O16" s="104">
        <f>+[2]Financials!Q13</f>
        <v>18578.980662030135</v>
      </c>
      <c r="P16" s="104">
        <f>+[2]Financials!R13</f>
        <v>18994.020335365189</v>
      </c>
      <c r="Q16" s="104">
        <f>+[2]Financials!S13</f>
        <v>19690.845277534489</v>
      </c>
      <c r="R16" s="104">
        <f>+[2]Financials!T13</f>
        <v>20419.602098713236</v>
      </c>
      <c r="S16" s="104">
        <f>+[2]Financials!U13</f>
        <v>21035.396697801472</v>
      </c>
      <c r="T16" s="104">
        <f>+[2]Financials!V13</f>
        <v>22139.15660306202</v>
      </c>
      <c r="U16" s="104">
        <f>+[2]Financials!W13</f>
        <v>21208.165860745888</v>
      </c>
      <c r="V16" s="104">
        <f>+[2]Financials!X13</f>
        <v>20778.983011480403</v>
      </c>
      <c r="W16" s="104">
        <f>+[2]Financials!Y13</f>
        <v>20903.721508836225</v>
      </c>
      <c r="X16" s="104">
        <f>+[2]Financials!Z13</f>
        <v>20816.328125516648</v>
      </c>
      <c r="Y16" s="104">
        <f>+[2]Financials!AA13</f>
        <v>20870.262306104261</v>
      </c>
      <c r="Z16" s="22"/>
      <c r="AA16" s="606">
        <f t="shared" si="1"/>
        <v>289779.61072604964</v>
      </c>
      <c r="AB16" s="607">
        <f t="shared" si="2"/>
        <v>289779.61072604964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>
        <v>0</v>
      </c>
      <c r="F19" s="91">
        <f>+[2]Financials!H57</f>
        <v>9.710903089750337</v>
      </c>
      <c r="G19" s="91">
        <f>+[2]Financials!I57</f>
        <v>10.250702854447871</v>
      </c>
      <c r="H19" s="91">
        <f>+[2]Financials!J57</f>
        <v>10.410361603532095</v>
      </c>
      <c r="I19" s="91">
        <f>+[2]Financials!K57</f>
        <v>10.423756318046001</v>
      </c>
      <c r="J19" s="91">
        <f>+[2]Financials!L57</f>
        <v>10.790442419915458</v>
      </c>
      <c r="K19" s="91">
        <f>+[2]Financials!M57</f>
        <v>2.565834990086044</v>
      </c>
      <c r="L19" s="91">
        <f>+[2]Financials!N57</f>
        <v>3.2019217627865846</v>
      </c>
      <c r="M19" s="91">
        <f>+[2]Financials!O57</f>
        <v>3.2410876945128488</v>
      </c>
      <c r="N19" s="91">
        <f>+[2]Financials!P57</f>
        <v>2.7036150072431853</v>
      </c>
      <c r="O19" s="91">
        <f>+[2]Financials!Q57</f>
        <v>2.7726365966740065</v>
      </c>
      <c r="P19" s="91">
        <f>+[2]Financials!R57</f>
        <v>2.9770499521728566</v>
      </c>
      <c r="Q19" s="91">
        <f>+[2]Financials!S57</f>
        <v>3.0366673915591784</v>
      </c>
      <c r="R19" s="91">
        <f>+[2]Financials!T57</f>
        <v>2.9515252669301573</v>
      </c>
      <c r="S19" s="91">
        <f>+[2]Financials!U57</f>
        <v>3.0141608391854104</v>
      </c>
      <c r="T19" s="91">
        <f>+[2]Financials!V57</f>
        <v>3.6758623007470468</v>
      </c>
      <c r="U19" s="91">
        <f>+[2]Financials!W57</f>
        <v>3.7416687988477224</v>
      </c>
      <c r="V19" s="91">
        <f>+[2]Financials!X57</f>
        <v>3.2116204594009146</v>
      </c>
      <c r="W19" s="91">
        <f>+[2]Financials!Y57</f>
        <v>3.2807584114679389</v>
      </c>
      <c r="X19" s="91">
        <f>+[2]Financials!Z57</f>
        <v>3.4978748123366366</v>
      </c>
      <c r="Y19" s="91">
        <f>+[2]Financials!AA57</f>
        <v>3.5705128732270524</v>
      </c>
      <c r="Z19" s="22"/>
      <c r="AA19" s="606">
        <f t="shared" si="1"/>
        <v>99.028963442869355</v>
      </c>
      <c r="AB19" s="607">
        <f t="shared" si="2"/>
        <v>99.028963442869355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0</v>
      </c>
      <c r="F20" s="90">
        <f t="shared" si="3"/>
        <v>11214.463901926711</v>
      </c>
      <c r="G20" s="90">
        <f t="shared" si="3"/>
        <v>18314.212518935696</v>
      </c>
      <c r="H20" s="90">
        <f t="shared" si="3"/>
        <v>18204.921382933044</v>
      </c>
      <c r="I20" s="90">
        <f t="shared" si="3"/>
        <v>18696.84132807545</v>
      </c>
      <c r="J20" s="90">
        <f t="shared" si="3"/>
        <v>19293.259952609842</v>
      </c>
      <c r="K20" s="90">
        <f t="shared" si="3"/>
        <v>24213.036910205741</v>
      </c>
      <c r="L20" s="90">
        <f t="shared" si="3"/>
        <v>25811.33994210144</v>
      </c>
      <c r="M20" s="90">
        <f t="shared" si="3"/>
        <v>27076.15283319612</v>
      </c>
      <c r="N20" s="90">
        <f t="shared" si="3"/>
        <v>28460.629122528142</v>
      </c>
      <c r="O20" s="90">
        <f t="shared" si="3"/>
        <v>29486.143398064854</v>
      </c>
      <c r="P20" s="90">
        <f t="shared" si="3"/>
        <v>30068.286364627649</v>
      </c>
      <c r="Q20" s="90">
        <f t="shared" si="3"/>
        <v>30937.277863009673</v>
      </c>
      <c r="R20" s="90">
        <f t="shared" si="3"/>
        <v>32004.628615979636</v>
      </c>
      <c r="S20" s="90">
        <f t="shared" si="3"/>
        <v>32790.751285214028</v>
      </c>
      <c r="T20" s="90">
        <f t="shared" si="3"/>
        <v>34290.952563301194</v>
      </c>
      <c r="U20" s="90">
        <f t="shared" si="3"/>
        <v>33501.056314506692</v>
      </c>
      <c r="V20" s="90">
        <f t="shared" si="3"/>
        <v>33271.176764601529</v>
      </c>
      <c r="W20" s="90">
        <f t="shared" si="3"/>
        <v>33783.78347256656</v>
      </c>
      <c r="X20" s="90">
        <f t="shared" si="3"/>
        <v>33892.008429353489</v>
      </c>
      <c r="Y20" s="90">
        <f t="shared" si="3"/>
        <v>34150.939371630921</v>
      </c>
      <c r="Z20" s="22"/>
      <c r="AA20" s="606">
        <f t="shared" si="1"/>
        <v>549461.86233536841</v>
      </c>
      <c r="AB20" s="607">
        <f t="shared" si="2"/>
        <v>549461.86233536841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0</v>
      </c>
      <c r="F24" s="90">
        <f>+[2]Financials!H24</f>
        <v>5808.8194804446994</v>
      </c>
      <c r="G24" s="90">
        <f>+[2]Financials!I24</f>
        <v>9250.1762258842446</v>
      </c>
      <c r="H24" s="90">
        <f>+[2]Financials!J24</f>
        <v>9168.1863007684278</v>
      </c>
      <c r="I24" s="90">
        <f>+[2]Financials!K24</f>
        <v>9674.9056591481694</v>
      </c>
      <c r="J24" s="90">
        <f>+[2]Financials!L24</f>
        <v>10234.8437597749</v>
      </c>
      <c r="K24" s="90">
        <f>+[2]Financials!M24</f>
        <v>10825.183480009231</v>
      </c>
      <c r="L24" s="90">
        <f>+[2]Financials!N24</f>
        <v>11731.393109446157</v>
      </c>
      <c r="M24" s="90">
        <f>+[2]Financials!O24</f>
        <v>12668.817656439664</v>
      </c>
      <c r="N24" s="90">
        <f>+[2]Financials!P24</f>
        <v>13678.600039257608</v>
      </c>
      <c r="O24" s="90">
        <f>+[2]Financials!Q24</f>
        <v>13962.048342066486</v>
      </c>
      <c r="P24" s="90">
        <f>+[2]Financials!R24</f>
        <v>14196.400446328164</v>
      </c>
      <c r="Q24" s="90">
        <f>+[2]Financials!S24</f>
        <v>14525.64107846693</v>
      </c>
      <c r="R24" s="90">
        <f>+[2]Financials!T24</f>
        <v>15127.047649647891</v>
      </c>
      <c r="S24" s="90">
        <f>+[2]Financials!U24</f>
        <v>15637.15430837092</v>
      </c>
      <c r="T24" s="90">
        <f>+[2]Financials!V24</f>
        <v>16335.828202439876</v>
      </c>
      <c r="U24" s="90">
        <f>+[2]Financials!W24</f>
        <v>15872.164959596792</v>
      </c>
      <c r="V24" s="90">
        <f>+[2]Financials!X24</f>
        <v>15701.217828025843</v>
      </c>
      <c r="W24" s="90">
        <f>+[2]Financials!Y24</f>
        <v>15771.016188033173</v>
      </c>
      <c r="X24" s="90">
        <f>+[2]Financials!Z24</f>
        <v>15823.001248398006</v>
      </c>
      <c r="Y24" s="90">
        <f>+[2]Financials!AA24</f>
        <v>15806.452834784845</v>
      </c>
      <c r="AA24" s="606">
        <f t="shared" si="1"/>
        <v>261798.89879733202</v>
      </c>
      <c r="AB24" s="607">
        <f t="shared" si="2"/>
        <v>261798.89879733202</v>
      </c>
    </row>
    <row r="25" spans="1:28">
      <c r="A25" s="4" t="s">
        <v>1</v>
      </c>
      <c r="D25" s="90"/>
      <c r="E25" s="141">
        <v>0</v>
      </c>
      <c r="F25" s="90">
        <f>+[2]Financials!H28</f>
        <v>41.92970292594562</v>
      </c>
      <c r="G25" s="90">
        <f>+[2]Financials!I28</f>
        <v>72.520012621265607</v>
      </c>
      <c r="H25" s="90">
        <f>+[2]Financials!J28</f>
        <v>74.333012936797246</v>
      </c>
      <c r="I25" s="90">
        <f>+[2]Financials!K28</f>
        <v>76.191338260217165</v>
      </c>
      <c r="J25" s="90">
        <f>+[2]Financials!L28</f>
        <v>78.096121716722593</v>
      </c>
      <c r="K25" s="90">
        <f>+[2]Financials!M28</f>
        <v>331.11440884916482</v>
      </c>
      <c r="L25" s="90">
        <f>+[2]Financials!N28</f>
        <v>339.39226907039392</v>
      </c>
      <c r="M25" s="90">
        <f>+[2]Financials!O28</f>
        <v>347.87707579715374</v>
      </c>
      <c r="N25" s="90">
        <f>+[2]Financials!P28</f>
        <v>356.57400269208256</v>
      </c>
      <c r="O25" s="90">
        <f>+[2]Financials!Q28</f>
        <v>365.48835275938461</v>
      </c>
      <c r="P25" s="90">
        <f>+[2]Financials!R28</f>
        <v>374.62556157836923</v>
      </c>
      <c r="Q25" s="90">
        <f>+[2]Financials!S28</f>
        <v>383.99120061782838</v>
      </c>
      <c r="R25" s="90">
        <f>+[2]Financials!T28</f>
        <v>393.59098063327411</v>
      </c>
      <c r="S25" s="90">
        <f>+[2]Financials!U28</f>
        <v>403.43075514910595</v>
      </c>
      <c r="T25" s="90">
        <f>+[2]Financials!V28</f>
        <v>413.51652402783361</v>
      </c>
      <c r="U25" s="90">
        <f>+[2]Financials!W28</f>
        <v>423.85443712852941</v>
      </c>
      <c r="V25" s="90">
        <f>+[2]Financials!X28</f>
        <v>434.45079805674266</v>
      </c>
      <c r="W25" s="90">
        <f>+[2]Financials!Y28</f>
        <v>445.31206800816119</v>
      </c>
      <c r="X25" s="90">
        <f>+[2]Financials!Z28</f>
        <v>456.44486970836516</v>
      </c>
      <c r="Y25" s="90">
        <f>+[2]Financials!AA28</f>
        <v>467.85599145107426</v>
      </c>
      <c r="AA25" s="606">
        <f t="shared" si="1"/>
        <v>6280.5894839884122</v>
      </c>
      <c r="AB25" s="607">
        <f t="shared" si="2"/>
        <v>6280.5894839884122</v>
      </c>
    </row>
    <row r="26" spans="1:28">
      <c r="A26" s="4" t="s">
        <v>18</v>
      </c>
      <c r="D26" s="90"/>
      <c r="E26" s="141">
        <v>0</v>
      </c>
      <c r="F26" s="104">
        <f>+[2]Financials!H27</f>
        <v>9.0545582263443745</v>
      </c>
      <c r="G26" s="104">
        <f>+[2]Financials!I27</f>
        <v>15.755986734374996</v>
      </c>
      <c r="H26" s="104">
        <f>+[2]Financials!J27</f>
        <v>16.149886402734371</v>
      </c>
      <c r="I26" s="104">
        <f>+[2]Financials!K27</f>
        <v>16.553633562802727</v>
      </c>
      <c r="J26" s="104">
        <f>+[2]Financials!L27</f>
        <v>16.967474401872796</v>
      </c>
      <c r="K26" s="104">
        <f>+[2]Financials!M27</f>
        <v>17.391661261919616</v>
      </c>
      <c r="L26" s="104">
        <f>+[2]Financials!N27</f>
        <v>17.826452793467602</v>
      </c>
      <c r="M26" s="104">
        <f>+[2]Financials!O27</f>
        <v>18.272114113304291</v>
      </c>
      <c r="N26" s="104">
        <f>+[2]Financials!P27</f>
        <v>18.7289169661369</v>
      </c>
      <c r="O26" s="104">
        <f>+[2]Financials!Q27</f>
        <v>19.19713989029032</v>
      </c>
      <c r="P26" s="104">
        <f>+[2]Financials!R27</f>
        <v>19.677068387547578</v>
      </c>
      <c r="Q26" s="104">
        <f>+[2]Financials!S27</f>
        <v>20.168995097236266</v>
      </c>
      <c r="R26" s="104">
        <f>+[2]Financials!T27</f>
        <v>20.673219974667173</v>
      </c>
      <c r="S26" s="104">
        <f>+[2]Financials!U27</f>
        <v>21.190050474033853</v>
      </c>
      <c r="T26" s="104">
        <f>+[2]Financials!V27</f>
        <v>21.719801735884701</v>
      </c>
      <c r="U26" s="104">
        <f>+[2]Financials!W27</f>
        <v>22.262796779281814</v>
      </c>
      <c r="V26" s="104">
        <f>+[2]Financials!X27</f>
        <v>22.819366698763858</v>
      </c>
      <c r="W26" s="104">
        <f>+[2]Financials!Y27</f>
        <v>23.389850866232955</v>
      </c>
      <c r="X26" s="104">
        <f>+[2]Financials!Z27</f>
        <v>23.974597137888775</v>
      </c>
      <c r="Y26" s="104">
        <f>+[2]Financials!AA27</f>
        <v>24.573962066335994</v>
      </c>
      <c r="AA26" s="606">
        <f t="shared" si="1"/>
        <v>386.34753357112101</v>
      </c>
      <c r="AB26" s="607">
        <f t="shared" si="2"/>
        <v>386.34753357112101</v>
      </c>
    </row>
    <row r="27" spans="1:28">
      <c r="A27" s="4" t="s">
        <v>46</v>
      </c>
      <c r="D27" s="90"/>
      <c r="E27" s="141">
        <v>0</v>
      </c>
      <c r="F27" s="90">
        <f>+[2]NewMaint!H107</f>
        <v>0</v>
      </c>
      <c r="G27" s="90">
        <f>+[2]NewMaint!I107</f>
        <v>-4.5474735088646412E-13</v>
      </c>
      <c r="H27" s="90">
        <f>+[2]NewMaint!J107</f>
        <v>0</v>
      </c>
      <c r="I27" s="90">
        <f>+[2]NewMaint!K107</f>
        <v>117.00000000000091</v>
      </c>
      <c r="J27" s="90">
        <f>+[2]NewMaint!L107</f>
        <v>327.03354393603513</v>
      </c>
      <c r="K27" s="90">
        <f>+[2]NewMaint!M107</f>
        <v>4.5474735088646412E-13</v>
      </c>
      <c r="L27" s="90">
        <f>+[2]NewMaint!N107</f>
        <v>-4.5474735088646412E-13</v>
      </c>
      <c r="M27" s="90">
        <f>+[2]NewMaint!O107</f>
        <v>478</v>
      </c>
      <c r="N27" s="90">
        <f>+[2]NewMaint!P107</f>
        <v>2881.8226332555341</v>
      </c>
      <c r="O27" s="90">
        <f>+[2]NewMaint!Q107</f>
        <v>0</v>
      </c>
      <c r="P27" s="90">
        <f>+[2]NewMaint!R107</f>
        <v>0</v>
      </c>
      <c r="Q27" s="90">
        <f>+[2]NewMaint!S107</f>
        <v>117</v>
      </c>
      <c r="R27" s="90">
        <f>+[2]NewMaint!T107</f>
        <v>360.98384146337276</v>
      </c>
      <c r="S27" s="90">
        <f>+[2]NewMaint!U107</f>
        <v>0</v>
      </c>
      <c r="T27" s="90">
        <f>+[2]NewMaint!V107</f>
        <v>0</v>
      </c>
      <c r="U27" s="90">
        <f>+[2]NewMaint!W107</f>
        <v>478</v>
      </c>
      <c r="V27" s="90">
        <f>+[2]NewMaint!X107</f>
        <v>3465.5616707438512</v>
      </c>
      <c r="W27" s="90">
        <f>+[2]NewMaint!Y107</f>
        <v>0</v>
      </c>
      <c r="X27" s="90">
        <f>+[2]NewMaint!Z107</f>
        <v>0</v>
      </c>
      <c r="Y27" s="90">
        <f>+[2]NewMaint!AA107</f>
        <v>117</v>
      </c>
      <c r="AA27" s="606">
        <f t="shared" si="1"/>
        <v>8342.4016893987937</v>
      </c>
      <c r="AB27" s="607">
        <f t="shared" si="2"/>
        <v>8342.4016893987937</v>
      </c>
    </row>
    <row r="28" spans="1:28">
      <c r="A28" s="4" t="s">
        <v>3</v>
      </c>
      <c r="D28" s="90"/>
      <c r="E28" s="141">
        <v>0</v>
      </c>
      <c r="F28" s="90">
        <f>+[2]Financials!H35</f>
        <v>111.3950161125</v>
      </c>
      <c r="G28" s="90">
        <f>+[2]Financials!I35</f>
        <v>193.84031249999998</v>
      </c>
      <c r="H28" s="90">
        <f>+[2]Financials!J35</f>
        <v>198.68632031249996</v>
      </c>
      <c r="I28" s="90">
        <f>+[2]Financials!K35</f>
        <v>203.65347832031244</v>
      </c>
      <c r="J28" s="90">
        <f>+[2]Financials!L35</f>
        <v>208.74481527832023</v>
      </c>
      <c r="K28" s="90">
        <f>+[2]Financials!M35</f>
        <v>213.96343566027824</v>
      </c>
      <c r="L28" s="90">
        <f>+[2]Financials!N35</f>
        <v>219.31252155178518</v>
      </c>
      <c r="M28" s="90">
        <f>+[2]Financials!O35</f>
        <v>224.79533459057978</v>
      </c>
      <c r="N28" s="90">
        <f>+[2]Financials!P35</f>
        <v>230.41521795534427</v>
      </c>
      <c r="O28" s="90">
        <f>+[2]Financials!Q35</f>
        <v>236.17559840422788</v>
      </c>
      <c r="P28" s="90">
        <f>+[2]Financials!R35</f>
        <v>242.07998836433356</v>
      </c>
      <c r="Q28" s="90">
        <f>+[2]Financials!S35</f>
        <v>248.13198807344187</v>
      </c>
      <c r="R28" s="90">
        <f>+[2]Financials!T35</f>
        <v>254.33528777527789</v>
      </c>
      <c r="S28" s="90">
        <f>+[2]Financials!U35</f>
        <v>260.69366996965988</v>
      </c>
      <c r="T28" s="90">
        <f>+[2]Financials!V35</f>
        <v>267.21101171890137</v>
      </c>
      <c r="U28" s="90">
        <f>+[2]Financials!W35</f>
        <v>273.89128701187389</v>
      </c>
      <c r="V28" s="90">
        <f>+[2]Financials!X35</f>
        <v>280.7385691871707</v>
      </c>
      <c r="W28" s="90">
        <f>+[2]Financials!Y35</f>
        <v>287.75703341684999</v>
      </c>
      <c r="X28" s="90">
        <f>+[2]Financials!Z35</f>
        <v>294.95095925227122</v>
      </c>
      <c r="Y28" s="90">
        <f>+[2]Financials!AA35</f>
        <v>302.32473323357794</v>
      </c>
      <c r="AA28" s="606">
        <f t="shared" si="1"/>
        <v>4753.0965786892057</v>
      </c>
      <c r="AB28" s="607">
        <f t="shared" si="2"/>
        <v>4753.0965786892057</v>
      </c>
    </row>
    <row r="29" spans="1:28">
      <c r="A29" s="4" t="s">
        <v>4</v>
      </c>
      <c r="D29" s="90"/>
      <c r="E29" s="141">
        <v>0</v>
      </c>
      <c r="F29" s="90">
        <f>+[2]Financials!H38</f>
        <v>9.282918009374999</v>
      </c>
      <c r="G29" s="90">
        <f>+[2]Financials!I38</f>
        <v>16.153359374999997</v>
      </c>
      <c r="H29" s="90">
        <f>+[2]Financials!J38</f>
        <v>16.557193359374995</v>
      </c>
      <c r="I29" s="90">
        <f>+[2]Financials!K38</f>
        <v>16.971123193359368</v>
      </c>
      <c r="J29" s="90">
        <f>+[2]Financials!L38</f>
        <v>17.395401273193354</v>
      </c>
      <c r="K29" s="90">
        <f>+[2]Financials!M38</f>
        <v>17.830286305023186</v>
      </c>
      <c r="L29" s="90">
        <f>+[2]Financials!N38</f>
        <v>18.276043462648765</v>
      </c>
      <c r="M29" s="90">
        <f>+[2]Financials!O38</f>
        <v>18.732944549214981</v>
      </c>
      <c r="N29" s="90">
        <f>+[2]Financials!P38</f>
        <v>19.201268162945357</v>
      </c>
      <c r="O29" s="90">
        <f>+[2]Financials!Q38</f>
        <v>19.681299867018989</v>
      </c>
      <c r="P29" s="90">
        <f>+[2]Financials!R38</f>
        <v>20.173332363694463</v>
      </c>
      <c r="Q29" s="90">
        <f>+[2]Financials!S38</f>
        <v>20.677665672786823</v>
      </c>
      <c r="R29" s="90">
        <f>+[2]Financials!T38</f>
        <v>21.194607314606493</v>
      </c>
      <c r="S29" s="90">
        <f>+[2]Financials!U38</f>
        <v>21.724472497471659</v>
      </c>
      <c r="T29" s="90">
        <f>+[2]Financials!V38</f>
        <v>22.267584309908447</v>
      </c>
      <c r="U29" s="90">
        <f>+[2]Financials!W38</f>
        <v>22.824273917656154</v>
      </c>
      <c r="V29" s="90">
        <f>+[2]Financials!X38</f>
        <v>23.394880765597559</v>
      </c>
      <c r="W29" s="90">
        <f>+[2]Financials!Y38</f>
        <v>23.979752784737499</v>
      </c>
      <c r="X29" s="90">
        <f>+[2]Financials!Z38</f>
        <v>24.579246604355934</v>
      </c>
      <c r="Y29" s="90">
        <f>+[2]Financials!AA38</f>
        <v>25.193727769464829</v>
      </c>
      <c r="AA29" s="606">
        <f t="shared" si="1"/>
        <v>396.09138155743392</v>
      </c>
      <c r="AB29" s="607">
        <f t="shared" si="2"/>
        <v>396.09138155743392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90">
        <f>+[2]Financials!H36</f>
        <v>162.21904608</v>
      </c>
      <c r="G31" s="90">
        <f>+[2]Financials!I36</f>
        <v>162.21904608</v>
      </c>
      <c r="H31" s="90">
        <f>+[2]Financials!J36</f>
        <v>162.21904608</v>
      </c>
      <c r="I31" s="90">
        <f>+[2]Financials!K36</f>
        <v>162.21904608</v>
      </c>
      <c r="J31" s="90">
        <f>+[2]Financials!L36</f>
        <v>162.21904608</v>
      </c>
      <c r="K31" s="90">
        <f>+[2]Financials!M36</f>
        <v>162.21904608</v>
      </c>
      <c r="L31" s="90">
        <f>+[2]Financials!N36</f>
        <v>162.21904608</v>
      </c>
      <c r="M31" s="90">
        <f>+[2]Financials!O36</f>
        <v>162.21904608</v>
      </c>
      <c r="N31" s="90">
        <f>+[2]Financials!P36</f>
        <v>162.21904608</v>
      </c>
      <c r="O31" s="90">
        <f>+[2]Financials!Q36</f>
        <v>178.44095068800002</v>
      </c>
      <c r="P31" s="90">
        <f>+[2]Financials!R36</f>
        <v>178.44095068800002</v>
      </c>
      <c r="Q31" s="90">
        <f>+[2]Financials!S36</f>
        <v>178.44095068800002</v>
      </c>
      <c r="R31" s="90">
        <f>+[2]Financials!T36</f>
        <v>178.44095068800002</v>
      </c>
      <c r="S31" s="90">
        <f>+[2]Financials!U36</f>
        <v>178.44095068800002</v>
      </c>
      <c r="T31" s="90">
        <f>+[2]Financials!V36</f>
        <v>178.44095068800002</v>
      </c>
      <c r="U31" s="90">
        <f>+[2]Financials!W36</f>
        <v>178.44095068800002</v>
      </c>
      <c r="V31" s="90">
        <f>+[2]Financials!X36</f>
        <v>178.44095068800002</v>
      </c>
      <c r="W31" s="90">
        <f>+[2]Financials!Y36</f>
        <v>178.44095068800002</v>
      </c>
      <c r="X31" s="90">
        <f>+[2]Financials!Z36</f>
        <v>178.44095068800002</v>
      </c>
      <c r="Y31" s="90">
        <f>+[2]Financials!AA36</f>
        <v>178.44095068800002</v>
      </c>
      <c r="AA31" s="606">
        <f t="shared" si="1"/>
        <v>3422.821872288001</v>
      </c>
      <c r="AB31" s="607">
        <f t="shared" si="2"/>
        <v>3422.821872288001</v>
      </c>
    </row>
    <row r="32" spans="1:28">
      <c r="A32" s="4" t="s">
        <v>38</v>
      </c>
      <c r="D32" s="90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>
        <v>0</v>
      </c>
      <c r="F33" s="104">
        <f>+[2]Financials!H40</f>
        <v>15.471530015625</v>
      </c>
      <c r="G33" s="104">
        <f>+[2]Financials!I40</f>
        <v>26.922265624999998</v>
      </c>
      <c r="H33" s="104">
        <f>+[2]Financials!J40</f>
        <v>27.595322265624993</v>
      </c>
      <c r="I33" s="104">
        <f>+[2]Financials!K40</f>
        <v>28.285205322265618</v>
      </c>
      <c r="J33" s="104">
        <f>+[2]Financials!L40</f>
        <v>28.992335455322255</v>
      </c>
      <c r="K33" s="104">
        <f>+[2]Financials!M40</f>
        <v>178.30286305023188</v>
      </c>
      <c r="L33" s="104">
        <f>+[2]Financials!N40</f>
        <v>182.76043462648767</v>
      </c>
      <c r="M33" s="104">
        <f>+[2]Financials!O40</f>
        <v>187.3294454921498</v>
      </c>
      <c r="N33" s="104">
        <f>+[2]Financials!P40</f>
        <v>192.01268162945357</v>
      </c>
      <c r="O33" s="104">
        <f>+[2]Financials!Q40</f>
        <v>196.8129986701899</v>
      </c>
      <c r="P33" s="104">
        <f>+[2]Financials!R40</f>
        <v>201.73332363694462</v>
      </c>
      <c r="Q33" s="104">
        <f>+[2]Financials!S40</f>
        <v>206.77665672786824</v>
      </c>
      <c r="R33" s="104">
        <f>+[2]Financials!T40</f>
        <v>211.94607314606492</v>
      </c>
      <c r="S33" s="104">
        <f>+[2]Financials!U40</f>
        <v>217.24472497471658</v>
      </c>
      <c r="T33" s="104">
        <f>+[2]Financials!V40</f>
        <v>222.67584309908446</v>
      </c>
      <c r="U33" s="104">
        <f>+[2]Financials!W40</f>
        <v>228.24273917656154</v>
      </c>
      <c r="V33" s="104">
        <f>+[2]Financials!X40</f>
        <v>233.9488076559756</v>
      </c>
      <c r="W33" s="104">
        <f>+[2]Financials!Y40</f>
        <v>239.79752784737499</v>
      </c>
      <c r="X33" s="104">
        <f>+[2]Financials!Z40</f>
        <v>245.79246604355933</v>
      </c>
      <c r="Y33" s="104">
        <f>+[2]Financials!AA40</f>
        <v>251.93727769464829</v>
      </c>
      <c r="AA33" s="606">
        <f t="shared" si="1"/>
        <v>3324.5805221551491</v>
      </c>
      <c r="AB33" s="607">
        <f t="shared" si="2"/>
        <v>3324.5805221551491</v>
      </c>
    </row>
    <row r="34" spans="1:28">
      <c r="A34" s="4" t="s">
        <v>20</v>
      </c>
      <c r="D34" s="90"/>
      <c r="E34" s="141">
        <v>0</v>
      </c>
      <c r="F34" s="104">
        <f>+[2]Financials!H41</f>
        <v>15.471530015625</v>
      </c>
      <c r="G34" s="104">
        <f>+[2]Financials!I41</f>
        <v>26.922265624999998</v>
      </c>
      <c r="H34" s="104">
        <f>+[2]Financials!J41</f>
        <v>27.595322265624993</v>
      </c>
      <c r="I34" s="104">
        <f>+[2]Financials!K41</f>
        <v>28.285205322265618</v>
      </c>
      <c r="J34" s="104">
        <f>+[2]Financials!L41</f>
        <v>28.992335455322255</v>
      </c>
      <c r="K34" s="104">
        <f>+[2]Financials!M41</f>
        <v>29.717143841705312</v>
      </c>
      <c r="L34" s="104">
        <f>+[2]Financials!N41</f>
        <v>30.460072437747943</v>
      </c>
      <c r="M34" s="104">
        <f>+[2]Financials!O41</f>
        <v>31.221574248691635</v>
      </c>
      <c r="N34" s="104">
        <f>+[2]Financials!P41</f>
        <v>32.002113604908928</v>
      </c>
      <c r="O34" s="104">
        <f>+[2]Financials!Q41</f>
        <v>32.802166445031652</v>
      </c>
      <c r="P34" s="104">
        <f>+[2]Financials!R41</f>
        <v>33.622220606157441</v>
      </c>
      <c r="Q34" s="104">
        <f>+[2]Financials!S41</f>
        <v>34.462776121311371</v>
      </c>
      <c r="R34" s="104">
        <f>+[2]Financials!T41</f>
        <v>35.324345524344153</v>
      </c>
      <c r="S34" s="104">
        <f>+[2]Financials!U41</f>
        <v>36.207454162452763</v>
      </c>
      <c r="T34" s="104">
        <f>+[2]Financials!V41</f>
        <v>37.112640516514077</v>
      </c>
      <c r="U34" s="104">
        <f>+[2]Financials!W41</f>
        <v>38.040456529426926</v>
      </c>
      <c r="V34" s="104">
        <f>+[2]Financials!X41</f>
        <v>38.991467942662602</v>
      </c>
      <c r="W34" s="104">
        <f>+[2]Financials!Y41</f>
        <v>39.966254641229163</v>
      </c>
      <c r="X34" s="104">
        <f>+[2]Financials!Z41</f>
        <v>40.965411007259888</v>
      </c>
      <c r="Y34" s="104">
        <f>+[2]Financials!AA41</f>
        <v>41.989546282441381</v>
      </c>
      <c r="AA34" s="606">
        <f t="shared" si="1"/>
        <v>660.15230259572309</v>
      </c>
      <c r="AB34" s="607">
        <f t="shared" si="2"/>
        <v>660.15230259572309</v>
      </c>
    </row>
    <row r="35" spans="1:28">
      <c r="A35" s="4" t="s">
        <v>21</v>
      </c>
      <c r="B35" s="8"/>
      <c r="C35" s="8"/>
      <c r="D35" s="91"/>
      <c r="E35" s="142">
        <v>0</v>
      </c>
      <c r="F35" s="107">
        <f>+[2]Financials!H39</f>
        <v>47.850348032325002</v>
      </c>
      <c r="G35" s="107">
        <f>+[2]Financials!I39</f>
        <v>83.265183124999993</v>
      </c>
      <c r="H35" s="107">
        <f>+[2]Financials!J39</f>
        <v>79.827748249999985</v>
      </c>
      <c r="I35" s="107">
        <f>+[2]Financials!K39</f>
        <v>76.166400891796854</v>
      </c>
      <c r="J35" s="107">
        <f>+[2]Financials!L39</f>
        <v>72.272093823027319</v>
      </c>
      <c r="K35" s="107">
        <f>+[2]Financials!M39</f>
        <v>68.135467400261945</v>
      </c>
      <c r="L35" s="107">
        <f>+[2]Financials!N39</f>
        <v>63.746839597718889</v>
      </c>
      <c r="M35" s="107">
        <f>+[2]Financials!O39</f>
        <v>59.09619573792353</v>
      </c>
      <c r="N35" s="107">
        <f>+[2]Financials!P39</f>
        <v>54.173177910389839</v>
      </c>
      <c r="O35" s="107">
        <f>+[2]Financials!Q39</f>
        <v>48.967074069143244</v>
      </c>
      <c r="P35" s="107">
        <f>+[2]Financials!R39</f>
        <v>50.191250920871823</v>
      </c>
      <c r="Q35" s="107">
        <f>+[2]Financials!S39</f>
        <v>51.446032193893615</v>
      </c>
      <c r="R35" s="107">
        <f>+[2]Financials!T39</f>
        <v>52.732182998740953</v>
      </c>
      <c r="S35" s="107">
        <f>+[2]Financials!U39</f>
        <v>54.050487573709482</v>
      </c>
      <c r="T35" s="107">
        <f>+[2]Financials!V39</f>
        <v>55.401749763052216</v>
      </c>
      <c r="U35" s="107">
        <f>+[2]Financials!W39</f>
        <v>56.786793507128515</v>
      </c>
      <c r="V35" s="107">
        <f>+[2]Financials!X39</f>
        <v>58.206463344806728</v>
      </c>
      <c r="W35" s="107">
        <f>+[2]Financials!Y39</f>
        <v>59.661624928426896</v>
      </c>
      <c r="X35" s="107">
        <f>+[2]Financials!Z39</f>
        <v>61.153165551637557</v>
      </c>
      <c r="Y35" s="107">
        <f>+[2]Financials!AA39</f>
        <v>62.681994690428496</v>
      </c>
      <c r="AA35" s="606">
        <f t="shared" si="1"/>
        <v>1215.8122743102826</v>
      </c>
      <c r="AB35" s="607">
        <f t="shared" si="2"/>
        <v>1215.8122743102826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0</v>
      </c>
      <c r="F36" s="90">
        <f t="shared" si="4"/>
        <v>6221.4941298624399</v>
      </c>
      <c r="G36" s="90">
        <f t="shared" si="4"/>
        <v>9847.7746575698857</v>
      </c>
      <c r="H36" s="90">
        <f t="shared" si="4"/>
        <v>9771.1501526410811</v>
      </c>
      <c r="I36" s="90">
        <f t="shared" si="4"/>
        <v>10400.23109010119</v>
      </c>
      <c r="J36" s="90">
        <f t="shared" si="4"/>
        <v>11175.556927194715</v>
      </c>
      <c r="K36" s="90">
        <f t="shared" si="4"/>
        <v>11843.857792457815</v>
      </c>
      <c r="L36" s="90">
        <f t="shared" si="4"/>
        <v>12765.386789066406</v>
      </c>
      <c r="M36" s="90">
        <f t="shared" si="4"/>
        <v>14196.361387048681</v>
      </c>
      <c r="N36" s="90">
        <f t="shared" si="4"/>
        <v>17625.749097514406</v>
      </c>
      <c r="O36" s="90">
        <f t="shared" si="4"/>
        <v>15059.613922859773</v>
      </c>
      <c r="P36" s="90">
        <f t="shared" si="4"/>
        <v>15316.944142874083</v>
      </c>
      <c r="Q36" s="90">
        <f t="shared" si="4"/>
        <v>15786.737343659297</v>
      </c>
      <c r="R36" s="90">
        <f t="shared" si="4"/>
        <v>16656.269139166241</v>
      </c>
      <c r="S36" s="90">
        <f t="shared" si="4"/>
        <v>16830.136873860069</v>
      </c>
      <c r="T36" s="90">
        <f t="shared" si="4"/>
        <v>17554.174308299054</v>
      </c>
      <c r="U36" s="90">
        <f t="shared" si="4"/>
        <v>17594.508694335251</v>
      </c>
      <c r="V36" s="90">
        <f t="shared" si="4"/>
        <v>20437.770803109415</v>
      </c>
      <c r="W36" s="90">
        <f t="shared" si="4"/>
        <v>17069.321251214184</v>
      </c>
      <c r="X36" s="90">
        <f t="shared" si="4"/>
        <v>17149.302914391345</v>
      </c>
      <c r="Y36" s="90">
        <f t="shared" si="4"/>
        <v>17278.451018660813</v>
      </c>
      <c r="AA36" s="606">
        <f t="shared" si="1"/>
        <v>290580.79243588616</v>
      </c>
      <c r="AB36" s="607">
        <f t="shared" si="2"/>
        <v>290580.79243588616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0</v>
      </c>
      <c r="F39" s="93">
        <f t="shared" si="5"/>
        <v>4992.9697720642707</v>
      </c>
      <c r="G39" s="93">
        <f t="shared" si="5"/>
        <v>8466.43786136581</v>
      </c>
      <c r="H39" s="93">
        <f t="shared" si="5"/>
        <v>8433.7712302919626</v>
      </c>
      <c r="I39" s="93">
        <f t="shared" si="5"/>
        <v>8296.6102379742606</v>
      </c>
      <c r="J39" s="93">
        <f t="shared" si="5"/>
        <v>8117.7030254151268</v>
      </c>
      <c r="K39" s="93">
        <f t="shared" si="5"/>
        <v>12369.179117747926</v>
      </c>
      <c r="L39" s="93">
        <f t="shared" si="5"/>
        <v>13045.953153035034</v>
      </c>
      <c r="M39" s="93">
        <f t="shared" si="5"/>
        <v>12879.791446147439</v>
      </c>
      <c r="N39" s="93">
        <f t="shared" si="5"/>
        <v>10834.880025013736</v>
      </c>
      <c r="O39" s="93">
        <f t="shared" si="5"/>
        <v>14426.529475205081</v>
      </c>
      <c r="P39" s="93">
        <f t="shared" si="5"/>
        <v>14751.342221753566</v>
      </c>
      <c r="Q39" s="93">
        <f t="shared" si="5"/>
        <v>15150.540519350376</v>
      </c>
      <c r="R39" s="93">
        <f t="shared" si="5"/>
        <v>15348.359476813395</v>
      </c>
      <c r="S39" s="93">
        <f t="shared" si="5"/>
        <v>15960.614411353959</v>
      </c>
      <c r="T39" s="93">
        <f t="shared" si="5"/>
        <v>16736.77825500214</v>
      </c>
      <c r="U39" s="93">
        <f t="shared" si="5"/>
        <v>15906.547620171441</v>
      </c>
      <c r="V39" s="93">
        <f t="shared" si="5"/>
        <v>12833.405961492113</v>
      </c>
      <c r="W39" s="93">
        <f t="shared" si="5"/>
        <v>16714.462221352376</v>
      </c>
      <c r="X39" s="93">
        <f t="shared" si="5"/>
        <v>16742.705514962145</v>
      </c>
      <c r="Y39" s="93">
        <f t="shared" si="5"/>
        <v>16872.488352970107</v>
      </c>
      <c r="AA39" s="606">
        <f>SUM(F39:Y39)</f>
        <v>258881.06989948225</v>
      </c>
      <c r="AB39" s="607">
        <f t="shared" si="2"/>
        <v>258881.06989948225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7">F108</f>
        <v>3545</v>
      </c>
      <c r="G41" s="90">
        <f t="shared" si="7"/>
        <v>3545</v>
      </c>
      <c r="H41" s="90">
        <f t="shared" si="7"/>
        <v>3545</v>
      </c>
      <c r="I41" s="90">
        <f t="shared" si="7"/>
        <v>3545</v>
      </c>
      <c r="J41" s="90">
        <f t="shared" si="7"/>
        <v>3545</v>
      </c>
      <c r="K41" s="90">
        <f t="shared" si="7"/>
        <v>3545</v>
      </c>
      <c r="L41" s="90">
        <f t="shared" si="7"/>
        <v>3545</v>
      </c>
      <c r="M41" s="90">
        <f t="shared" si="7"/>
        <v>3545</v>
      </c>
      <c r="N41" s="90">
        <f t="shared" si="7"/>
        <v>3545</v>
      </c>
      <c r="O41" s="90">
        <f t="shared" si="7"/>
        <v>3545</v>
      </c>
      <c r="P41" s="90">
        <f t="shared" si="7"/>
        <v>3545</v>
      </c>
      <c r="Q41" s="90">
        <f t="shared" si="7"/>
        <v>3545</v>
      </c>
      <c r="R41" s="90">
        <f t="shared" si="7"/>
        <v>3545</v>
      </c>
      <c r="S41" s="90">
        <f t="shared" si="7"/>
        <v>3545</v>
      </c>
      <c r="T41" s="90">
        <f t="shared" si="7"/>
        <v>3545</v>
      </c>
      <c r="U41" s="90">
        <f t="shared" si="7"/>
        <v>3545</v>
      </c>
      <c r="V41" s="90">
        <f t="shared" si="7"/>
        <v>3545</v>
      </c>
      <c r="W41" s="90">
        <f t="shared" si="7"/>
        <v>3545</v>
      </c>
      <c r="X41" s="90">
        <f t="shared" si="7"/>
        <v>3545</v>
      </c>
      <c r="Y41" s="90">
        <f t="shared" si="7"/>
        <v>3545</v>
      </c>
      <c r="AA41" s="606">
        <f t="shared" si="6"/>
        <v>70900</v>
      </c>
      <c r="AB41" s="607">
        <f t="shared" si="2"/>
        <v>70900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1447.9697720642707</v>
      </c>
      <c r="G44" s="93">
        <f t="shared" si="8"/>
        <v>4921.43786136581</v>
      </c>
      <c r="H44" s="93">
        <f t="shared" si="8"/>
        <v>4888.7712302919626</v>
      </c>
      <c r="I44" s="93">
        <f t="shared" si="8"/>
        <v>4751.6102379742606</v>
      </c>
      <c r="J44" s="93">
        <f t="shared" si="8"/>
        <v>4572.7030254151268</v>
      </c>
      <c r="K44" s="93">
        <f t="shared" si="8"/>
        <v>8824.1791177479263</v>
      </c>
      <c r="L44" s="93">
        <f t="shared" si="8"/>
        <v>9500.9531530350341</v>
      </c>
      <c r="M44" s="93">
        <f t="shared" si="8"/>
        <v>9334.7914461474393</v>
      </c>
      <c r="N44" s="93">
        <f t="shared" si="8"/>
        <v>7289.8800250137356</v>
      </c>
      <c r="O44" s="93">
        <f t="shared" si="8"/>
        <v>10881.529475205081</v>
      </c>
      <c r="P44" s="93">
        <f t="shared" si="8"/>
        <v>11206.342221753566</v>
      </c>
      <c r="Q44" s="93">
        <f t="shared" si="8"/>
        <v>11605.540519350376</v>
      </c>
      <c r="R44" s="93">
        <f t="shared" si="8"/>
        <v>11803.359476813395</v>
      </c>
      <c r="S44" s="93">
        <f t="shared" si="8"/>
        <v>12415.614411353959</v>
      </c>
      <c r="T44" s="93">
        <f t="shared" si="8"/>
        <v>13191.77825500214</v>
      </c>
      <c r="U44" s="93">
        <f t="shared" si="8"/>
        <v>12361.547620171441</v>
      </c>
      <c r="V44" s="93">
        <f t="shared" si="8"/>
        <v>9288.4059614921134</v>
      </c>
      <c r="W44" s="93">
        <f t="shared" si="8"/>
        <v>13169.462221352376</v>
      </c>
      <c r="X44" s="93">
        <f t="shared" si="8"/>
        <v>13197.705514962145</v>
      </c>
      <c r="Y44" s="93">
        <f t="shared" si="8"/>
        <v>13327.488352970107</v>
      </c>
      <c r="AA44" s="606">
        <f t="shared" si="6"/>
        <v>187981.06989948225</v>
      </c>
      <c r="AB44" s="607">
        <f t="shared" si="2"/>
        <v>187981.06989948225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1447.9697720642707</v>
      </c>
      <c r="G49" s="93">
        <f t="shared" si="9"/>
        <v>4921.43786136581</v>
      </c>
      <c r="H49" s="93">
        <f t="shared" si="9"/>
        <v>4888.7712302919626</v>
      </c>
      <c r="I49" s="93">
        <f t="shared" si="9"/>
        <v>4751.6102379742606</v>
      </c>
      <c r="J49" s="93">
        <f t="shared" si="9"/>
        <v>4572.7030254151268</v>
      </c>
      <c r="K49" s="93">
        <f t="shared" si="9"/>
        <v>8824.1791177479263</v>
      </c>
      <c r="L49" s="93">
        <f t="shared" si="9"/>
        <v>9500.9531530350341</v>
      </c>
      <c r="M49" s="93">
        <f t="shared" si="9"/>
        <v>9334.7914461474393</v>
      </c>
      <c r="N49" s="93">
        <f t="shared" si="9"/>
        <v>7289.8800250137356</v>
      </c>
      <c r="O49" s="93">
        <f t="shared" si="9"/>
        <v>10881.529475205081</v>
      </c>
      <c r="P49" s="93">
        <f t="shared" si="9"/>
        <v>11206.342221753566</v>
      </c>
      <c r="Q49" s="93">
        <f t="shared" si="9"/>
        <v>11605.540519350376</v>
      </c>
      <c r="R49" s="93">
        <f t="shared" si="9"/>
        <v>11803.359476813395</v>
      </c>
      <c r="S49" s="93">
        <f t="shared" si="9"/>
        <v>12415.614411353959</v>
      </c>
      <c r="T49" s="93">
        <f t="shared" si="9"/>
        <v>13191.77825500214</v>
      </c>
      <c r="U49" s="93">
        <f t="shared" si="9"/>
        <v>12361.547620171441</v>
      </c>
      <c r="V49" s="93">
        <f t="shared" si="9"/>
        <v>9288.4059614921134</v>
      </c>
      <c r="W49" s="93">
        <f t="shared" si="9"/>
        <v>13169.462221352376</v>
      </c>
      <c r="X49" s="93">
        <f t="shared" si="9"/>
        <v>13197.705514962145</v>
      </c>
      <c r="Y49" s="93">
        <f t="shared" si="9"/>
        <v>13327.488352970107</v>
      </c>
      <c r="AA49" s="606">
        <f t="shared" si="6"/>
        <v>187981.06989948225</v>
      </c>
      <c r="AB49" s="607">
        <f t="shared" si="2"/>
        <v>187981.06989948225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-86.878186323856241</v>
      </c>
      <c r="G51" s="55">
        <f t="shared" si="10"/>
        <v>-295.28627168194856</v>
      </c>
      <c r="H51" s="90">
        <f t="shared" si="10"/>
        <v>-293.32627381751774</v>
      </c>
      <c r="I51" s="90">
        <f t="shared" si="10"/>
        <v>-285.0966142784556</v>
      </c>
      <c r="J51" s="90">
        <f t="shared" si="10"/>
        <v>-274.36218152490761</v>
      </c>
      <c r="K51" s="90">
        <f t="shared" si="10"/>
        <v>-529.4507470648756</v>
      </c>
      <c r="L51" s="90">
        <f t="shared" si="10"/>
        <v>-570.05718918210198</v>
      </c>
      <c r="M51" s="90">
        <f t="shared" si="10"/>
        <v>-560.08748676884636</v>
      </c>
      <c r="N51" s="90">
        <f t="shared" si="10"/>
        <v>-437.39280150082413</v>
      </c>
      <c r="O51" s="90">
        <f t="shared" si="10"/>
        <v>-652.89176851230491</v>
      </c>
      <c r="P51" s="90">
        <f t="shared" si="10"/>
        <v>-672.38053330521393</v>
      </c>
      <c r="Q51" s="90">
        <f t="shared" si="10"/>
        <v>-696.33243116102255</v>
      </c>
      <c r="R51" s="90">
        <f t="shared" si="10"/>
        <v>-708.20156860880365</v>
      </c>
      <c r="S51" s="90">
        <f t="shared" si="10"/>
        <v>-744.93686468123758</v>
      </c>
      <c r="T51" s="90">
        <f t="shared" si="10"/>
        <v>-791.5066953001284</v>
      </c>
      <c r="U51" s="90">
        <f t="shared" si="10"/>
        <v>-741.69285721028643</v>
      </c>
      <c r="V51" s="90">
        <f t="shared" si="10"/>
        <v>-557.3043576895268</v>
      </c>
      <c r="W51" s="90">
        <f t="shared" si="10"/>
        <v>-790.16773328114255</v>
      </c>
      <c r="X51" s="90">
        <f t="shared" si="10"/>
        <v>-791.86233089772861</v>
      </c>
      <c r="Y51" s="90">
        <f t="shared" si="10"/>
        <v>-799.64930117820643</v>
      </c>
      <c r="AA51" s="606">
        <f t="shared" si="6"/>
        <v>-11278.864193968937</v>
      </c>
      <c r="AB51" s="607">
        <f t="shared" si="2"/>
        <v>-11278.864193968937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-476.38205500914506</v>
      </c>
      <c r="G52" s="89">
        <f t="shared" si="11"/>
        <v>-1619.1530563893516</v>
      </c>
      <c r="H52" s="89">
        <f t="shared" si="11"/>
        <v>-1608.4057347660555</v>
      </c>
      <c r="I52" s="89">
        <f t="shared" si="11"/>
        <v>-1563.2797682935318</v>
      </c>
      <c r="J52" s="89">
        <f t="shared" si="11"/>
        <v>-1504.4192953615766</v>
      </c>
      <c r="K52" s="89">
        <f t="shared" si="11"/>
        <v>-2903.1549297390679</v>
      </c>
      <c r="L52" s="89">
        <f t="shared" si="11"/>
        <v>-3125.8135873485262</v>
      </c>
      <c r="M52" s="89">
        <f t="shared" si="11"/>
        <v>-3071.146385782507</v>
      </c>
      <c r="N52" s="89">
        <f t="shared" si="11"/>
        <v>-2398.3705282295186</v>
      </c>
      <c r="O52" s="89">
        <f t="shared" si="11"/>
        <v>-3580.0231973424716</v>
      </c>
      <c r="P52" s="89">
        <f t="shared" si="11"/>
        <v>-3686.8865909569231</v>
      </c>
      <c r="Q52" s="89">
        <f t="shared" si="11"/>
        <v>-3818.2228308662729</v>
      </c>
      <c r="R52" s="89">
        <f t="shared" si="11"/>
        <v>-3883.3052678716067</v>
      </c>
      <c r="S52" s="89">
        <f t="shared" si="11"/>
        <v>-4084.7371413354522</v>
      </c>
      <c r="T52" s="89">
        <f t="shared" si="11"/>
        <v>-4340.0950458957041</v>
      </c>
      <c r="U52" s="89">
        <f t="shared" si="11"/>
        <v>-4066.9491670364041</v>
      </c>
      <c r="V52" s="89">
        <f t="shared" si="11"/>
        <v>-3055.8855613309051</v>
      </c>
      <c r="W52" s="89">
        <f t="shared" si="11"/>
        <v>-4332.7530708249315</v>
      </c>
      <c r="X52" s="89">
        <f t="shared" si="11"/>
        <v>-4342.0451144225453</v>
      </c>
      <c r="Y52" s="89">
        <f t="shared" si="11"/>
        <v>-4384.7436681271656</v>
      </c>
      <c r="AA52" s="606">
        <f t="shared" si="6"/>
        <v>-61845.771996929652</v>
      </c>
      <c r="AB52" s="607">
        <f t="shared" si="2"/>
        <v>-61845.771996929652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884.70953073126952</v>
      </c>
      <c r="G54" s="93">
        <f t="shared" si="12"/>
        <v>3006.9985332945103</v>
      </c>
      <c r="H54" s="93">
        <f t="shared" si="12"/>
        <v>2987.0392217083891</v>
      </c>
      <c r="I54" s="93">
        <f t="shared" si="12"/>
        <v>2903.2338554022735</v>
      </c>
      <c r="J54" s="93">
        <f t="shared" si="12"/>
        <v>2793.9215485286422</v>
      </c>
      <c r="K54" s="93">
        <f t="shared" si="12"/>
        <v>5391.5734409439829</v>
      </c>
      <c r="L54" s="93">
        <f t="shared" si="12"/>
        <v>5805.0823765044061</v>
      </c>
      <c r="M54" s="93">
        <f t="shared" si="12"/>
        <v>5703.5575735960847</v>
      </c>
      <c r="N54" s="93">
        <f t="shared" si="12"/>
        <v>4454.1166952833928</v>
      </c>
      <c r="O54" s="93">
        <f t="shared" si="12"/>
        <v>6648.6145093503046</v>
      </c>
      <c r="P54" s="93">
        <f t="shared" si="12"/>
        <v>6847.0750974914299</v>
      </c>
      <c r="Q54" s="93">
        <f t="shared" si="12"/>
        <v>7090.9852573230801</v>
      </c>
      <c r="R54" s="93">
        <f t="shared" si="12"/>
        <v>7211.8526403329852</v>
      </c>
      <c r="S54" s="93">
        <f t="shared" si="12"/>
        <v>7585.9404053372691</v>
      </c>
      <c r="T54" s="93">
        <f t="shared" si="12"/>
        <v>8060.1765138063083</v>
      </c>
      <c r="U54" s="93">
        <f t="shared" si="12"/>
        <v>7552.9055959247507</v>
      </c>
      <c r="V54" s="93">
        <f t="shared" si="12"/>
        <v>5675.2160424716812</v>
      </c>
      <c r="W54" s="93">
        <f t="shared" si="12"/>
        <v>8046.5414172463015</v>
      </c>
      <c r="X54" s="93">
        <f t="shared" si="12"/>
        <v>8063.7980696418699</v>
      </c>
      <c r="Y54" s="93">
        <f t="shared" si="12"/>
        <v>8143.0953836647359</v>
      </c>
      <c r="AA54" s="606">
        <f t="shared" si="6"/>
        <v>114856.43370858367</v>
      </c>
      <c r="AB54" s="607">
        <f t="shared" si="2"/>
        <v>114856.43370858367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4992.9697720642707</v>
      </c>
      <c r="G64" s="24">
        <f t="shared" si="14"/>
        <v>8466.43786136581</v>
      </c>
      <c r="H64" s="20">
        <f t="shared" si="14"/>
        <v>8433.7712302919626</v>
      </c>
      <c r="I64" s="20">
        <f t="shared" si="14"/>
        <v>8296.6102379742606</v>
      </c>
      <c r="J64" s="20">
        <f t="shared" si="14"/>
        <v>8117.7030254151268</v>
      </c>
      <c r="K64" s="20">
        <f t="shared" si="14"/>
        <v>12369.179117747926</v>
      </c>
      <c r="L64" s="20">
        <f t="shared" si="14"/>
        <v>13045.953153035034</v>
      </c>
      <c r="M64" s="20">
        <f t="shared" si="14"/>
        <v>12879.791446147439</v>
      </c>
      <c r="N64" s="20">
        <f t="shared" si="14"/>
        <v>10834.880025013736</v>
      </c>
      <c r="O64" s="20">
        <f t="shared" si="14"/>
        <v>14426.529475205081</v>
      </c>
      <c r="P64" s="20">
        <f t="shared" si="14"/>
        <v>14751.342221753566</v>
      </c>
      <c r="Q64" s="20">
        <f t="shared" si="14"/>
        <v>15150.540519350376</v>
      </c>
      <c r="R64" s="20">
        <f t="shared" si="14"/>
        <v>15348.359476813395</v>
      </c>
      <c r="S64" s="20">
        <f t="shared" si="14"/>
        <v>15960.614411353959</v>
      </c>
      <c r="T64" s="20">
        <f t="shared" si="14"/>
        <v>16736.77825500214</v>
      </c>
      <c r="U64" s="20">
        <f t="shared" si="14"/>
        <v>15906.547620171441</v>
      </c>
      <c r="V64" s="20">
        <f t="shared" si="14"/>
        <v>12833.405961492113</v>
      </c>
      <c r="W64" s="20">
        <f t="shared" si="14"/>
        <v>16714.462221352376</v>
      </c>
      <c r="X64" s="20">
        <f t="shared" si="14"/>
        <v>16742.705514962145</v>
      </c>
      <c r="Y64" s="20">
        <f t="shared" si="14"/>
        <v>16872.488352970107</v>
      </c>
      <c r="AA64" s="606">
        <f t="shared" si="6"/>
        <v>258881.06989948225</v>
      </c>
      <c r="AB64" s="607">
        <f t="shared" si="2"/>
        <v>258881.06989948225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4992.9697720642707</v>
      </c>
      <c r="G69" s="95">
        <f t="shared" si="15"/>
        <v>8466.43786136581</v>
      </c>
      <c r="H69" s="95">
        <f t="shared" si="15"/>
        <v>8433.7712302919626</v>
      </c>
      <c r="I69" s="95">
        <f t="shared" si="15"/>
        <v>8296.6102379742606</v>
      </c>
      <c r="J69" s="95">
        <f t="shared" si="15"/>
        <v>8117.7030254151268</v>
      </c>
      <c r="K69" s="95">
        <f t="shared" si="15"/>
        <v>12369.179117747926</v>
      </c>
      <c r="L69" s="95">
        <f t="shared" si="15"/>
        <v>13045.953153035034</v>
      </c>
      <c r="M69" s="95">
        <f t="shared" si="15"/>
        <v>12879.791446147439</v>
      </c>
      <c r="N69" s="95">
        <f t="shared" si="15"/>
        <v>10834.880025013736</v>
      </c>
      <c r="O69" s="95">
        <f t="shared" si="15"/>
        <v>14426.529475205081</v>
      </c>
      <c r="P69" s="95">
        <f t="shared" si="15"/>
        <v>14751.342221753566</v>
      </c>
      <c r="Q69" s="95">
        <f t="shared" si="15"/>
        <v>15150.540519350376</v>
      </c>
      <c r="R69" s="95">
        <f t="shared" si="15"/>
        <v>15348.359476813395</v>
      </c>
      <c r="S69" s="95">
        <f t="shared" si="15"/>
        <v>15960.614411353959</v>
      </c>
      <c r="T69" s="95">
        <f t="shared" si="15"/>
        <v>16736.77825500214</v>
      </c>
      <c r="U69" s="95">
        <f t="shared" si="15"/>
        <v>15906.547620171441</v>
      </c>
      <c r="V69" s="95">
        <f t="shared" si="15"/>
        <v>12833.405961492113</v>
      </c>
      <c r="W69" s="95">
        <f t="shared" si="15"/>
        <v>16714.462221352376</v>
      </c>
      <c r="X69" s="95">
        <f t="shared" si="15"/>
        <v>16742.705514962145</v>
      </c>
      <c r="Y69" s="95">
        <f t="shared" si="15"/>
        <v>16872.488352970107</v>
      </c>
      <c r="AA69" s="606">
        <f t="shared" si="6"/>
        <v>258881.06989948225</v>
      </c>
      <c r="AB69" s="607">
        <f t="shared" si="2"/>
        <v>258881.06989948225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-563.14381169613148</v>
      </c>
      <c r="G71" s="100">
        <f t="shared" si="16"/>
        <v>-673.11361176124763</v>
      </c>
      <c r="H71" s="100">
        <f t="shared" si="16"/>
        <v>-922.43936390452609</v>
      </c>
      <c r="I71" s="100">
        <f t="shared" si="16"/>
        <v>-1104.9135023608451</v>
      </c>
      <c r="J71" s="100">
        <f t="shared" si="16"/>
        <v>-1247.5653846964562</v>
      </c>
      <c r="K71" s="100">
        <f t="shared" si="16"/>
        <v>-3092.411693832918</v>
      </c>
      <c r="L71" s="100">
        <f t="shared" si="16"/>
        <v>-3446.1609505580782</v>
      </c>
      <c r="M71" s="100">
        <f t="shared" si="16"/>
        <v>-3381.5240465788029</v>
      </c>
      <c r="N71" s="100">
        <f t="shared" si="16"/>
        <v>-2586.0535037577929</v>
      </c>
      <c r="O71" s="100">
        <f t="shared" si="16"/>
        <v>-3983.2051398822264</v>
      </c>
      <c r="P71" s="100">
        <f t="shared" si="16"/>
        <v>-4109.5572982895865</v>
      </c>
      <c r="Q71" s="100">
        <f t="shared" si="16"/>
        <v>-4264.8454360547448</v>
      </c>
      <c r="R71" s="100">
        <f t="shared" si="16"/>
        <v>-4341.7970105078603</v>
      </c>
      <c r="S71" s="100">
        <f t="shared" si="16"/>
        <v>-4579.9641800441395</v>
      </c>
      <c r="T71" s="100">
        <f t="shared" si="16"/>
        <v>-4881.8919152232811</v>
      </c>
      <c r="U71" s="100">
        <f t="shared" si="16"/>
        <v>-5373.2896112604149</v>
      </c>
      <c r="V71" s="100">
        <f t="shared" si="16"/>
        <v>-4992.1949190204323</v>
      </c>
      <c r="W71" s="100">
        <f t="shared" si="16"/>
        <v>-6501.9258041060748</v>
      </c>
      <c r="X71" s="100">
        <f t="shared" si="16"/>
        <v>-6512.9124453202739</v>
      </c>
      <c r="Y71" s="100">
        <f t="shared" si="16"/>
        <v>-6563.3979693053716</v>
      </c>
      <c r="AA71" s="606">
        <f t="shared" si="6"/>
        <v>-73122.307598161191</v>
      </c>
      <c r="AB71" s="607">
        <f t="shared" si="2"/>
        <v>-73122.307598161191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4429.825960368139</v>
      </c>
      <c r="G73" s="28">
        <f t="shared" si="17"/>
        <v>7793.3242496045623</v>
      </c>
      <c r="H73" s="28">
        <f t="shared" si="17"/>
        <v>7511.3318663874361</v>
      </c>
      <c r="I73" s="28">
        <f t="shared" si="17"/>
        <v>7191.6967356134155</v>
      </c>
      <c r="J73" s="28">
        <f t="shared" si="17"/>
        <v>6870.1376407186708</v>
      </c>
      <c r="K73" s="28">
        <f t="shared" si="17"/>
        <v>9276.7674239150074</v>
      </c>
      <c r="L73" s="28">
        <f t="shared" si="17"/>
        <v>9599.7922024769559</v>
      </c>
      <c r="M73" s="28">
        <f t="shared" si="17"/>
        <v>9498.2673995686364</v>
      </c>
      <c r="N73" s="28">
        <f t="shared" si="17"/>
        <v>8248.8265212559418</v>
      </c>
      <c r="O73" s="28">
        <f t="shared" si="17"/>
        <v>10443.324335322855</v>
      </c>
      <c r="P73" s="28">
        <f t="shared" si="17"/>
        <v>10641.78492346398</v>
      </c>
      <c r="Q73" s="28">
        <f t="shared" si="17"/>
        <v>10885.695083295632</v>
      </c>
      <c r="R73" s="28">
        <f t="shared" si="17"/>
        <v>11006.562466305535</v>
      </c>
      <c r="S73" s="28">
        <f t="shared" si="17"/>
        <v>11380.650231309821</v>
      </c>
      <c r="T73" s="28">
        <f t="shared" si="17"/>
        <v>11854.886339778859</v>
      </c>
      <c r="U73" s="28">
        <f t="shared" si="17"/>
        <v>10533.258008911027</v>
      </c>
      <c r="V73" s="28">
        <f t="shared" si="17"/>
        <v>7841.2110424716811</v>
      </c>
      <c r="W73" s="28">
        <f t="shared" si="17"/>
        <v>10212.536417246301</v>
      </c>
      <c r="X73" s="28">
        <f t="shared" si="17"/>
        <v>10229.79306964187</v>
      </c>
      <c r="Y73" s="28">
        <f t="shared" si="17"/>
        <v>10309.090383664736</v>
      </c>
      <c r="AA73" s="606">
        <f t="shared" si="6"/>
        <v>185758.76230132108</v>
      </c>
      <c r="AB73" s="607">
        <f t="shared" si="2"/>
        <v>185758.76230132108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884.70953073126952</v>
      </c>
      <c r="G76" s="95">
        <f t="shared" si="19"/>
        <v>3006.9985332945103</v>
      </c>
      <c r="H76" s="28">
        <f t="shared" si="19"/>
        <v>2987.0392217083891</v>
      </c>
      <c r="I76" s="28">
        <f t="shared" si="19"/>
        <v>2903.2338554022735</v>
      </c>
      <c r="J76" s="28">
        <f t="shared" si="19"/>
        <v>2793.9215485286422</v>
      </c>
      <c r="K76" s="28">
        <f t="shared" si="19"/>
        <v>5391.5734409439829</v>
      </c>
      <c r="L76" s="28">
        <f t="shared" si="19"/>
        <v>5805.0823765044061</v>
      </c>
      <c r="M76" s="28">
        <f t="shared" si="19"/>
        <v>5703.5575735960847</v>
      </c>
      <c r="N76" s="28">
        <f t="shared" si="19"/>
        <v>4454.1166952833928</v>
      </c>
      <c r="O76" s="28">
        <f t="shared" si="19"/>
        <v>6648.6145093503046</v>
      </c>
      <c r="P76" s="28">
        <f t="shared" si="19"/>
        <v>6847.0750974914299</v>
      </c>
      <c r="Q76" s="28">
        <f t="shared" si="19"/>
        <v>7090.9852573230801</v>
      </c>
      <c r="R76" s="28">
        <f t="shared" si="19"/>
        <v>7211.8526403329852</v>
      </c>
      <c r="S76" s="28">
        <f t="shared" si="19"/>
        <v>7585.9404053372691</v>
      </c>
      <c r="T76" s="28">
        <f t="shared" si="19"/>
        <v>8060.1765138063083</v>
      </c>
      <c r="U76" s="28">
        <f t="shared" si="19"/>
        <v>7552.9055959247507</v>
      </c>
      <c r="V76" s="28">
        <f t="shared" si="19"/>
        <v>5675.2160424716812</v>
      </c>
      <c r="W76" s="28">
        <f t="shared" si="19"/>
        <v>8046.5414172463015</v>
      </c>
      <c r="X76" s="28">
        <f t="shared" si="19"/>
        <v>8063.7980696418699</v>
      </c>
      <c r="Y76" s="28">
        <f t="shared" si="19"/>
        <v>8143.0953836647359</v>
      </c>
      <c r="AA76" s="606">
        <f t="shared" si="6"/>
        <v>114856.43370858367</v>
      </c>
      <c r="AB76" s="607">
        <f>AA76</f>
        <v>114856.43370858367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4429.825960368139</v>
      </c>
      <c r="G77" s="95">
        <f t="shared" si="20"/>
        <v>7793.3242496045623</v>
      </c>
      <c r="H77" s="28">
        <f t="shared" si="20"/>
        <v>7511.3318663874361</v>
      </c>
      <c r="I77" s="28">
        <f t="shared" si="20"/>
        <v>7191.6967356134155</v>
      </c>
      <c r="J77" s="28">
        <f t="shared" si="20"/>
        <v>6870.1376407186708</v>
      </c>
      <c r="K77" s="28">
        <f t="shared" si="20"/>
        <v>9276.7674239150074</v>
      </c>
      <c r="L77" s="28">
        <f t="shared" si="20"/>
        <v>9599.7922024769559</v>
      </c>
      <c r="M77" s="28">
        <f t="shared" si="20"/>
        <v>9498.2673995686364</v>
      </c>
      <c r="N77" s="28">
        <f t="shared" si="20"/>
        <v>8248.8265212559418</v>
      </c>
      <c r="O77" s="28">
        <f t="shared" si="20"/>
        <v>10443.324335322855</v>
      </c>
      <c r="P77" s="28">
        <f t="shared" si="20"/>
        <v>10641.78492346398</v>
      </c>
      <c r="Q77" s="28">
        <f t="shared" si="20"/>
        <v>10885.695083295632</v>
      </c>
      <c r="R77" s="28">
        <f t="shared" si="20"/>
        <v>11006.562466305535</v>
      </c>
      <c r="S77" s="28">
        <f t="shared" si="20"/>
        <v>11380.650231309821</v>
      </c>
      <c r="T77" s="28">
        <f t="shared" si="20"/>
        <v>11854.886339778859</v>
      </c>
      <c r="U77" s="28">
        <f t="shared" si="20"/>
        <v>10533.258008911027</v>
      </c>
      <c r="V77" s="28">
        <f t="shared" si="20"/>
        <v>7841.2110424716811</v>
      </c>
      <c r="W77" s="28">
        <f t="shared" si="20"/>
        <v>10212.536417246301</v>
      </c>
      <c r="X77" s="28">
        <f t="shared" si="20"/>
        <v>10229.79306964187</v>
      </c>
      <c r="Y77" s="28">
        <f t="shared" si="20"/>
        <v>10309.090383664736</v>
      </c>
      <c r="AA77" s="606">
        <f t="shared" si="6"/>
        <v>185758.76230132108</v>
      </c>
      <c r="AB77" s="607">
        <f>AA77</f>
        <v>185758.76230132108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" customFormat="1">
      <c r="AA87" s="606">
        <f t="shared" si="6"/>
        <v>0</v>
      </c>
      <c r="AB87" s="607">
        <f t="shared" si="18"/>
        <v>0</v>
      </c>
    </row>
    <row r="88" spans="1:28" s="10" customFormat="1">
      <c r="A88" s="14" t="s">
        <v>34</v>
      </c>
      <c r="F88" s="97">
        <f>F69</f>
        <v>4992.9697720642707</v>
      </c>
      <c r="G88" s="97">
        <f t="shared" ref="G88:Y88" si="22">G69</f>
        <v>8466.43786136581</v>
      </c>
      <c r="H88" s="97">
        <f t="shared" si="22"/>
        <v>8433.7712302919626</v>
      </c>
      <c r="I88" s="97">
        <f t="shared" si="22"/>
        <v>8296.6102379742606</v>
      </c>
      <c r="J88" s="97">
        <f t="shared" si="22"/>
        <v>8117.7030254151268</v>
      </c>
      <c r="K88" s="97">
        <f t="shared" si="22"/>
        <v>12369.179117747926</v>
      </c>
      <c r="L88" s="97">
        <f t="shared" si="22"/>
        <v>13045.953153035034</v>
      </c>
      <c r="M88" s="97">
        <f t="shared" si="22"/>
        <v>12879.791446147439</v>
      </c>
      <c r="N88" s="97">
        <f t="shared" si="22"/>
        <v>10834.880025013736</v>
      </c>
      <c r="O88" s="97">
        <f t="shared" si="22"/>
        <v>14426.529475205081</v>
      </c>
      <c r="P88" s="97">
        <f t="shared" si="22"/>
        <v>14751.342221753566</v>
      </c>
      <c r="Q88" s="97">
        <f t="shared" si="22"/>
        <v>15150.540519350376</v>
      </c>
      <c r="R88" s="97">
        <f t="shared" si="22"/>
        <v>15348.359476813395</v>
      </c>
      <c r="S88" s="97">
        <f t="shared" si="22"/>
        <v>15960.614411353959</v>
      </c>
      <c r="T88" s="97">
        <f t="shared" si="22"/>
        <v>16736.77825500214</v>
      </c>
      <c r="U88" s="97">
        <f t="shared" si="22"/>
        <v>15906.547620171441</v>
      </c>
      <c r="V88" s="97">
        <f t="shared" si="22"/>
        <v>12833.405961492113</v>
      </c>
      <c r="W88" s="97">
        <f t="shared" si="22"/>
        <v>16714.462221352376</v>
      </c>
      <c r="X88" s="97">
        <f t="shared" si="22"/>
        <v>16742.705514962145</v>
      </c>
      <c r="Y88" s="97">
        <f t="shared" si="22"/>
        <v>16872.488352970107</v>
      </c>
      <c r="AA88" s="606">
        <f t="shared" si="6"/>
        <v>258881.06989948225</v>
      </c>
      <c r="AB88" s="607">
        <f t="shared" si="18"/>
        <v>258881.06989948225</v>
      </c>
    </row>
    <row r="89" spans="1:28" s="10" customFormat="1">
      <c r="A89" s="10" t="s">
        <v>53</v>
      </c>
      <c r="F89" s="110">
        <f>F125+F126</f>
        <v>-563.14381169613148</v>
      </c>
      <c r="G89" s="110">
        <f t="shared" ref="G89:Y89" si="23">G125+G126</f>
        <v>-673.11361176124763</v>
      </c>
      <c r="H89" s="110">
        <f t="shared" si="23"/>
        <v>-922.43936390452609</v>
      </c>
      <c r="I89" s="110">
        <f t="shared" si="23"/>
        <v>-1104.9135023608451</v>
      </c>
      <c r="J89" s="110">
        <f t="shared" si="23"/>
        <v>-1247.5653846964562</v>
      </c>
      <c r="K89" s="110">
        <f t="shared" si="23"/>
        <v>-3092.411693832918</v>
      </c>
      <c r="L89" s="110">
        <f t="shared" si="23"/>
        <v>-3446.1609505580782</v>
      </c>
      <c r="M89" s="110">
        <f t="shared" si="23"/>
        <v>-3381.5240465788029</v>
      </c>
      <c r="N89" s="110">
        <f t="shared" si="23"/>
        <v>-2586.0535037577929</v>
      </c>
      <c r="O89" s="110">
        <f t="shared" si="23"/>
        <v>-3983.2051398822264</v>
      </c>
      <c r="P89" s="110">
        <f t="shared" si="23"/>
        <v>-4109.5572982895865</v>
      </c>
      <c r="Q89" s="110">
        <f t="shared" si="23"/>
        <v>-4264.8454360547448</v>
      </c>
      <c r="R89" s="110">
        <f t="shared" si="23"/>
        <v>-4341.7970105078603</v>
      </c>
      <c r="S89" s="110">
        <f t="shared" si="23"/>
        <v>-4579.9641800441395</v>
      </c>
      <c r="T89" s="110">
        <f t="shared" si="23"/>
        <v>-4881.8919152232811</v>
      </c>
      <c r="U89" s="110">
        <f t="shared" si="23"/>
        <v>-5373.2896112604149</v>
      </c>
      <c r="V89" s="110">
        <f t="shared" si="23"/>
        <v>-4992.1949190204323</v>
      </c>
      <c r="W89" s="110">
        <f t="shared" si="23"/>
        <v>-6501.9258041060748</v>
      </c>
      <c r="X89" s="110">
        <f t="shared" si="23"/>
        <v>-6512.9124453202739</v>
      </c>
      <c r="Y89" s="110">
        <f t="shared" si="23"/>
        <v>-6563.3979693053716</v>
      </c>
      <c r="AA89" s="606">
        <f t="shared" si="6"/>
        <v>-73122.307598161191</v>
      </c>
      <c r="AB89" s="607">
        <f t="shared" si="18"/>
        <v>-73122.307598161191</v>
      </c>
    </row>
    <row r="90" spans="1:28" s="10" customFormat="1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42181.220882425267</v>
      </c>
      <c r="AA90" s="606">
        <f t="shared" si="6"/>
        <v>42181.220882425267</v>
      </c>
      <c r="AB90" s="607">
        <f t="shared" si="18"/>
        <v>42181.220882425267</v>
      </c>
    </row>
    <row r="91" spans="1:28" s="10" customFormat="1">
      <c r="A91" s="10" t="s">
        <v>55</v>
      </c>
      <c r="E91" s="148">
        <v>-78784.428999535536</v>
      </c>
      <c r="F91" s="97">
        <f>F88+F89+F90</f>
        <v>4429.825960368139</v>
      </c>
      <c r="G91" s="97">
        <f t="shared" ref="G91:Y91" si="24">G88+G89+G90</f>
        <v>7793.3242496045623</v>
      </c>
      <c r="H91" s="97">
        <f t="shared" si="24"/>
        <v>7511.3318663874361</v>
      </c>
      <c r="I91" s="97">
        <f t="shared" si="24"/>
        <v>7191.6967356134155</v>
      </c>
      <c r="J91" s="97">
        <f t="shared" si="24"/>
        <v>6870.1376407186708</v>
      </c>
      <c r="K91" s="97">
        <f t="shared" si="24"/>
        <v>9276.7674239150074</v>
      </c>
      <c r="L91" s="97">
        <f t="shared" si="24"/>
        <v>9599.7922024769559</v>
      </c>
      <c r="M91" s="97">
        <f t="shared" si="24"/>
        <v>9498.2673995686364</v>
      </c>
      <c r="N91" s="97">
        <f t="shared" si="24"/>
        <v>8248.8265212559418</v>
      </c>
      <c r="O91" s="97">
        <f t="shared" si="24"/>
        <v>10443.324335322855</v>
      </c>
      <c r="P91" s="97">
        <f t="shared" si="24"/>
        <v>10641.78492346398</v>
      </c>
      <c r="Q91" s="97">
        <f t="shared" si="24"/>
        <v>10885.695083295632</v>
      </c>
      <c r="R91" s="97">
        <f t="shared" si="24"/>
        <v>11006.562466305535</v>
      </c>
      <c r="S91" s="97">
        <f t="shared" si="24"/>
        <v>11380.650231309821</v>
      </c>
      <c r="T91" s="97">
        <f t="shared" si="24"/>
        <v>11854.886339778859</v>
      </c>
      <c r="U91" s="97">
        <f t="shared" si="24"/>
        <v>10533.258008911027</v>
      </c>
      <c r="V91" s="97">
        <f t="shared" si="24"/>
        <v>7841.2110424716811</v>
      </c>
      <c r="W91" s="97">
        <f t="shared" si="24"/>
        <v>10212.536417246301</v>
      </c>
      <c r="X91" s="97">
        <f t="shared" si="24"/>
        <v>10229.79306964187</v>
      </c>
      <c r="Y91" s="97">
        <f t="shared" si="24"/>
        <v>52490.311266090001</v>
      </c>
      <c r="AA91" s="606">
        <f t="shared" si="6"/>
        <v>227939.98318374634</v>
      </c>
      <c r="AB91" s="607">
        <f t="shared" si="18"/>
        <v>227939.98318374634</v>
      </c>
    </row>
    <row r="92" spans="1:28" s="10" customFormat="1" ht="13.5" thickBot="1">
      <c r="AA92" s="606">
        <f t="shared" si="6"/>
        <v>0</v>
      </c>
      <c r="AB92" s="607">
        <f t="shared" si="18"/>
        <v>0</v>
      </c>
    </row>
    <row r="93" spans="1:28" s="10" customFormat="1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8"/>
        <v>0</v>
      </c>
    </row>
    <row r="94" spans="1:28" s="10" customFormat="1" ht="13.5" thickBot="1">
      <c r="A94" s="10" t="s">
        <v>57</v>
      </c>
      <c r="E94" s="125">
        <f>NPV(C95,E91:Y91)</f>
        <v>4.1340668262405825E-12</v>
      </c>
      <c r="R94" s="115"/>
      <c r="U94" s="116" t="s">
        <v>58</v>
      </c>
      <c r="V94" s="98"/>
      <c r="W94" s="98"/>
      <c r="X94" s="98"/>
      <c r="Y94" s="117">
        <f>Y39</f>
        <v>16872.488352970107</v>
      </c>
      <c r="AA94" s="606">
        <f t="shared" si="6"/>
        <v>16872.488352970107</v>
      </c>
      <c r="AB94" s="607">
        <f t="shared" si="18"/>
        <v>16872.488352970107</v>
      </c>
    </row>
    <row r="95" spans="1:28" s="10" customFormat="1" ht="13.5" thickBot="1">
      <c r="A95" s="10" t="s">
        <v>59</v>
      </c>
      <c r="C95" s="146">
        <v>0.1</v>
      </c>
      <c r="R95" s="97"/>
      <c r="U95" s="118" t="s">
        <v>60</v>
      </c>
      <c r="V95" s="98"/>
      <c r="W95" s="98"/>
      <c r="X95" s="98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" customFormat="1">
      <c r="U96" s="118" t="s">
        <v>61</v>
      </c>
      <c r="V96" s="98"/>
      <c r="W96" s="98"/>
      <c r="X96" s="98"/>
      <c r="Y96" s="119">
        <f>Y94*Y95</f>
        <v>8436.2441764850537</v>
      </c>
      <c r="AA96" s="606">
        <f t="shared" si="6"/>
        <v>8436.2441764850537</v>
      </c>
      <c r="AB96" s="607">
        <f t="shared" si="18"/>
        <v>8436.2441764850537</v>
      </c>
    </row>
    <row r="97" spans="1:28" s="10" customFormat="1">
      <c r="U97" s="118" t="s">
        <v>62</v>
      </c>
      <c r="V97" s="98"/>
      <c r="W97" s="98"/>
      <c r="X97" s="98"/>
      <c r="Y97" s="150">
        <v>5</v>
      </c>
      <c r="AA97" s="606">
        <f t="shared" si="6"/>
        <v>5</v>
      </c>
      <c r="AB97" s="607">
        <f t="shared" si="18"/>
        <v>5</v>
      </c>
    </row>
    <row r="98" spans="1:28" s="10" customFormat="1" ht="13.5" thickBot="1">
      <c r="U98" s="120" t="s">
        <v>56</v>
      </c>
      <c r="V98" s="121"/>
      <c r="W98" s="121"/>
      <c r="X98" s="121"/>
      <c r="Y98" s="122">
        <f>Y96*Y97</f>
        <v>42181.220882425267</v>
      </c>
      <c r="AA98" s="606">
        <f t="shared" si="6"/>
        <v>42181.220882425267</v>
      </c>
      <c r="AB98" s="607">
        <f t="shared" si="18"/>
        <v>42181.220882425267</v>
      </c>
    </row>
    <row r="99" spans="1:28" s="10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" customFormat="1">
      <c r="A100" s="10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0" customFormat="1" ht="15">
      <c r="A101" s="10" t="s">
        <v>65</v>
      </c>
      <c r="D101" s="111">
        <f>-E91</f>
        <v>78784.428999535536</v>
      </c>
      <c r="AA101" s="606">
        <f t="shared" si="6"/>
        <v>0</v>
      </c>
      <c r="AB101" s="607">
        <f t="shared" si="18"/>
        <v>0</v>
      </c>
    </row>
    <row r="102" spans="1:28" s="10" customFormat="1">
      <c r="D102" s="123">
        <f>D100+D101</f>
        <v>78784.428999535536</v>
      </c>
      <c r="AA102" s="606">
        <f t="shared" si="6"/>
        <v>0</v>
      </c>
      <c r="AB102" s="607">
        <f t="shared" si="18"/>
        <v>0</v>
      </c>
    </row>
    <row r="103" spans="1:28" s="10" customFormat="1">
      <c r="A103" s="10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" customFormat="1">
      <c r="A104" s="10" t="s">
        <v>67</v>
      </c>
      <c r="D104" s="123">
        <f>D102*D103</f>
        <v>70905.986099581991</v>
      </c>
      <c r="AA104" s="606">
        <f t="shared" ref="AA104:AA151" si="25">SUM(F104:Y104)</f>
        <v>0</v>
      </c>
      <c r="AB104" s="607">
        <f t="shared" si="18"/>
        <v>0</v>
      </c>
    </row>
    <row r="105" spans="1:28" s="10" customFormat="1">
      <c r="AA105" s="606">
        <f t="shared" si="25"/>
        <v>0</v>
      </c>
      <c r="AB105" s="607">
        <f t="shared" si="18"/>
        <v>0</v>
      </c>
    </row>
    <row r="106" spans="1:28" s="10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" customFormat="1">
      <c r="A108" s="10" t="s">
        <v>69</v>
      </c>
      <c r="B108" s="152">
        <v>20</v>
      </c>
      <c r="C108" s="10" t="s">
        <v>0</v>
      </c>
      <c r="D108" s="102">
        <f>D104</f>
        <v>70905.986099581991</v>
      </c>
      <c r="F108" s="125">
        <f>ROUND(D108/$B$108,0)</f>
        <v>3545</v>
      </c>
      <c r="G108" s="125">
        <f>F108</f>
        <v>3545</v>
      </c>
      <c r="H108" s="125">
        <f t="shared" ref="H108:Y109" si="27">G108</f>
        <v>3545</v>
      </c>
      <c r="I108" s="125">
        <f t="shared" si="27"/>
        <v>3545</v>
      </c>
      <c r="J108" s="125">
        <f t="shared" si="27"/>
        <v>3545</v>
      </c>
      <c r="K108" s="125">
        <f t="shared" si="27"/>
        <v>3545</v>
      </c>
      <c r="L108" s="125">
        <f t="shared" si="27"/>
        <v>3545</v>
      </c>
      <c r="M108" s="125">
        <f t="shared" si="27"/>
        <v>3545</v>
      </c>
      <c r="N108" s="125">
        <f t="shared" si="27"/>
        <v>3545</v>
      </c>
      <c r="O108" s="125">
        <f t="shared" si="27"/>
        <v>3545</v>
      </c>
      <c r="P108" s="125">
        <f t="shared" si="27"/>
        <v>3545</v>
      </c>
      <c r="Q108" s="125">
        <f t="shared" si="27"/>
        <v>3545</v>
      </c>
      <c r="R108" s="125">
        <f t="shared" si="27"/>
        <v>3545</v>
      </c>
      <c r="S108" s="125">
        <f t="shared" si="27"/>
        <v>3545</v>
      </c>
      <c r="T108" s="125">
        <f t="shared" si="27"/>
        <v>3545</v>
      </c>
      <c r="U108" s="125">
        <f t="shared" si="27"/>
        <v>3545</v>
      </c>
      <c r="V108" s="125">
        <f t="shared" si="27"/>
        <v>3545</v>
      </c>
      <c r="W108" s="125">
        <f t="shared" si="27"/>
        <v>3545</v>
      </c>
      <c r="X108" s="125">
        <f t="shared" si="27"/>
        <v>3545</v>
      </c>
      <c r="Y108" s="125">
        <f t="shared" si="27"/>
        <v>3545</v>
      </c>
      <c r="AA108" s="606">
        <f t="shared" si="25"/>
        <v>70900</v>
      </c>
      <c r="AB108" s="607">
        <f t="shared" si="18"/>
        <v>70900</v>
      </c>
    </row>
    <row r="109" spans="1:28" s="10" customFormat="1">
      <c r="A109" s="199" t="s">
        <v>571</v>
      </c>
      <c r="D109" s="102">
        <f>D103*'FPLE_Valuation Summary'!V20</f>
        <v>10845.031399539779</v>
      </c>
      <c r="F109" s="125">
        <f>ROUND(D109/$B$108,0)</f>
        <v>542</v>
      </c>
      <c r="G109" s="125">
        <f>F109</f>
        <v>542</v>
      </c>
      <c r="H109" s="125">
        <f t="shared" si="27"/>
        <v>542</v>
      </c>
      <c r="I109" s="125">
        <f t="shared" si="27"/>
        <v>542</v>
      </c>
      <c r="J109" s="125">
        <f t="shared" si="27"/>
        <v>542</v>
      </c>
      <c r="K109" s="125">
        <f t="shared" si="27"/>
        <v>542</v>
      </c>
      <c r="L109" s="125">
        <f t="shared" si="27"/>
        <v>542</v>
      </c>
      <c r="M109" s="125">
        <f t="shared" si="27"/>
        <v>542</v>
      </c>
      <c r="N109" s="125">
        <f t="shared" si="27"/>
        <v>542</v>
      </c>
      <c r="O109" s="125">
        <f t="shared" si="27"/>
        <v>542</v>
      </c>
      <c r="P109" s="125">
        <f t="shared" si="27"/>
        <v>542</v>
      </c>
      <c r="Q109" s="125">
        <f t="shared" si="27"/>
        <v>542</v>
      </c>
      <c r="R109" s="125">
        <f t="shared" si="27"/>
        <v>542</v>
      </c>
      <c r="S109" s="125">
        <f t="shared" si="27"/>
        <v>542</v>
      </c>
      <c r="T109" s="125">
        <f t="shared" si="27"/>
        <v>542</v>
      </c>
      <c r="U109" s="125">
        <f t="shared" si="27"/>
        <v>542</v>
      </c>
      <c r="V109" s="125">
        <f t="shared" si="27"/>
        <v>542</v>
      </c>
      <c r="W109" s="125">
        <f t="shared" si="27"/>
        <v>542</v>
      </c>
      <c r="X109" s="125">
        <f t="shared" si="27"/>
        <v>542</v>
      </c>
      <c r="Y109" s="125">
        <f t="shared" si="27"/>
        <v>542</v>
      </c>
      <c r="AA109" s="606">
        <f t="shared" si="25"/>
        <v>10840</v>
      </c>
      <c r="AB109" s="607">
        <f t="shared" si="18"/>
        <v>10840</v>
      </c>
    </row>
    <row r="110" spans="1:28" s="10" customFormat="1">
      <c r="AA110" s="606">
        <f t="shared" si="25"/>
        <v>0</v>
      </c>
      <c r="AB110" s="607">
        <f t="shared" si="18"/>
        <v>0</v>
      </c>
    </row>
    <row r="111" spans="1:28" s="10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" customFormat="1">
      <c r="A112" s="126" t="s">
        <v>71</v>
      </c>
      <c r="D112" s="102">
        <f>D108</f>
        <v>70905.986099581991</v>
      </c>
      <c r="AA112" s="606">
        <f t="shared" si="25"/>
        <v>0</v>
      </c>
      <c r="AB112" s="607">
        <f t="shared" si="18"/>
        <v>0</v>
      </c>
    </row>
    <row r="113" spans="1:28" s="10" customFormat="1">
      <c r="A113" s="10" t="s">
        <v>72</v>
      </c>
      <c r="E113" s="157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156"/>
      <c r="AA113" s="606">
        <f t="shared" si="25"/>
        <v>1.0000000000000002</v>
      </c>
      <c r="AB113" s="607">
        <f t="shared" si="18"/>
        <v>1.0000000000000002</v>
      </c>
    </row>
    <row r="114" spans="1:28" s="10" customFormat="1">
      <c r="A114" s="10" t="s">
        <v>70</v>
      </c>
      <c r="F114" s="125">
        <f t="shared" ref="F114:L114" si="28">$D$112*F113</f>
        <v>3545.2993049790998</v>
      </c>
      <c r="G114" s="125">
        <f t="shared" si="28"/>
        <v>6736.0686794602889</v>
      </c>
      <c r="H114" s="125">
        <f t="shared" si="28"/>
        <v>6062.4618115142603</v>
      </c>
      <c r="I114" s="125">
        <f t="shared" si="28"/>
        <v>5456.2156303628335</v>
      </c>
      <c r="J114" s="125">
        <f t="shared" si="28"/>
        <v>4910.5940673265504</v>
      </c>
      <c r="K114" s="125">
        <f t="shared" si="28"/>
        <v>4419.5346605938948</v>
      </c>
      <c r="L114" s="125">
        <f t="shared" si="28"/>
        <v>4186.9275731942171</v>
      </c>
      <c r="M114" s="125">
        <f t="shared" ref="M114:Y114" si="29">$D$112*M113</f>
        <v>4186.9275731942171</v>
      </c>
      <c r="N114" s="125">
        <f t="shared" si="29"/>
        <v>4186.9275731942171</v>
      </c>
      <c r="O114" s="125">
        <f t="shared" si="29"/>
        <v>4186.9275731942171</v>
      </c>
      <c r="P114" s="125">
        <f t="shared" si="29"/>
        <v>4186.9275731942171</v>
      </c>
      <c r="Q114" s="125">
        <f t="shared" si="29"/>
        <v>4186.9275731942171</v>
      </c>
      <c r="R114" s="125">
        <f t="shared" si="29"/>
        <v>4186.9275731942171</v>
      </c>
      <c r="S114" s="125">
        <f t="shared" si="29"/>
        <v>4186.9275731942171</v>
      </c>
      <c r="T114" s="125">
        <f t="shared" si="29"/>
        <v>4186.9275731942171</v>
      </c>
      <c r="U114" s="125">
        <f t="shared" si="29"/>
        <v>2093.4637865971085</v>
      </c>
      <c r="V114" s="125">
        <f t="shared" si="29"/>
        <v>0</v>
      </c>
      <c r="W114" s="125">
        <f t="shared" si="29"/>
        <v>0</v>
      </c>
      <c r="X114" s="125">
        <f t="shared" si="29"/>
        <v>0</v>
      </c>
      <c r="Y114" s="125">
        <f t="shared" si="29"/>
        <v>0</v>
      </c>
      <c r="AA114" s="606">
        <f t="shared" si="25"/>
        <v>70905.986099581991</v>
      </c>
      <c r="AB114" s="607">
        <f t="shared" si="18"/>
        <v>70905.986099581991</v>
      </c>
    </row>
    <row r="115" spans="1:28" s="10" customFormat="1">
      <c r="A115" s="199" t="s">
        <v>571</v>
      </c>
      <c r="D115" s="102">
        <f>D109</f>
        <v>10845.031399539779</v>
      </c>
      <c r="F115" s="125">
        <f>$D$115*F113</f>
        <v>542.251569976989</v>
      </c>
      <c r="G115" s="125">
        <f t="shared" ref="G115:Y115" si="30">$D$115*G113</f>
        <v>1030.2779829562789</v>
      </c>
      <c r="H115" s="125">
        <f t="shared" si="30"/>
        <v>927.25018466065114</v>
      </c>
      <c r="I115" s="125">
        <f t="shared" si="30"/>
        <v>834.52516619458595</v>
      </c>
      <c r="J115" s="125">
        <f t="shared" si="30"/>
        <v>751.07264957512734</v>
      </c>
      <c r="K115" s="125">
        <f t="shared" si="30"/>
        <v>675.96538461761452</v>
      </c>
      <c r="L115" s="125">
        <f t="shared" si="30"/>
        <v>640.38825911142442</v>
      </c>
      <c r="M115" s="125">
        <f t="shared" si="30"/>
        <v>640.38825911142442</v>
      </c>
      <c r="N115" s="125">
        <f t="shared" si="30"/>
        <v>640.38825911142442</v>
      </c>
      <c r="O115" s="125">
        <f t="shared" si="30"/>
        <v>640.38825911142442</v>
      </c>
      <c r="P115" s="125">
        <f t="shared" si="30"/>
        <v>640.38825911142442</v>
      </c>
      <c r="Q115" s="125">
        <f t="shared" si="30"/>
        <v>640.38825911142442</v>
      </c>
      <c r="R115" s="125">
        <f t="shared" si="30"/>
        <v>640.38825911142442</v>
      </c>
      <c r="S115" s="125">
        <f t="shared" si="30"/>
        <v>640.38825911142442</v>
      </c>
      <c r="T115" s="125">
        <f t="shared" si="30"/>
        <v>640.38825911142442</v>
      </c>
      <c r="U115" s="125">
        <f t="shared" si="30"/>
        <v>320.19412955571221</v>
      </c>
      <c r="V115" s="125">
        <f t="shared" si="30"/>
        <v>0</v>
      </c>
      <c r="W115" s="125">
        <f t="shared" si="30"/>
        <v>0</v>
      </c>
      <c r="X115" s="125">
        <f t="shared" si="30"/>
        <v>0</v>
      </c>
      <c r="Y115" s="125">
        <f t="shared" si="30"/>
        <v>0</v>
      </c>
      <c r="AA115" s="606">
        <f t="shared" si="25"/>
        <v>10845.031399539781</v>
      </c>
      <c r="AB115" s="607">
        <f t="shared" si="18"/>
        <v>10845.031399539781</v>
      </c>
    </row>
    <row r="116" spans="1:28" s="10" customFormat="1">
      <c r="AA116" s="606">
        <f t="shared" si="25"/>
        <v>0</v>
      </c>
      <c r="AB116" s="607">
        <f t="shared" si="18"/>
        <v>0</v>
      </c>
    </row>
    <row r="117" spans="1:28" s="10" customFormat="1">
      <c r="AA117" s="606">
        <f t="shared" si="25"/>
        <v>0</v>
      </c>
      <c r="AB117" s="607">
        <f t="shared" si="18"/>
        <v>0</v>
      </c>
    </row>
    <row r="118" spans="1:28" s="10" customFormat="1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5"/>
        <v>40210</v>
      </c>
      <c r="AB118" s="607">
        <f t="shared" si="18"/>
        <v>40210</v>
      </c>
    </row>
    <row r="119" spans="1:28" s="10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" customFormat="1">
      <c r="A120" s="127" t="str">
        <f>A64</f>
        <v>EBITDA</v>
      </c>
      <c r="F120" s="125">
        <f>F39</f>
        <v>4992.9697720642707</v>
      </c>
      <c r="G120" s="125">
        <f t="shared" ref="G120:Y120" si="32">G39</f>
        <v>8466.43786136581</v>
      </c>
      <c r="H120" s="125">
        <f t="shared" si="32"/>
        <v>8433.7712302919626</v>
      </c>
      <c r="I120" s="125">
        <f t="shared" si="32"/>
        <v>8296.6102379742606</v>
      </c>
      <c r="J120" s="125">
        <f t="shared" si="32"/>
        <v>8117.7030254151268</v>
      </c>
      <c r="K120" s="125">
        <f t="shared" si="32"/>
        <v>12369.179117747926</v>
      </c>
      <c r="L120" s="125">
        <f t="shared" si="32"/>
        <v>13045.953153035034</v>
      </c>
      <c r="M120" s="125">
        <f t="shared" si="32"/>
        <v>12879.791446147439</v>
      </c>
      <c r="N120" s="125">
        <f t="shared" si="32"/>
        <v>10834.880025013736</v>
      </c>
      <c r="O120" s="125">
        <f t="shared" si="32"/>
        <v>14426.529475205081</v>
      </c>
      <c r="P120" s="125">
        <f t="shared" si="32"/>
        <v>14751.342221753566</v>
      </c>
      <c r="Q120" s="125">
        <f t="shared" si="32"/>
        <v>15150.540519350376</v>
      </c>
      <c r="R120" s="125">
        <f t="shared" si="32"/>
        <v>15348.359476813395</v>
      </c>
      <c r="S120" s="125">
        <f t="shared" si="32"/>
        <v>15960.614411353959</v>
      </c>
      <c r="T120" s="125">
        <f t="shared" si="32"/>
        <v>16736.77825500214</v>
      </c>
      <c r="U120" s="125">
        <f t="shared" si="32"/>
        <v>15906.547620171441</v>
      </c>
      <c r="V120" s="125">
        <f t="shared" si="32"/>
        <v>12833.405961492113</v>
      </c>
      <c r="W120" s="125">
        <f t="shared" si="32"/>
        <v>16714.462221352376</v>
      </c>
      <c r="X120" s="125">
        <f t="shared" si="32"/>
        <v>16742.705514962145</v>
      </c>
      <c r="Y120" s="125">
        <f t="shared" si="32"/>
        <v>16872.488352970107</v>
      </c>
      <c r="AA120" s="606">
        <f t="shared" si="25"/>
        <v>258881.06989948225</v>
      </c>
      <c r="AB120" s="607">
        <f t="shared" si="18"/>
        <v>258881.06989948225</v>
      </c>
    </row>
    <row r="121" spans="1:28" s="10" customFormat="1">
      <c r="A121" s="10" t="s">
        <v>74</v>
      </c>
      <c r="F121" s="125">
        <f>-F114</f>
        <v>-3545.2993049790998</v>
      </c>
      <c r="G121" s="125">
        <f t="shared" ref="G121:Y121" si="33">-G114</f>
        <v>-6736.0686794602889</v>
      </c>
      <c r="H121" s="125">
        <f t="shared" si="33"/>
        <v>-6062.4618115142603</v>
      </c>
      <c r="I121" s="125">
        <f t="shared" si="33"/>
        <v>-5456.2156303628335</v>
      </c>
      <c r="J121" s="125">
        <f t="shared" si="33"/>
        <v>-4910.5940673265504</v>
      </c>
      <c r="K121" s="125">
        <f t="shared" si="33"/>
        <v>-4419.5346605938948</v>
      </c>
      <c r="L121" s="125">
        <f t="shared" si="33"/>
        <v>-4186.9275731942171</v>
      </c>
      <c r="M121" s="125">
        <f t="shared" si="33"/>
        <v>-4186.9275731942171</v>
      </c>
      <c r="N121" s="125">
        <f t="shared" si="33"/>
        <v>-4186.9275731942171</v>
      </c>
      <c r="O121" s="125">
        <f t="shared" si="33"/>
        <v>-4186.9275731942171</v>
      </c>
      <c r="P121" s="125">
        <f t="shared" si="33"/>
        <v>-4186.9275731942171</v>
      </c>
      <c r="Q121" s="125">
        <f t="shared" si="33"/>
        <v>-4186.9275731942171</v>
      </c>
      <c r="R121" s="125">
        <f t="shared" si="33"/>
        <v>-4186.9275731942171</v>
      </c>
      <c r="S121" s="125">
        <f t="shared" si="33"/>
        <v>-4186.9275731942171</v>
      </c>
      <c r="T121" s="125">
        <f t="shared" si="33"/>
        <v>-4186.9275731942171</v>
      </c>
      <c r="U121" s="125">
        <f t="shared" si="33"/>
        <v>-2093.4637865971085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5"/>
        <v>-70905.986099581991</v>
      </c>
      <c r="AB121" s="607">
        <f t="shared" si="18"/>
        <v>-70905.986099581991</v>
      </c>
    </row>
    <row r="122" spans="1:28" s="10" customFormat="1">
      <c r="A122" s="10" t="s">
        <v>75</v>
      </c>
      <c r="F122" s="128">
        <f>-F46</f>
        <v>0</v>
      </c>
      <c r="G122" s="128">
        <f t="shared" ref="G122:Y122" si="34">-G46</f>
        <v>0</v>
      </c>
      <c r="H122" s="128">
        <f t="shared" si="34"/>
        <v>0</v>
      </c>
      <c r="I122" s="128">
        <f t="shared" si="34"/>
        <v>0</v>
      </c>
      <c r="J122" s="128">
        <f t="shared" si="34"/>
        <v>0</v>
      </c>
      <c r="K122" s="128">
        <f t="shared" si="34"/>
        <v>0</v>
      </c>
      <c r="L122" s="128">
        <f t="shared" si="34"/>
        <v>0</v>
      </c>
      <c r="M122" s="128">
        <f t="shared" si="34"/>
        <v>0</v>
      </c>
      <c r="N122" s="128">
        <f t="shared" si="34"/>
        <v>0</v>
      </c>
      <c r="O122" s="128">
        <f t="shared" si="34"/>
        <v>0</v>
      </c>
      <c r="P122" s="128">
        <f t="shared" si="34"/>
        <v>0</v>
      </c>
      <c r="Q122" s="128">
        <f t="shared" si="34"/>
        <v>0</v>
      </c>
      <c r="R122" s="128">
        <f t="shared" si="34"/>
        <v>0</v>
      </c>
      <c r="S122" s="128">
        <f t="shared" si="34"/>
        <v>0</v>
      </c>
      <c r="T122" s="128">
        <f t="shared" si="34"/>
        <v>0</v>
      </c>
      <c r="U122" s="128">
        <f t="shared" si="34"/>
        <v>0</v>
      </c>
      <c r="V122" s="128">
        <f t="shared" si="34"/>
        <v>0</v>
      </c>
      <c r="W122" s="128">
        <f t="shared" si="34"/>
        <v>0</v>
      </c>
      <c r="X122" s="128">
        <f t="shared" si="34"/>
        <v>0</v>
      </c>
      <c r="Y122" s="128">
        <f t="shared" si="34"/>
        <v>0</v>
      </c>
      <c r="AA122" s="606">
        <f t="shared" si="25"/>
        <v>0</v>
      </c>
      <c r="AB122" s="607">
        <f t="shared" si="18"/>
        <v>0</v>
      </c>
    </row>
    <row r="123" spans="1:28" s="10" customFormat="1">
      <c r="A123" s="10" t="s">
        <v>76</v>
      </c>
      <c r="F123" s="125">
        <f>SUM(F120:F122)</f>
        <v>1447.6704670851709</v>
      </c>
      <c r="G123" s="125">
        <f t="shared" ref="G123:Y123" si="35">SUM(G120:G122)</f>
        <v>1730.3691819055211</v>
      </c>
      <c r="H123" s="125">
        <f t="shared" si="35"/>
        <v>2371.3094187777024</v>
      </c>
      <c r="I123" s="125">
        <f t="shared" si="35"/>
        <v>2840.3946076114271</v>
      </c>
      <c r="J123" s="125">
        <f t="shared" si="35"/>
        <v>3207.1089580885764</v>
      </c>
      <c r="K123" s="125">
        <f t="shared" si="35"/>
        <v>7949.6444571540314</v>
      </c>
      <c r="L123" s="125">
        <f t="shared" si="35"/>
        <v>8859.025579840818</v>
      </c>
      <c r="M123" s="125">
        <f t="shared" si="35"/>
        <v>8692.8638729532213</v>
      </c>
      <c r="N123" s="125">
        <f t="shared" si="35"/>
        <v>6647.9524518195185</v>
      </c>
      <c r="O123" s="125">
        <f t="shared" si="35"/>
        <v>10239.601902010865</v>
      </c>
      <c r="P123" s="125">
        <f t="shared" si="35"/>
        <v>10564.414648559348</v>
      </c>
      <c r="Q123" s="125">
        <f t="shared" si="35"/>
        <v>10963.612946156158</v>
      </c>
      <c r="R123" s="125">
        <f t="shared" si="35"/>
        <v>11161.431903619177</v>
      </c>
      <c r="S123" s="125">
        <f t="shared" si="35"/>
        <v>11773.686838159741</v>
      </c>
      <c r="T123" s="125">
        <f t="shared" si="35"/>
        <v>12549.850681807922</v>
      </c>
      <c r="U123" s="125">
        <f t="shared" si="35"/>
        <v>13813.083833574332</v>
      </c>
      <c r="V123" s="125">
        <f t="shared" si="35"/>
        <v>12833.405961492113</v>
      </c>
      <c r="W123" s="125">
        <f t="shared" si="35"/>
        <v>16714.462221352376</v>
      </c>
      <c r="X123" s="125">
        <f t="shared" si="35"/>
        <v>16742.705514962145</v>
      </c>
      <c r="Y123" s="125">
        <f t="shared" si="35"/>
        <v>16872.488352970107</v>
      </c>
      <c r="AA123" s="606">
        <f t="shared" si="25"/>
        <v>187975.08379990025</v>
      </c>
      <c r="AB123" s="607">
        <f t="shared" si="18"/>
        <v>187975.08379990025</v>
      </c>
    </row>
    <row r="124" spans="1:28" s="10" customFormat="1">
      <c r="AA124" s="606">
        <f t="shared" si="25"/>
        <v>0</v>
      </c>
      <c r="AB124" s="607">
        <f t="shared" si="18"/>
        <v>0</v>
      </c>
    </row>
    <row r="125" spans="1:28" s="10" customFormat="1">
      <c r="A125" s="10" t="s">
        <v>88</v>
      </c>
      <c r="C125" s="129">
        <f>C51</f>
        <v>0.06</v>
      </c>
      <c r="F125" s="125">
        <f>-F123*$C$125</f>
        <v>-86.860228025110246</v>
      </c>
      <c r="G125" s="125">
        <f t="shared" ref="G125:Y125" si="36">-G123*$C$125</f>
        <v>-103.82215091433126</v>
      </c>
      <c r="H125" s="125">
        <f t="shared" si="36"/>
        <v>-142.27856512666213</v>
      </c>
      <c r="I125" s="125">
        <f t="shared" si="36"/>
        <v>-170.42367645668563</v>
      </c>
      <c r="J125" s="125">
        <f t="shared" si="36"/>
        <v>-192.42653748531458</v>
      </c>
      <c r="K125" s="125">
        <f t="shared" si="36"/>
        <v>-476.97866742924185</v>
      </c>
      <c r="L125" s="125">
        <f t="shared" si="36"/>
        <v>-531.54153479044908</v>
      </c>
      <c r="M125" s="125">
        <f t="shared" si="36"/>
        <v>-521.57183237719323</v>
      </c>
      <c r="N125" s="125">
        <f t="shared" si="36"/>
        <v>-398.87714710917112</v>
      </c>
      <c r="O125" s="125">
        <f t="shared" si="36"/>
        <v>-614.37611412065189</v>
      </c>
      <c r="P125" s="125">
        <f t="shared" si="36"/>
        <v>-633.86487891356091</v>
      </c>
      <c r="Q125" s="125">
        <f t="shared" si="36"/>
        <v>-657.81677676936943</v>
      </c>
      <c r="R125" s="125">
        <f t="shared" si="36"/>
        <v>-669.68591421715064</v>
      </c>
      <c r="S125" s="125">
        <f t="shared" si="36"/>
        <v>-706.42121028958445</v>
      </c>
      <c r="T125" s="125">
        <f t="shared" si="36"/>
        <v>-752.99104090847527</v>
      </c>
      <c r="U125" s="125">
        <f t="shared" si="36"/>
        <v>-828.78503001445984</v>
      </c>
      <c r="V125" s="125">
        <f t="shared" si="36"/>
        <v>-770.00435768952673</v>
      </c>
      <c r="W125" s="125">
        <f t="shared" si="36"/>
        <v>-1002.8677332811426</v>
      </c>
      <c r="X125" s="125">
        <f t="shared" si="36"/>
        <v>-1004.5623308977287</v>
      </c>
      <c r="Y125" s="125">
        <f t="shared" si="36"/>
        <v>-1012.3493011782064</v>
      </c>
      <c r="AA125" s="606">
        <f t="shared" si="25"/>
        <v>-11278.505027994015</v>
      </c>
      <c r="AB125" s="607">
        <f t="shared" si="18"/>
        <v>-11278.505027994015</v>
      </c>
    </row>
    <row r="126" spans="1:28" s="10" customFormat="1">
      <c r="A126" s="10" t="s">
        <v>77</v>
      </c>
      <c r="C126" s="129">
        <f>C52</f>
        <v>0.35</v>
      </c>
      <c r="F126" s="125">
        <f>-(F123+F125)*$C$126</f>
        <v>-476.28358367102118</v>
      </c>
      <c r="G126" s="125">
        <f t="shared" ref="G126:Y126" si="37">-(G123+G125)*$C$126</f>
        <v>-569.29146084691638</v>
      </c>
      <c r="H126" s="125">
        <f t="shared" si="37"/>
        <v>-780.16079877786399</v>
      </c>
      <c r="I126" s="125">
        <f t="shared" si="37"/>
        <v>-934.48982590415937</v>
      </c>
      <c r="J126" s="125">
        <f t="shared" si="37"/>
        <v>-1055.1388472111416</v>
      </c>
      <c r="K126" s="125">
        <f t="shared" si="37"/>
        <v>-2615.4330264036762</v>
      </c>
      <c r="L126" s="125">
        <f t="shared" si="37"/>
        <v>-2914.6194157676291</v>
      </c>
      <c r="M126" s="125">
        <f t="shared" si="37"/>
        <v>-2859.9522142016094</v>
      </c>
      <c r="N126" s="125">
        <f t="shared" si="37"/>
        <v>-2187.1763566486215</v>
      </c>
      <c r="O126" s="125">
        <f t="shared" si="37"/>
        <v>-3368.8290257615745</v>
      </c>
      <c r="P126" s="125">
        <f t="shared" si="37"/>
        <v>-3475.6924193760256</v>
      </c>
      <c r="Q126" s="125">
        <f t="shared" si="37"/>
        <v>-3607.0286592853754</v>
      </c>
      <c r="R126" s="125">
        <f t="shared" si="37"/>
        <v>-3672.1110962907092</v>
      </c>
      <c r="S126" s="125">
        <f t="shared" si="37"/>
        <v>-3873.5429697545551</v>
      </c>
      <c r="T126" s="125">
        <f t="shared" si="37"/>
        <v>-4128.9008743148061</v>
      </c>
      <c r="U126" s="125">
        <f t="shared" si="37"/>
        <v>-4544.5045812459548</v>
      </c>
      <c r="V126" s="125">
        <f t="shared" si="37"/>
        <v>-4222.1905613309054</v>
      </c>
      <c r="W126" s="125">
        <f t="shared" si="37"/>
        <v>-5499.0580708249317</v>
      </c>
      <c r="X126" s="125">
        <f t="shared" si="37"/>
        <v>-5508.3501144225456</v>
      </c>
      <c r="Y126" s="125">
        <f t="shared" si="37"/>
        <v>-5551.048668127165</v>
      </c>
      <c r="AA126" s="606">
        <f t="shared" si="25"/>
        <v>-61843.802570167187</v>
      </c>
      <c r="AB126" s="607">
        <f t="shared" si="18"/>
        <v>-61843.802570167187</v>
      </c>
    </row>
    <row r="127" spans="1:28" s="10" customFormat="1">
      <c r="AA127" s="606">
        <f t="shared" si="25"/>
        <v>0</v>
      </c>
      <c r="AB127" s="607">
        <f t="shared" si="18"/>
        <v>0</v>
      </c>
    </row>
    <row r="128" spans="1:28" s="10" customFormat="1">
      <c r="AA128" s="606">
        <f t="shared" si="25"/>
        <v>0</v>
      </c>
      <c r="AB128" s="607">
        <f t="shared" si="18"/>
        <v>0</v>
      </c>
    </row>
    <row r="129" spans="1:28" s="10" customFormat="1">
      <c r="AA129" s="606">
        <f t="shared" si="25"/>
        <v>0</v>
      </c>
      <c r="AB129" s="607">
        <f t="shared" si="18"/>
        <v>0</v>
      </c>
    </row>
    <row r="130" spans="1:28" s="10" customFormat="1">
      <c r="AA130" s="606">
        <f t="shared" si="25"/>
        <v>0</v>
      </c>
      <c r="AB130" s="607">
        <f t="shared" si="18"/>
        <v>0</v>
      </c>
    </row>
    <row r="131" spans="1:28" s="10" customFormat="1">
      <c r="AA131" s="606">
        <f t="shared" si="25"/>
        <v>0</v>
      </c>
      <c r="AB131" s="607">
        <f t="shared" si="18"/>
        <v>0</v>
      </c>
    </row>
    <row r="132" spans="1:28" s="10" customFormat="1">
      <c r="AA132" s="606">
        <f t="shared" si="25"/>
        <v>0</v>
      </c>
      <c r="AB132" s="607">
        <f t="shared" si="18"/>
        <v>0</v>
      </c>
    </row>
    <row r="133" spans="1:28" s="10" customFormat="1">
      <c r="AA133" s="606">
        <f t="shared" si="25"/>
        <v>0</v>
      </c>
      <c r="AB133" s="607">
        <f t="shared" si="18"/>
        <v>0</v>
      </c>
    </row>
    <row r="134" spans="1:28" s="10" customFormat="1" ht="13.5" thickBot="1">
      <c r="A134" s="124" t="s">
        <v>48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5"/>
        <v>40210</v>
      </c>
      <c r="AB134" s="607">
        <f>AA134</f>
        <v>40210</v>
      </c>
    </row>
    <row r="135" spans="1:28" s="10" customFormat="1">
      <c r="AA135" s="606">
        <f t="shared" si="25"/>
        <v>0</v>
      </c>
      <c r="AB135" s="607">
        <f t="shared" ref="AB135:AB151" si="39">AA135</f>
        <v>0</v>
      </c>
    </row>
    <row r="136" spans="1:28" s="10" customFormat="1">
      <c r="A136" s="10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9"/>
        <v>0</v>
      </c>
    </row>
    <row r="137" spans="1:28" s="10" customFormat="1">
      <c r="A137" s="10" t="s">
        <v>78</v>
      </c>
      <c r="F137" s="128">
        <f>SUM(F33:F35)</f>
        <v>78.793408063575001</v>
      </c>
      <c r="G137" s="128">
        <f t="shared" ref="G137:Y137" si="40">SUM(G33:G35)</f>
        <v>137.10971437499998</v>
      </c>
      <c r="H137" s="128">
        <f t="shared" si="40"/>
        <v>135.01839278124999</v>
      </c>
      <c r="I137" s="128">
        <f t="shared" si="40"/>
        <v>132.7368115363281</v>
      </c>
      <c r="J137" s="128">
        <f t="shared" si="40"/>
        <v>130.25676473367184</v>
      </c>
      <c r="K137" s="128">
        <f t="shared" si="40"/>
        <v>276.15547429219913</v>
      </c>
      <c r="L137" s="128">
        <f t="shared" si="40"/>
        <v>276.96734666195448</v>
      </c>
      <c r="M137" s="128">
        <f t="shared" si="40"/>
        <v>277.64721547876496</v>
      </c>
      <c r="N137" s="128">
        <f t="shared" si="40"/>
        <v>278.18797314475233</v>
      </c>
      <c r="O137" s="128">
        <f t="shared" si="40"/>
        <v>278.58223918436477</v>
      </c>
      <c r="P137" s="128">
        <f t="shared" si="40"/>
        <v>285.54679516397391</v>
      </c>
      <c r="Q137" s="128">
        <f t="shared" si="40"/>
        <v>292.68546504307324</v>
      </c>
      <c r="R137" s="128">
        <f t="shared" si="40"/>
        <v>300.00260166915001</v>
      </c>
      <c r="S137" s="128">
        <f t="shared" si="40"/>
        <v>307.50266671087883</v>
      </c>
      <c r="T137" s="128">
        <f t="shared" si="40"/>
        <v>315.19023337865076</v>
      </c>
      <c r="U137" s="128">
        <f t="shared" si="40"/>
        <v>323.06998921311697</v>
      </c>
      <c r="V137" s="128">
        <f t="shared" si="40"/>
        <v>331.14673894344492</v>
      </c>
      <c r="W137" s="128">
        <f t="shared" si="40"/>
        <v>339.42540741703101</v>
      </c>
      <c r="X137" s="128">
        <f t="shared" si="40"/>
        <v>347.91104260245675</v>
      </c>
      <c r="Y137" s="128">
        <f t="shared" si="40"/>
        <v>356.60881866751816</v>
      </c>
      <c r="AA137" s="606">
        <f t="shared" si="25"/>
        <v>5200.5450990611544</v>
      </c>
      <c r="AB137" s="607">
        <f t="shared" si="39"/>
        <v>5200.5450990611544</v>
      </c>
    </row>
    <row r="138" spans="1:28" s="10" customFormat="1">
      <c r="A138" s="10" t="s">
        <v>79</v>
      </c>
      <c r="F138" s="125">
        <f>F136+F137</f>
        <v>78.793408063575001</v>
      </c>
      <c r="G138" s="125">
        <f t="shared" ref="G138:Y138" si="41">G136+G137</f>
        <v>137.10971437499998</v>
      </c>
      <c r="H138" s="125">
        <f t="shared" si="41"/>
        <v>135.01839278124999</v>
      </c>
      <c r="I138" s="125">
        <f t="shared" si="41"/>
        <v>132.7368115363281</v>
      </c>
      <c r="J138" s="125">
        <f t="shared" si="41"/>
        <v>130.25676473367184</v>
      </c>
      <c r="K138" s="125">
        <f t="shared" si="41"/>
        <v>276.15547429219913</v>
      </c>
      <c r="L138" s="125">
        <f t="shared" si="41"/>
        <v>276.96734666195448</v>
      </c>
      <c r="M138" s="125">
        <f t="shared" si="41"/>
        <v>277.64721547876496</v>
      </c>
      <c r="N138" s="125">
        <f t="shared" si="41"/>
        <v>278.18797314475233</v>
      </c>
      <c r="O138" s="125">
        <f t="shared" si="41"/>
        <v>278.58223918436477</v>
      </c>
      <c r="P138" s="125">
        <f t="shared" si="41"/>
        <v>285.54679516397391</v>
      </c>
      <c r="Q138" s="125">
        <f t="shared" si="41"/>
        <v>292.68546504307324</v>
      </c>
      <c r="R138" s="125">
        <f t="shared" si="41"/>
        <v>300.00260166915001</v>
      </c>
      <c r="S138" s="125">
        <f t="shared" si="41"/>
        <v>307.50266671087883</v>
      </c>
      <c r="T138" s="125">
        <f t="shared" si="41"/>
        <v>315.19023337865076</v>
      </c>
      <c r="U138" s="125">
        <f t="shared" si="41"/>
        <v>323.06998921311697</v>
      </c>
      <c r="V138" s="125">
        <f t="shared" si="41"/>
        <v>331.14673894344492</v>
      </c>
      <c r="W138" s="125">
        <f t="shared" si="41"/>
        <v>339.42540741703101</v>
      </c>
      <c r="X138" s="125">
        <f t="shared" si="41"/>
        <v>347.91104260245675</v>
      </c>
      <c r="Y138" s="125">
        <f t="shared" si="41"/>
        <v>356.60881866751816</v>
      </c>
      <c r="AA138" s="606">
        <f t="shared" si="25"/>
        <v>5200.5450990611544</v>
      </c>
      <c r="AB138" s="607">
        <f t="shared" si="39"/>
        <v>5200.5450990611544</v>
      </c>
    </row>
    <row r="139" spans="1:28" s="10" customFormat="1">
      <c r="A139" s="10" t="s">
        <v>80</v>
      </c>
      <c r="C139" s="129">
        <f>C125</f>
        <v>0.06</v>
      </c>
      <c r="F139" s="125">
        <f>F138*$C$139</f>
        <v>4.7276044838144999</v>
      </c>
      <c r="G139" s="125">
        <f t="shared" ref="G139:Y139" si="42">G138*$C$139</f>
        <v>8.226582862499999</v>
      </c>
      <c r="H139" s="125">
        <f t="shared" si="42"/>
        <v>8.1011035668749987</v>
      </c>
      <c r="I139" s="125">
        <f t="shared" si="42"/>
        <v>7.9642086921796862</v>
      </c>
      <c r="J139" s="125">
        <f t="shared" si="42"/>
        <v>7.8154058840203104</v>
      </c>
      <c r="K139" s="125">
        <f t="shared" si="42"/>
        <v>16.569328457531949</v>
      </c>
      <c r="L139" s="125">
        <f t="shared" si="42"/>
        <v>16.618040799717267</v>
      </c>
      <c r="M139" s="125">
        <f t="shared" si="42"/>
        <v>16.658832928725896</v>
      </c>
      <c r="N139" s="125">
        <f t="shared" si="42"/>
        <v>16.691278388685138</v>
      </c>
      <c r="O139" s="125">
        <f t="shared" si="42"/>
        <v>16.714934351061885</v>
      </c>
      <c r="P139" s="125">
        <f t="shared" si="42"/>
        <v>17.132807709838435</v>
      </c>
      <c r="Q139" s="125">
        <f t="shared" si="42"/>
        <v>17.561127902584392</v>
      </c>
      <c r="R139" s="125">
        <f t="shared" si="42"/>
        <v>18.000156100148999</v>
      </c>
      <c r="S139" s="125">
        <f t="shared" si="42"/>
        <v>18.45016000265273</v>
      </c>
      <c r="T139" s="125">
        <f t="shared" si="42"/>
        <v>18.911414002719045</v>
      </c>
      <c r="U139" s="125">
        <f t="shared" si="42"/>
        <v>19.384199352787018</v>
      </c>
      <c r="V139" s="125">
        <f t="shared" si="42"/>
        <v>19.868804336606694</v>
      </c>
      <c r="W139" s="125">
        <f t="shared" si="42"/>
        <v>20.365524445021858</v>
      </c>
      <c r="X139" s="125">
        <f t="shared" si="42"/>
        <v>20.874662556147403</v>
      </c>
      <c r="Y139" s="125">
        <f t="shared" si="42"/>
        <v>21.396529120051088</v>
      </c>
      <c r="AA139" s="606">
        <f t="shared" si="25"/>
        <v>312.03270594366927</v>
      </c>
      <c r="AB139" s="607">
        <f t="shared" si="39"/>
        <v>312.03270594366927</v>
      </c>
    </row>
    <row r="140" spans="1:28" s="10" customFormat="1">
      <c r="A140" s="10" t="s">
        <v>81</v>
      </c>
      <c r="C140" s="129">
        <f>C126</f>
        <v>0.35</v>
      </c>
      <c r="F140" s="128">
        <f>(F138-F139)*$C$140</f>
        <v>25.923031252916171</v>
      </c>
      <c r="G140" s="128">
        <f t="shared" ref="G140:Y140" si="43">(G138-G139)*$C$140</f>
        <v>45.109096029374989</v>
      </c>
      <c r="H140" s="128">
        <f t="shared" si="43"/>
        <v>44.421051225031242</v>
      </c>
      <c r="I140" s="128">
        <f t="shared" si="43"/>
        <v>43.670410995451945</v>
      </c>
      <c r="J140" s="128">
        <f t="shared" si="43"/>
        <v>42.854475597378034</v>
      </c>
      <c r="K140" s="128">
        <f t="shared" si="43"/>
        <v>90.855151042133514</v>
      </c>
      <c r="L140" s="128">
        <f t="shared" si="43"/>
        <v>91.122257051783009</v>
      </c>
      <c r="M140" s="128">
        <f t="shared" si="43"/>
        <v>91.345933892513671</v>
      </c>
      <c r="N140" s="128">
        <f t="shared" si="43"/>
        <v>91.523843164623514</v>
      </c>
      <c r="O140" s="128">
        <f t="shared" si="43"/>
        <v>91.653556691656007</v>
      </c>
      <c r="P140" s="128">
        <f t="shared" si="43"/>
        <v>93.944895608947405</v>
      </c>
      <c r="Q140" s="128">
        <f t="shared" si="43"/>
        <v>96.293517999171087</v>
      </c>
      <c r="R140" s="128">
        <f t="shared" si="43"/>
        <v>98.700855949150338</v>
      </c>
      <c r="S140" s="128">
        <f t="shared" si="43"/>
        <v>101.16837734787912</v>
      </c>
      <c r="T140" s="128">
        <f t="shared" si="43"/>
        <v>103.69758678157611</v>
      </c>
      <c r="U140" s="128">
        <f t="shared" si="43"/>
        <v>106.29002645111548</v>
      </c>
      <c r="V140" s="128">
        <f t="shared" si="43"/>
        <v>108.94727711239338</v>
      </c>
      <c r="W140" s="128">
        <f t="shared" si="43"/>
        <v>111.6709590402032</v>
      </c>
      <c r="X140" s="128">
        <f t="shared" si="43"/>
        <v>114.46273301620825</v>
      </c>
      <c r="Y140" s="128">
        <f t="shared" si="43"/>
        <v>117.32430134161348</v>
      </c>
      <c r="AA140" s="606">
        <f t="shared" si="25"/>
        <v>1710.9793375911195</v>
      </c>
      <c r="AB140" s="607">
        <f t="shared" si="39"/>
        <v>1710.9793375911195</v>
      </c>
    </row>
    <row r="141" spans="1:28" s="10" customFormat="1">
      <c r="A141" s="10" t="s">
        <v>82</v>
      </c>
      <c r="F141" s="125">
        <f>F138-F139-F140</f>
        <v>48.142772326844323</v>
      </c>
      <c r="G141" s="125">
        <f t="shared" ref="G141:Y141" si="44">G138-G139-G140</f>
        <v>83.774035483124976</v>
      </c>
      <c r="H141" s="125">
        <f t="shared" si="44"/>
        <v>82.49623798934374</v>
      </c>
      <c r="I141" s="125">
        <f t="shared" si="44"/>
        <v>81.102191848696478</v>
      </c>
      <c r="J141" s="125">
        <f t="shared" si="44"/>
        <v>79.586883252273509</v>
      </c>
      <c r="K141" s="125">
        <f t="shared" si="44"/>
        <v>168.73099479253369</v>
      </c>
      <c r="L141" s="125">
        <f t="shared" si="44"/>
        <v>169.22704881045419</v>
      </c>
      <c r="M141" s="125">
        <f t="shared" si="44"/>
        <v>169.64244865752542</v>
      </c>
      <c r="N141" s="125">
        <f t="shared" si="44"/>
        <v>169.97285159144369</v>
      </c>
      <c r="O141" s="125">
        <f t="shared" si="44"/>
        <v>170.2137481416469</v>
      </c>
      <c r="P141" s="125">
        <f t="shared" si="44"/>
        <v>174.46909184518805</v>
      </c>
      <c r="Q141" s="125">
        <f t="shared" si="44"/>
        <v>178.83081914131773</v>
      </c>
      <c r="R141" s="125">
        <f t="shared" si="44"/>
        <v>183.30158961985066</v>
      </c>
      <c r="S141" s="125">
        <f t="shared" si="44"/>
        <v>187.88412936034695</v>
      </c>
      <c r="T141" s="125">
        <f t="shared" si="44"/>
        <v>192.58123259435564</v>
      </c>
      <c r="U141" s="125">
        <f t="shared" si="44"/>
        <v>197.39576340921451</v>
      </c>
      <c r="V141" s="125">
        <f t="shared" si="44"/>
        <v>202.33065749444486</v>
      </c>
      <c r="W141" s="125">
        <f t="shared" si="44"/>
        <v>207.38892393180598</v>
      </c>
      <c r="X141" s="125">
        <f t="shared" si="44"/>
        <v>212.57364703010109</v>
      </c>
      <c r="Y141" s="125">
        <f t="shared" si="44"/>
        <v>217.88798820585362</v>
      </c>
      <c r="AA141" s="606">
        <f t="shared" si="25"/>
        <v>3177.5330555263663</v>
      </c>
      <c r="AB141" s="607">
        <f t="shared" si="39"/>
        <v>3177.5330555263663</v>
      </c>
    </row>
    <row r="142" spans="1:28" s="10" customFormat="1">
      <c r="AA142" s="606">
        <f t="shared" si="25"/>
        <v>0</v>
      </c>
      <c r="AB142" s="607">
        <f t="shared" si="39"/>
        <v>0</v>
      </c>
    </row>
    <row r="143" spans="1:28" s="10" customFormat="1">
      <c r="A143" s="127" t="str">
        <f>A76</f>
        <v>Net Income to FPLE</v>
      </c>
      <c r="F143" s="130">
        <f>F76</f>
        <v>884.70953073126952</v>
      </c>
      <c r="G143" s="130">
        <f t="shared" ref="G143:Y143" si="45">G76</f>
        <v>3006.9985332945103</v>
      </c>
      <c r="H143" s="130">
        <f t="shared" si="45"/>
        <v>2987.0392217083891</v>
      </c>
      <c r="I143" s="130">
        <f t="shared" si="45"/>
        <v>2903.2338554022735</v>
      </c>
      <c r="J143" s="130">
        <f t="shared" si="45"/>
        <v>2793.9215485286422</v>
      </c>
      <c r="K143" s="130">
        <f t="shared" si="45"/>
        <v>5391.5734409439829</v>
      </c>
      <c r="L143" s="130">
        <f t="shared" si="45"/>
        <v>5805.0823765044061</v>
      </c>
      <c r="M143" s="130">
        <f t="shared" si="45"/>
        <v>5703.5575735960847</v>
      </c>
      <c r="N143" s="130">
        <f t="shared" si="45"/>
        <v>4454.1166952833928</v>
      </c>
      <c r="O143" s="130">
        <f t="shared" si="45"/>
        <v>6648.6145093503046</v>
      </c>
      <c r="P143" s="130">
        <f t="shared" si="45"/>
        <v>6847.0750974914299</v>
      </c>
      <c r="Q143" s="130">
        <f t="shared" si="45"/>
        <v>7090.9852573230801</v>
      </c>
      <c r="R143" s="130">
        <f t="shared" si="45"/>
        <v>7211.8526403329852</v>
      </c>
      <c r="S143" s="130">
        <f t="shared" si="45"/>
        <v>7585.9404053372691</v>
      </c>
      <c r="T143" s="130">
        <f t="shared" si="45"/>
        <v>8060.1765138063083</v>
      </c>
      <c r="U143" s="130">
        <f t="shared" si="45"/>
        <v>7552.9055959247507</v>
      </c>
      <c r="V143" s="130">
        <f t="shared" si="45"/>
        <v>5675.2160424716812</v>
      </c>
      <c r="W143" s="130">
        <f t="shared" si="45"/>
        <v>8046.5414172463015</v>
      </c>
      <c r="X143" s="130">
        <f t="shared" si="45"/>
        <v>8063.7980696418699</v>
      </c>
      <c r="Y143" s="130">
        <f t="shared" si="45"/>
        <v>8143.0953836647359</v>
      </c>
      <c r="AA143" s="606">
        <f t="shared" si="25"/>
        <v>114856.43370858367</v>
      </c>
      <c r="AB143" s="607">
        <f t="shared" si="39"/>
        <v>114856.43370858367</v>
      </c>
    </row>
    <row r="144" spans="1:28" s="10" customFormat="1">
      <c r="A144" s="124" t="s">
        <v>91</v>
      </c>
      <c r="F144" s="123">
        <f>F141+F143</f>
        <v>932.85230305811388</v>
      </c>
      <c r="G144" s="123">
        <f t="shared" ref="G144:Y144" si="46">G141+G143</f>
        <v>3090.7725687776351</v>
      </c>
      <c r="H144" s="123">
        <f t="shared" si="46"/>
        <v>3069.5354596977327</v>
      </c>
      <c r="I144" s="123">
        <f t="shared" si="46"/>
        <v>2984.3360472509698</v>
      </c>
      <c r="J144" s="123">
        <f t="shared" si="46"/>
        <v>2873.5084317809155</v>
      </c>
      <c r="K144" s="123">
        <f t="shared" si="46"/>
        <v>5560.3044357365161</v>
      </c>
      <c r="L144" s="123">
        <f t="shared" si="46"/>
        <v>5974.3094253148602</v>
      </c>
      <c r="M144" s="123">
        <f t="shared" si="46"/>
        <v>5873.2000222536099</v>
      </c>
      <c r="N144" s="123">
        <f t="shared" si="46"/>
        <v>4624.0895468748367</v>
      </c>
      <c r="O144" s="123">
        <f t="shared" si="46"/>
        <v>6818.8282574919513</v>
      </c>
      <c r="P144" s="123">
        <f t="shared" si="46"/>
        <v>7021.5441893366178</v>
      </c>
      <c r="Q144" s="123">
        <f t="shared" si="46"/>
        <v>7269.8160764643981</v>
      </c>
      <c r="R144" s="123">
        <f t="shared" si="46"/>
        <v>7395.1542299528355</v>
      </c>
      <c r="S144" s="123">
        <f t="shared" si="46"/>
        <v>7773.8245346976164</v>
      </c>
      <c r="T144" s="123">
        <f t="shared" si="46"/>
        <v>8252.7577464006645</v>
      </c>
      <c r="U144" s="123">
        <f t="shared" si="46"/>
        <v>7750.3013593339656</v>
      </c>
      <c r="V144" s="123">
        <f t="shared" si="46"/>
        <v>5877.5466999661257</v>
      </c>
      <c r="W144" s="123">
        <f t="shared" si="46"/>
        <v>8253.9303411781075</v>
      </c>
      <c r="X144" s="123">
        <f t="shared" si="46"/>
        <v>8276.3717166719707</v>
      </c>
      <c r="Y144" s="123">
        <f t="shared" si="46"/>
        <v>8360.9833718705886</v>
      </c>
      <c r="AA144" s="606">
        <f t="shared" si="25"/>
        <v>118033.96676411002</v>
      </c>
      <c r="AB144" s="607">
        <f t="shared" si="39"/>
        <v>118033.96676411002</v>
      </c>
    </row>
    <row r="145" spans="1:28" s="10" customFormat="1">
      <c r="AA145" s="606">
        <f t="shared" si="25"/>
        <v>0</v>
      </c>
      <c r="AB145" s="607">
        <f t="shared" si="39"/>
        <v>0</v>
      </c>
    </row>
    <row r="146" spans="1:28" s="10" customFormat="1">
      <c r="AA146" s="606">
        <f t="shared" si="25"/>
        <v>0</v>
      </c>
      <c r="AB146" s="607">
        <f t="shared" si="39"/>
        <v>0</v>
      </c>
    </row>
    <row r="147" spans="1:28" s="10" customFormat="1">
      <c r="AA147" s="606">
        <f t="shared" si="25"/>
        <v>0</v>
      </c>
      <c r="AB147" s="607">
        <f t="shared" si="39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9"/>
        <v>0</v>
      </c>
    </row>
    <row r="149" spans="1:28" s="105" customFormat="1">
      <c r="A149" s="259" t="s">
        <v>135</v>
      </c>
      <c r="F149" s="165">
        <f>+F137*(1-($C$139+$C$140*(1-$C$139)))</f>
        <v>48.142772326844323</v>
      </c>
      <c r="G149" s="165">
        <f t="shared" ref="G149:Y149" si="47">+G137*(1-($C$139+$C$140*(1-$C$139)))</f>
        <v>83.77403548312499</v>
      </c>
      <c r="H149" s="165">
        <f t="shared" si="47"/>
        <v>82.49623798934374</v>
      </c>
      <c r="I149" s="165">
        <f t="shared" si="47"/>
        <v>81.102191848696464</v>
      </c>
      <c r="J149" s="165">
        <f t="shared" si="47"/>
        <v>79.586883252273495</v>
      </c>
      <c r="K149" s="165">
        <f t="shared" si="47"/>
        <v>168.73099479253366</v>
      </c>
      <c r="L149" s="165">
        <f t="shared" si="47"/>
        <v>169.22704881045419</v>
      </c>
      <c r="M149" s="165">
        <f t="shared" si="47"/>
        <v>169.64244865752539</v>
      </c>
      <c r="N149" s="165">
        <f t="shared" si="47"/>
        <v>169.97285159144369</v>
      </c>
      <c r="O149" s="165">
        <f t="shared" si="47"/>
        <v>170.21374814164687</v>
      </c>
      <c r="P149" s="165">
        <f t="shared" si="47"/>
        <v>174.46909184518805</v>
      </c>
      <c r="Q149" s="165">
        <f t="shared" si="47"/>
        <v>178.83081914131773</v>
      </c>
      <c r="R149" s="165">
        <f t="shared" si="47"/>
        <v>183.30158961985066</v>
      </c>
      <c r="S149" s="165">
        <f t="shared" si="47"/>
        <v>187.88412936034695</v>
      </c>
      <c r="T149" s="165">
        <f t="shared" si="47"/>
        <v>192.58123259435561</v>
      </c>
      <c r="U149" s="165">
        <f t="shared" si="47"/>
        <v>197.39576340921445</v>
      </c>
      <c r="V149" s="165">
        <f t="shared" si="47"/>
        <v>202.33065749444484</v>
      </c>
      <c r="W149" s="165">
        <f t="shared" si="47"/>
        <v>207.38892393180595</v>
      </c>
      <c r="X149" s="165">
        <f t="shared" si="47"/>
        <v>212.57364703010106</v>
      </c>
      <c r="Y149" s="165">
        <f t="shared" si="47"/>
        <v>217.88798820585359</v>
      </c>
      <c r="AA149" s="606">
        <f t="shared" si="25"/>
        <v>3177.5330555263663</v>
      </c>
      <c r="AB149" s="607">
        <f t="shared" si="39"/>
        <v>3177.5330555263663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9"/>
        <v>0</v>
      </c>
    </row>
    <row r="151" spans="1:28" s="105" customFormat="1">
      <c r="F151" s="260">
        <f>+F149+F150</f>
        <v>48.142772326844323</v>
      </c>
      <c r="G151" s="260">
        <f t="shared" ref="G151:Y151" si="48">+G149+G150</f>
        <v>83.77403548312499</v>
      </c>
      <c r="H151" s="260">
        <f t="shared" si="48"/>
        <v>82.49623798934374</v>
      </c>
      <c r="I151" s="260">
        <f t="shared" si="48"/>
        <v>81.102191848696464</v>
      </c>
      <c r="J151" s="260">
        <f t="shared" si="48"/>
        <v>79.586883252273495</v>
      </c>
      <c r="K151" s="260">
        <f t="shared" si="48"/>
        <v>168.73099479253366</v>
      </c>
      <c r="L151" s="260">
        <f t="shared" si="48"/>
        <v>169.22704881045419</v>
      </c>
      <c r="M151" s="260">
        <f t="shared" si="48"/>
        <v>169.64244865752539</v>
      </c>
      <c r="N151" s="260">
        <f t="shared" si="48"/>
        <v>169.97285159144369</v>
      </c>
      <c r="O151" s="260">
        <f t="shared" si="48"/>
        <v>170.21374814164687</v>
      </c>
      <c r="P151" s="260">
        <f t="shared" si="48"/>
        <v>174.46909184518805</v>
      </c>
      <c r="Q151" s="260">
        <f t="shared" si="48"/>
        <v>178.83081914131773</v>
      </c>
      <c r="R151" s="260">
        <f t="shared" si="48"/>
        <v>183.30158961985066</v>
      </c>
      <c r="S151" s="260">
        <f t="shared" si="48"/>
        <v>187.88412936034695</v>
      </c>
      <c r="T151" s="260">
        <f t="shared" si="48"/>
        <v>192.58123259435561</v>
      </c>
      <c r="U151" s="260">
        <f t="shared" si="48"/>
        <v>197.39576340921445</v>
      </c>
      <c r="V151" s="260">
        <f t="shared" si="48"/>
        <v>202.33065749444484</v>
      </c>
      <c r="W151" s="260">
        <f t="shared" si="48"/>
        <v>207.38892393180595</v>
      </c>
      <c r="X151" s="260">
        <f t="shared" si="48"/>
        <v>212.57364703010106</v>
      </c>
      <c r="Y151" s="260">
        <f t="shared" si="48"/>
        <v>217.88798820585359</v>
      </c>
      <c r="AA151" s="606">
        <f t="shared" si="25"/>
        <v>3177.5330555263663</v>
      </c>
      <c r="AB151" s="607">
        <f t="shared" si="39"/>
        <v>3177.5330555263663</v>
      </c>
    </row>
    <row r="152" spans="1:28" s="10" customFormat="1"/>
    <row r="153" spans="1:28" s="10" customFormat="1"/>
    <row r="154" spans="1:28" s="10" customFormat="1" ht="13.5" thickBot="1">
      <c r="A154" s="10" t="s">
        <v>57</v>
      </c>
      <c r="C154" s="125">
        <f>NPV(C155,F151:Y151)</f>
        <v>1132.9668747339574</v>
      </c>
    </row>
    <row r="155" spans="1:28" s="10" customFormat="1" ht="13.5" thickBot="1">
      <c r="A155" s="10" t="s">
        <v>59</v>
      </c>
      <c r="C155" s="146">
        <f>+C95</f>
        <v>0.1</v>
      </c>
    </row>
    <row r="156" spans="1:28" s="10" customFormat="1"/>
    <row r="157" spans="1:28" s="10" customFormat="1" ht="13.5" thickBot="1"/>
    <row r="158" spans="1:28" s="10" customFormat="1">
      <c r="A158" s="112" t="s">
        <v>83</v>
      </c>
      <c r="B158" s="132"/>
      <c r="C158" s="132"/>
      <c r="D158" s="133"/>
    </row>
    <row r="159" spans="1:28" s="10" customFormat="1">
      <c r="A159" s="134" t="s">
        <v>84</v>
      </c>
      <c r="B159" s="135"/>
      <c r="C159" s="135"/>
      <c r="D159" s="136">
        <f>-E91*C76</f>
        <v>78784.428999535536</v>
      </c>
    </row>
    <row r="160" spans="1:28" s="10" customFormat="1">
      <c r="A160" s="134" t="s">
        <v>85</v>
      </c>
      <c r="B160" s="135"/>
      <c r="C160" s="135"/>
      <c r="D160" s="154">
        <v>0</v>
      </c>
      <c r="F160" s="138">
        <f>SUM(F150:Y150)-D160</f>
        <v>0</v>
      </c>
    </row>
    <row r="161" spans="1:25" s="10" customFormat="1">
      <c r="A161" s="134" t="s">
        <v>86</v>
      </c>
      <c r="B161" s="135"/>
      <c r="C161" s="135"/>
      <c r="D161" s="139">
        <f>C154-D160</f>
        <v>1132.9668747339574</v>
      </c>
    </row>
    <row r="162" spans="1:25" s="10" customFormat="1" ht="13.5" thickBot="1">
      <c r="A162" s="140" t="s">
        <v>87</v>
      </c>
      <c r="B162" s="109"/>
      <c r="C162" s="109"/>
      <c r="D162" s="158">
        <f>SUM(D159:D161)</f>
        <v>79917.395874269496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B165"/>
  <sheetViews>
    <sheetView zoomScale="75" zoomScaleNormal="75" workbookViewId="0"/>
  </sheetViews>
  <sheetFormatPr defaultRowHeight="12.75"/>
  <cols>
    <col min="1" max="1" width="30.7109375" style="105" customWidth="1"/>
    <col min="2" max="2" width="3.7109375" style="105" customWidth="1"/>
    <col min="3" max="28" width="10.7109375" style="105" customWidth="1"/>
    <col min="29" max="16384" width="9.140625" style="105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273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ROUND([3]REVENUE!F$187/1000,0)</f>
        <v>15467</v>
      </c>
      <c r="F10" s="90">
        <f>ROUND([3]REVENUE!G$187/1000,0)</f>
        <v>15485</v>
      </c>
      <c r="G10" s="90">
        <f>ROUND([3]REVENUE!H$187/1000,0)</f>
        <v>15485</v>
      </c>
      <c r="H10" s="90">
        <f>ROUND([3]REVENUE!I$187/1000,0)</f>
        <v>15485</v>
      </c>
      <c r="I10" s="90">
        <f>ROUND([3]REVENUE!J$187/1000,0)</f>
        <v>15485</v>
      </c>
      <c r="J10" s="90">
        <f>ROUND([3]REVENUE!K$187/1000,0)</f>
        <v>15465</v>
      </c>
      <c r="K10" s="90">
        <f>ROUND([3]REVENUE!L$187/1000,0)</f>
        <v>15485</v>
      </c>
      <c r="L10" s="90">
        <f>ROUND([3]REVENUE!M$187/1000,0)</f>
        <v>15485</v>
      </c>
      <c r="M10" s="90">
        <f>ROUND([3]REVENUE!N$187/1000,0)</f>
        <v>15485</v>
      </c>
      <c r="N10" s="90">
        <f>ROUND([3]REVENUE!O$187/1000,0)</f>
        <v>15485</v>
      </c>
      <c r="O10" s="90">
        <f>ROUND([3]REVENUE!P$187/1000,0)</f>
        <v>15485</v>
      </c>
      <c r="P10" s="90">
        <f>ROUND([3]REVENUE!Q$187/1000,0)</f>
        <v>15485</v>
      </c>
      <c r="Q10" s="90">
        <f>ROUND([3]REVENUE!R$187/1000,0)</f>
        <v>15465</v>
      </c>
      <c r="R10" s="90">
        <f>ROUND([3]REVENUE!S$187/1000,0)</f>
        <v>15485</v>
      </c>
      <c r="S10" s="90">
        <f>ROUND([3]REVENUE!T$187/1000,0)</f>
        <v>15485</v>
      </c>
      <c r="T10" s="90">
        <f>ROUND([3]REVENUE!U$187/1000,0)</f>
        <v>15485</v>
      </c>
      <c r="U10" s="90">
        <f>ROUND([3]REVENUE!V$187/1000,0)</f>
        <v>15485</v>
      </c>
      <c r="V10" s="90">
        <f>ROUND([3]REVENUE!W$187/1000,0)</f>
        <v>15485</v>
      </c>
      <c r="W10" s="90">
        <f>ROUND([3]REVENUE!X$187/1000,0)</f>
        <v>15485</v>
      </c>
      <c r="X10" s="90">
        <f>ROUND([3]REVENUE!Y$187/1000,0)</f>
        <v>15465</v>
      </c>
      <c r="Y10" s="90">
        <f>ROUND([3]REVENUE!Z$187/1000,0)</f>
        <v>15485</v>
      </c>
      <c r="Z10" s="22"/>
      <c r="AA10" s="606">
        <f t="shared" ref="AA10:AA38" si="1">SUM(F10:Y10)</f>
        <v>309640</v>
      </c>
      <c r="AB10" s="607">
        <f>AA10*$C$60</f>
        <v>154820</v>
      </c>
    </row>
    <row r="11" spans="1:28">
      <c r="A11" s="4" t="s">
        <v>9</v>
      </c>
      <c r="B11" s="12"/>
      <c r="C11" s="12"/>
      <c r="D11" s="141"/>
      <c r="E11" s="90">
        <f>ROUND([3]REVENUE!F$183/1000,0)</f>
        <v>5522</v>
      </c>
      <c r="F11" s="90">
        <f>ROUND([3]REVENUE!G$183/1000,0)</f>
        <v>5718</v>
      </c>
      <c r="G11" s="90">
        <f>ROUND([3]REVENUE!H$183/1000,0)</f>
        <v>5850</v>
      </c>
      <c r="H11" s="90">
        <f>ROUND([3]REVENUE!I$183/1000,0)</f>
        <v>5983</v>
      </c>
      <c r="I11" s="90">
        <f>ROUND([3]REVENUE!J$183/1000,0)</f>
        <v>6118</v>
      </c>
      <c r="J11" s="90">
        <f>ROUND([3]REVENUE!K$183/1000,0)</f>
        <v>6482</v>
      </c>
      <c r="K11" s="90">
        <f>ROUND([3]REVENUE!L$183/1000,0)</f>
        <v>6827</v>
      </c>
      <c r="L11" s="90">
        <f>ROUND([3]REVENUE!M$183/1000,0)</f>
        <v>7383</v>
      </c>
      <c r="M11" s="90">
        <f>ROUND([3]REVENUE!N$183/1000,0)</f>
        <v>7230</v>
      </c>
      <c r="N11" s="90">
        <f>ROUND([3]REVENUE!O$183/1000,0)</f>
        <v>7290</v>
      </c>
      <c r="O11" s="90">
        <f>ROUND([3]REVENUE!P$183/1000,0)</f>
        <v>7491</v>
      </c>
      <c r="P11" s="90">
        <f>ROUND([3]REVENUE!Q$183/1000,0)</f>
        <v>7645</v>
      </c>
      <c r="Q11" s="90">
        <f>ROUND([3]REVENUE!R$183/1000,0)</f>
        <v>7709</v>
      </c>
      <c r="R11" s="90">
        <f>ROUND([3]REVENUE!S$183/1000,0)</f>
        <v>7963</v>
      </c>
      <c r="S11" s="90">
        <f>ROUND([3]REVENUE!T$183/1000,0)</f>
        <v>8128</v>
      </c>
      <c r="T11" s="90">
        <f>ROUND([3]REVENUE!U$183/1000,0)</f>
        <v>8295</v>
      </c>
      <c r="U11" s="90">
        <f>ROUND([3]REVENUE!V$183/1000,0)</f>
        <v>8466</v>
      </c>
      <c r="V11" s="90">
        <f>ROUND([3]REVENUE!W$183/1000,0)</f>
        <v>8641</v>
      </c>
      <c r="W11" s="90">
        <f>ROUND([3]REVENUE!X$183/1000,0)</f>
        <v>8820</v>
      </c>
      <c r="X11" s="90">
        <f>ROUND([3]REVENUE!Y$183/1000,0)</f>
        <v>8894</v>
      </c>
      <c r="Y11" s="90">
        <f>ROUND([3]REVENUE!Z$183/1000,0)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93</v>
      </c>
      <c r="B12" s="12"/>
      <c r="C12" s="12"/>
      <c r="D12" s="141"/>
      <c r="E12" s="90">
        <f>ROUND([3]REVENUE!F$193/1000,0)</f>
        <v>1300</v>
      </c>
      <c r="F12" s="90">
        <f>ROUND([3]REVENUE!G$193/1000,0)</f>
        <v>701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ROUND('[3]GAAP FINANCIALS'!F$35/1000,0)</f>
        <v>144</v>
      </c>
      <c r="F19" s="91">
        <f>ROUND('[3]GAAP FINANCIALS'!G$35/1000,0)</f>
        <v>314</v>
      </c>
      <c r="G19" s="91">
        <f>ROUND('[3]GAAP FINANCIALS'!H$35/1000,0)</f>
        <v>315</v>
      </c>
      <c r="H19" s="91">
        <f>ROUND('[3]GAAP FINANCIALS'!I$35/1000,0)</f>
        <v>317</v>
      </c>
      <c r="I19" s="91">
        <f>ROUND('[3]GAAP FINANCIALS'!J$35/1000,0)</f>
        <v>316</v>
      </c>
      <c r="J19" s="91">
        <f>ROUND('[3]GAAP FINANCIALS'!K$35/1000,0)</f>
        <v>313</v>
      </c>
      <c r="K19" s="91">
        <f>ROUND('[3]GAAP FINANCIALS'!L$35/1000,0)</f>
        <v>325</v>
      </c>
      <c r="L19" s="91">
        <f>ROUND('[3]GAAP FINANCIALS'!M$35/1000,0)</f>
        <v>331</v>
      </c>
      <c r="M19" s="91">
        <f>ROUND('[3]GAAP FINANCIALS'!N$35/1000,0)</f>
        <v>328</v>
      </c>
      <c r="N19" s="91">
        <f>ROUND('[3]GAAP FINANCIALS'!O$35/1000,0)</f>
        <v>326</v>
      </c>
      <c r="O19" s="91">
        <f>ROUND('[3]GAAP FINANCIALS'!P$35/1000,0)</f>
        <v>326</v>
      </c>
      <c r="P19" s="91">
        <f>ROUND('[3]GAAP FINANCIALS'!Q$35/1000,0)</f>
        <v>325</v>
      </c>
      <c r="Q19" s="91">
        <f>ROUND('[3]GAAP FINANCIALS'!R$35/1000,0)</f>
        <v>323</v>
      </c>
      <c r="R19" s="91">
        <f>ROUND('[3]GAAP FINANCIALS'!S$35/1000,0)</f>
        <v>321</v>
      </c>
      <c r="S19" s="91">
        <f>ROUND('[3]GAAP FINANCIALS'!T$35/1000,0)</f>
        <v>318</v>
      </c>
      <c r="T19" s="91">
        <f>ROUND('[3]GAAP FINANCIALS'!U$35/1000,0)</f>
        <v>315</v>
      </c>
      <c r="U19" s="91">
        <f>ROUND('[3]GAAP FINANCIALS'!V$35/1000,0)</f>
        <v>309</v>
      </c>
      <c r="V19" s="91">
        <f>ROUND('[3]GAAP FINANCIALS'!W$35/1000,0)</f>
        <v>303</v>
      </c>
      <c r="W19" s="91">
        <f>ROUND('[3]GAAP FINANCIALS'!X$35/1000,0)</f>
        <v>297</v>
      </c>
      <c r="X19" s="91">
        <f>ROUND('[3]GAAP FINANCIALS'!Y$35/1000,0)</f>
        <v>303</v>
      </c>
      <c r="Y19" s="91">
        <f>ROUND('[3]GAAP FINANCIALS'!Z$35/1000,0)</f>
        <v>305</v>
      </c>
      <c r="Z19" s="22"/>
      <c r="AA19" s="606">
        <f t="shared" si="1"/>
        <v>6330</v>
      </c>
      <c r="AB19" s="607">
        <f t="shared" si="2"/>
        <v>3165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22433</v>
      </c>
      <c r="F20" s="90">
        <f t="shared" si="3"/>
        <v>22218</v>
      </c>
      <c r="G20" s="90">
        <f t="shared" si="3"/>
        <v>21650</v>
      </c>
      <c r="H20" s="90">
        <f t="shared" si="3"/>
        <v>21785</v>
      </c>
      <c r="I20" s="90">
        <f t="shared" si="3"/>
        <v>21919</v>
      </c>
      <c r="J20" s="90">
        <f t="shared" si="3"/>
        <v>22260</v>
      </c>
      <c r="K20" s="90">
        <f t="shared" si="3"/>
        <v>22637</v>
      </c>
      <c r="L20" s="90">
        <f t="shared" si="3"/>
        <v>23199</v>
      </c>
      <c r="M20" s="90">
        <f t="shared" si="3"/>
        <v>23043</v>
      </c>
      <c r="N20" s="90">
        <f t="shared" si="3"/>
        <v>23101</v>
      </c>
      <c r="O20" s="90">
        <f t="shared" si="3"/>
        <v>23302</v>
      </c>
      <c r="P20" s="90">
        <f t="shared" si="3"/>
        <v>23455</v>
      </c>
      <c r="Q20" s="90">
        <f t="shared" si="3"/>
        <v>23497</v>
      </c>
      <c r="R20" s="90">
        <f t="shared" si="3"/>
        <v>23769</v>
      </c>
      <c r="S20" s="90">
        <f t="shared" si="3"/>
        <v>23931</v>
      </c>
      <c r="T20" s="90">
        <f t="shared" si="3"/>
        <v>24095</v>
      </c>
      <c r="U20" s="90">
        <f t="shared" si="3"/>
        <v>24260</v>
      </c>
      <c r="V20" s="90">
        <f t="shared" si="3"/>
        <v>24429</v>
      </c>
      <c r="W20" s="90">
        <f t="shared" si="3"/>
        <v>24602</v>
      </c>
      <c r="X20" s="90">
        <f t="shared" si="3"/>
        <v>24662</v>
      </c>
      <c r="Y20" s="90">
        <f t="shared" si="3"/>
        <v>24979</v>
      </c>
      <c r="Z20" s="22"/>
      <c r="AA20" s="606">
        <f t="shared" si="1"/>
        <v>466793</v>
      </c>
      <c r="AB20" s="607">
        <f t="shared" si="2"/>
        <v>233396.5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7"/>
      <c r="B22" s="7"/>
      <c r="C22" s="7"/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8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141"/>
      <c r="E24" s="90">
        <f>ROUND('[3]GAAP FINANCIALS'!F$14/1000,0)</f>
        <v>1727</v>
      </c>
      <c r="F24" s="90">
        <f>ROUND('[3]GAAP FINANCIALS'!G$14/1000,0)</f>
        <v>1990</v>
      </c>
      <c r="G24" s="90">
        <f>ROUND('[3]GAAP FINANCIALS'!H$14/1000,0)</f>
        <v>2234</v>
      </c>
      <c r="H24" s="90">
        <f>ROUND('[3]GAAP FINANCIALS'!I$14/1000,0)</f>
        <v>2377</v>
      </c>
      <c r="I24" s="90">
        <f>ROUND('[3]GAAP FINANCIALS'!J$14/1000,0)</f>
        <v>2394</v>
      </c>
      <c r="J24" s="90">
        <f>ROUND('[3]GAAP FINANCIALS'!K$14/1000,0)</f>
        <v>2163</v>
      </c>
      <c r="K24" s="90">
        <f>ROUND('[3]GAAP FINANCIALS'!L$14/1000,0)</f>
        <v>2333</v>
      </c>
      <c r="L24" s="90">
        <f>ROUND('[3]GAAP FINANCIALS'!M$14/1000,0)</f>
        <v>2545</v>
      </c>
      <c r="M24" s="90">
        <f>ROUND('[3]GAAP FINANCIALS'!N$14/1000,0)</f>
        <v>2539</v>
      </c>
      <c r="N24" s="90">
        <f>ROUND('[3]GAAP FINANCIALS'!O$14/1000,0)</f>
        <v>2545</v>
      </c>
      <c r="O24" s="90">
        <f>ROUND('[3]GAAP FINANCIALS'!P$14/1000,0)</f>
        <v>2651</v>
      </c>
      <c r="P24" s="90">
        <f>ROUND('[3]GAAP FINANCIALS'!Q$14/1000,0)</f>
        <v>2751</v>
      </c>
      <c r="Q24" s="90">
        <f>ROUND('[3]GAAP FINANCIALS'!R$14/1000,0)</f>
        <v>2798</v>
      </c>
      <c r="R24" s="90">
        <f>ROUND('[3]GAAP FINANCIALS'!S$14/1000,0)</f>
        <v>2862</v>
      </c>
      <c r="S24" s="90">
        <f>ROUND('[3]GAAP FINANCIALS'!T$14/1000,0)</f>
        <v>2933</v>
      </c>
      <c r="T24" s="90">
        <f>ROUND('[3]GAAP FINANCIALS'!U$14/1000,0)</f>
        <v>3003</v>
      </c>
      <c r="U24" s="90">
        <f>ROUND('[3]GAAP FINANCIALS'!V$14/1000,0)</f>
        <v>3021</v>
      </c>
      <c r="V24" s="90">
        <f>ROUND('[3]GAAP FINANCIALS'!W$14/1000,0)</f>
        <v>3033</v>
      </c>
      <c r="W24" s="90">
        <f>ROUND('[3]GAAP FINANCIALS'!X$14/1000,0)</f>
        <v>3062</v>
      </c>
      <c r="X24" s="90">
        <f>ROUND('[3]GAAP FINANCIALS'!Y$14/1000,0)</f>
        <v>3080</v>
      </c>
      <c r="Y24" s="90">
        <f>ROUND('[3]GAAP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141"/>
      <c r="E25" s="90">
        <f>ROUND('[3]GAAP FINANCIALS'!F$13/1000,0)</f>
        <v>3813</v>
      </c>
      <c r="F25" s="90">
        <f>ROUND('[3]GAAP FINANCIALS'!G$13/1000,0)</f>
        <v>3344</v>
      </c>
      <c r="G25" s="90">
        <f>ROUND('[3]GAAP FINANCIALS'!H$13/1000,0)</f>
        <v>3258</v>
      </c>
      <c r="H25" s="90">
        <f>ROUND('[3]GAAP FINANCIALS'!I$13/1000,0)</f>
        <v>3336</v>
      </c>
      <c r="I25" s="90">
        <f>ROUND('[3]GAAP FINANCIALS'!J$13/1000,0)</f>
        <v>3413</v>
      </c>
      <c r="J25" s="90">
        <f>ROUND('[3]GAAP FINANCIALS'!K$13/1000,0)</f>
        <v>3495</v>
      </c>
      <c r="K25" s="90">
        <f>ROUND('[3]GAAP FINANCIALS'!L$13/1000,0)</f>
        <v>3579</v>
      </c>
      <c r="L25" s="90">
        <f>ROUND('[3]GAAP FINANCIALS'!M$13/1000,0)</f>
        <v>3664</v>
      </c>
      <c r="M25" s="90">
        <f>ROUND('[3]GAAP FINANCIALS'!N$13/1000,0)</f>
        <v>3752</v>
      </c>
      <c r="N25" s="90">
        <f>ROUND('[3]GAAP FINANCIALS'!O$13/1000,0)</f>
        <v>3842</v>
      </c>
      <c r="O25" s="90">
        <f>ROUND('[3]GAAP FINANCIALS'!P$13/1000,0)</f>
        <v>3935</v>
      </c>
      <c r="P25" s="90">
        <f>ROUND('[3]GAAP FINANCIALS'!Q$13/1000,0)</f>
        <v>4029</v>
      </c>
      <c r="Q25" s="90">
        <f>ROUND('[3]GAAP FINANCIALS'!R$13/1000,0)</f>
        <v>4126</v>
      </c>
      <c r="R25" s="90">
        <f>ROUND('[3]GAAP FINANCIALS'!S$13/1000,0)</f>
        <v>4225</v>
      </c>
      <c r="S25" s="90">
        <f>ROUND('[3]GAAP FINANCIALS'!T$13/1000,0)</f>
        <v>4326</v>
      </c>
      <c r="T25" s="90">
        <f>ROUND('[3]GAAP FINANCIALS'!U$13/1000,0)</f>
        <v>4434</v>
      </c>
      <c r="U25" s="90">
        <f>ROUND('[3]GAAP FINANCIALS'!V$13/1000,0)</f>
        <v>4545</v>
      </c>
      <c r="V25" s="90">
        <f>ROUND('[3]GAAP FINANCIALS'!W$13/1000,0)</f>
        <v>4659</v>
      </c>
      <c r="W25" s="90">
        <f>ROUND('[3]GAAP FINANCIALS'!X$13/1000,0)</f>
        <v>4775</v>
      </c>
      <c r="X25" s="90">
        <f>ROUND('[3]GAAP FINANCIALS'!Y$13/1000,0)</f>
        <v>4895</v>
      </c>
      <c r="Y25" s="90">
        <f>ROUND('[3]GAAP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141"/>
      <c r="E27" s="90">
        <f>ROUND('[3]GAAP FINANCIALS'!F$20/1000,0)</f>
        <v>0</v>
      </c>
      <c r="F27" s="90">
        <f>ROUND('[3]GAAP FINANCIALS'!G$20/1000,0)</f>
        <v>0</v>
      </c>
      <c r="G27" s="90">
        <f>ROUND('[3]GAAP FINANCIALS'!H$20/1000,0)</f>
        <v>0</v>
      </c>
      <c r="H27" s="90">
        <f>ROUND('[3]GAAP FINANCIALS'!I$20/1000,0)</f>
        <v>0</v>
      </c>
      <c r="I27" s="90">
        <f>ROUND('[3]GAAP FINANCIALS'!J$20/1000,0)</f>
        <v>0</v>
      </c>
      <c r="J27" s="90">
        <f>ROUND('[3]GAAP FINANCIALS'!K$20/1000,0)</f>
        <v>121</v>
      </c>
      <c r="K27" s="90">
        <f>ROUND('[3]GAAP FINANCIALS'!L$20/1000,0)</f>
        <v>121</v>
      </c>
      <c r="L27" s="90">
        <f>ROUND('[3]GAAP FINANCIALS'!M$20/1000,0)</f>
        <v>121</v>
      </c>
      <c r="M27" s="90">
        <f>ROUND('[3]GAAP FINANCIALS'!N$20/1000,0)</f>
        <v>121</v>
      </c>
      <c r="N27" s="90">
        <f>ROUND('[3]GAAP FINANCIALS'!O$20/1000,0)</f>
        <v>121</v>
      </c>
      <c r="O27" s="90">
        <f>ROUND('[3]GAAP FINANCIALS'!P$20/1000,0)</f>
        <v>121</v>
      </c>
      <c r="P27" s="90">
        <f>ROUND('[3]GAAP FINANCIALS'!Q$20/1000,0)</f>
        <v>121</v>
      </c>
      <c r="Q27" s="90">
        <f>ROUND('[3]GAAP FINANCIALS'!R$20/1000,0)</f>
        <v>121</v>
      </c>
      <c r="R27" s="90">
        <f>ROUND('[3]GAAP FINANCIALS'!S$20/1000,0)</f>
        <v>121</v>
      </c>
      <c r="S27" s="90">
        <f>ROUND('[3]GAAP FINANCIALS'!T$20/1000,0)</f>
        <v>121</v>
      </c>
      <c r="T27" s="90">
        <f>ROUND('[3]GAAP FINANCIALS'!U$20/1000,0)</f>
        <v>121</v>
      </c>
      <c r="U27" s="90">
        <f>ROUND('[3]GAAP FINANCIALS'!V$20/1000,0)</f>
        <v>121</v>
      </c>
      <c r="V27" s="90">
        <f>ROUND('[3]GAAP FINANCIALS'!W$20/1000,0)</f>
        <v>121</v>
      </c>
      <c r="W27" s="90">
        <f>ROUND('[3]GAAP FINANCIALS'!X$20/1000,0)</f>
        <v>121</v>
      </c>
      <c r="X27" s="90">
        <f>ROUND('[3]GAAP FINANCIALS'!Y$20/1000,0)</f>
        <v>121</v>
      </c>
      <c r="Y27" s="90">
        <f>ROUND('[3]GAAP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141"/>
      <c r="E28" s="90">
        <f>ROUND('[3]GAAP FINANCIALS'!F$16/1000,0)</f>
        <v>288</v>
      </c>
      <c r="F28" s="90">
        <f>ROUND('[3]GAAP FINANCIALS'!G$16/1000,0)</f>
        <v>294</v>
      </c>
      <c r="G28" s="90">
        <f>ROUND('[3]GAAP FINANCIALS'!H$16/1000,0)</f>
        <v>301</v>
      </c>
      <c r="H28" s="90">
        <f>ROUND('[3]GAAP FINANCIALS'!I$16/1000,0)</f>
        <v>308</v>
      </c>
      <c r="I28" s="90">
        <f>ROUND('[3]GAAP FINANCIALS'!J$16/1000,0)</f>
        <v>315</v>
      </c>
      <c r="J28" s="90">
        <f>ROUND('[3]GAAP FINANCIALS'!K$16/1000,0)</f>
        <v>323</v>
      </c>
      <c r="K28" s="90">
        <f>ROUND('[3]GAAP FINANCIALS'!L$16/1000,0)</f>
        <v>331</v>
      </c>
      <c r="L28" s="90">
        <f>ROUND('[3]GAAP FINANCIALS'!M$16/1000,0)</f>
        <v>339</v>
      </c>
      <c r="M28" s="90">
        <f>ROUND('[3]GAAP FINANCIALS'!N$16/1000,0)</f>
        <v>347</v>
      </c>
      <c r="N28" s="90">
        <f>ROUND('[3]GAAP FINANCIALS'!O$16/1000,0)</f>
        <v>355</v>
      </c>
      <c r="O28" s="90">
        <f>ROUND('[3]GAAP FINANCIALS'!P$16/1000,0)</f>
        <v>364</v>
      </c>
      <c r="P28" s="90">
        <f>ROUND('[3]GAAP FINANCIALS'!Q$16/1000,0)</f>
        <v>372</v>
      </c>
      <c r="Q28" s="90">
        <f>ROUND('[3]GAAP FINANCIALS'!R$16/1000,0)</f>
        <v>381</v>
      </c>
      <c r="R28" s="90">
        <f>ROUND('[3]GAAP FINANCIALS'!S$16/1000,0)</f>
        <v>390</v>
      </c>
      <c r="S28" s="90">
        <f>ROUND('[3]GAAP FINANCIALS'!T$16/1000,0)</f>
        <v>400</v>
      </c>
      <c r="T28" s="90">
        <f>ROUND('[3]GAAP FINANCIALS'!U$16/1000,0)</f>
        <v>410</v>
      </c>
      <c r="U28" s="90">
        <f>ROUND('[3]GAAP FINANCIALS'!V$16/1000,0)</f>
        <v>420</v>
      </c>
      <c r="V28" s="90">
        <f>ROUND('[3]GAAP FINANCIALS'!W$16/1000,0)</f>
        <v>430</v>
      </c>
      <c r="W28" s="90">
        <f>ROUND('[3]GAAP FINANCIALS'!X$16/1000,0)</f>
        <v>441</v>
      </c>
      <c r="X28" s="90">
        <f>ROUND('[3]GAAP FINANCIALS'!Y$16/1000,0)</f>
        <v>452</v>
      </c>
      <c r="Y28" s="90">
        <f>ROUND('[3]GAAP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141"/>
      <c r="E29" s="90">
        <f>ROUND(('[3]GAAP FINANCIALS'!F$18+'[3]GAAP FINANCIALS'!F$19+'[3]GAAP FINANCIALS'!F$21+'[3]GAAP FINANCIALS'!F$24+'[3]GAAP FINANCIALS'!F$22)/1000,0)</f>
        <v>481</v>
      </c>
      <c r="F29" s="90">
        <f>ROUND(('[3]GAAP FINANCIALS'!G$18+'[3]GAAP FINANCIALS'!G$19+'[3]GAAP FINANCIALS'!G$21+'[3]GAAP FINANCIALS'!G$24+'[3]GAAP FINANCIALS'!G$22)/1000,0)</f>
        <v>492</v>
      </c>
      <c r="G29" s="90">
        <f>ROUND(('[3]GAAP FINANCIALS'!H$18+'[3]GAAP FINANCIALS'!H$19+'[3]GAAP FINANCIALS'!H$21+'[3]GAAP FINANCIALS'!H$24+'[3]GAAP FINANCIALS'!H$22)/1000,0)</f>
        <v>504</v>
      </c>
      <c r="H29" s="90">
        <f>ROUND(('[3]GAAP FINANCIALS'!I$18+'[3]GAAP FINANCIALS'!I$19+'[3]GAAP FINANCIALS'!I$21+'[3]GAAP FINANCIALS'!I$24+'[3]GAAP FINANCIALS'!I$22)/1000,0)</f>
        <v>516</v>
      </c>
      <c r="I29" s="90">
        <f>ROUND(('[3]GAAP FINANCIALS'!J$18+'[3]GAAP FINANCIALS'!J$19+'[3]GAAP FINANCIALS'!J$21+'[3]GAAP FINANCIALS'!J$24+'[3]GAAP FINANCIALS'!J$22)/1000,0)</f>
        <v>528</v>
      </c>
      <c r="J29" s="90">
        <f>ROUND(('[3]GAAP FINANCIALS'!K$18+'[3]GAAP FINANCIALS'!K$19+'[3]GAAP FINANCIALS'!K$21+'[3]GAAP FINANCIALS'!K$24+'[3]GAAP FINANCIALS'!K$22)/1000,0)</f>
        <v>540</v>
      </c>
      <c r="K29" s="90">
        <f>ROUND(('[3]GAAP FINANCIALS'!L$18+'[3]GAAP FINANCIALS'!L$19+'[3]GAAP FINANCIALS'!L$21+'[3]GAAP FINANCIALS'!L$24+'[3]GAAP FINANCIALS'!L$22)/1000,0)</f>
        <v>553</v>
      </c>
      <c r="L29" s="90">
        <f>ROUND(('[3]GAAP FINANCIALS'!M$18+'[3]GAAP FINANCIALS'!M$19+'[3]GAAP FINANCIALS'!M$21+'[3]GAAP FINANCIALS'!M$24+'[3]GAAP FINANCIALS'!M$22)/1000,0)</f>
        <v>566</v>
      </c>
      <c r="M29" s="90">
        <f>ROUND(('[3]GAAP FINANCIALS'!N$18+'[3]GAAP FINANCIALS'!N$19+'[3]GAAP FINANCIALS'!N$21+'[3]GAAP FINANCIALS'!N$24+'[3]GAAP FINANCIALS'!N$22)/1000,0)</f>
        <v>580</v>
      </c>
      <c r="N29" s="90">
        <f>ROUND(('[3]GAAP FINANCIALS'!O$18+'[3]GAAP FINANCIALS'!O$19+'[3]GAAP FINANCIALS'!O$21+'[3]GAAP FINANCIALS'!O$24+'[3]GAAP FINANCIALS'!O$22)/1000,0)</f>
        <v>594</v>
      </c>
      <c r="O29" s="90">
        <f>ROUND(('[3]GAAP FINANCIALS'!P$18+'[3]GAAP FINANCIALS'!P$19+'[3]GAAP FINANCIALS'!P$21+'[3]GAAP FINANCIALS'!P$24+'[3]GAAP FINANCIALS'!P$22)/1000,0)</f>
        <v>608</v>
      </c>
      <c r="P29" s="90">
        <f>ROUND(('[3]GAAP FINANCIALS'!Q$18+'[3]GAAP FINANCIALS'!Q$19+'[3]GAAP FINANCIALS'!Q$21+'[3]GAAP FINANCIALS'!Q$24+'[3]GAAP FINANCIALS'!Q$22)/1000,0)</f>
        <v>623</v>
      </c>
      <c r="Q29" s="90">
        <f>ROUND(('[3]GAAP FINANCIALS'!R$18+'[3]GAAP FINANCIALS'!R$19+'[3]GAAP FINANCIALS'!R$21+'[3]GAAP FINANCIALS'!R$24+'[3]GAAP FINANCIALS'!R$22)/1000,0)</f>
        <v>638</v>
      </c>
      <c r="R29" s="90">
        <f>ROUND(('[3]GAAP FINANCIALS'!S$18+'[3]GAAP FINANCIALS'!S$19+'[3]GAAP FINANCIALS'!S$21+'[3]GAAP FINANCIALS'!S$24+'[3]GAAP FINANCIALS'!S$22)/1000,0)</f>
        <v>653</v>
      </c>
      <c r="S29" s="90">
        <f>ROUND(('[3]GAAP FINANCIALS'!T$18+'[3]GAAP FINANCIALS'!T$19+'[3]GAAP FINANCIALS'!T$21+'[3]GAAP FINANCIALS'!T$24+'[3]GAAP FINANCIALS'!T$22)/1000,0)</f>
        <v>669</v>
      </c>
      <c r="T29" s="90">
        <f>ROUND(('[3]GAAP FINANCIALS'!U$18+'[3]GAAP FINANCIALS'!U$19+'[3]GAAP FINANCIALS'!U$21+'[3]GAAP FINANCIALS'!U$24+'[3]GAAP FINANCIALS'!U$22)/1000,0)</f>
        <v>685</v>
      </c>
      <c r="U29" s="90">
        <f>ROUND(('[3]GAAP FINANCIALS'!V$18+'[3]GAAP FINANCIALS'!V$19+'[3]GAAP FINANCIALS'!V$21+'[3]GAAP FINANCIALS'!V$24+'[3]GAAP FINANCIALS'!V$22)/1000,0)</f>
        <v>703</v>
      </c>
      <c r="V29" s="90">
        <f>ROUND(('[3]GAAP FINANCIALS'!W$18+'[3]GAAP FINANCIALS'!W$19+'[3]GAAP FINANCIALS'!W$21+'[3]GAAP FINANCIALS'!W$24+'[3]GAAP FINANCIALS'!W$22)/1000,0)</f>
        <v>720</v>
      </c>
      <c r="W29" s="90">
        <f>ROUND(('[3]GAAP FINANCIALS'!X$18+'[3]GAAP FINANCIALS'!X$19+'[3]GAAP FINANCIALS'!X$21+'[3]GAAP FINANCIALS'!X$24+'[3]GAAP FINANCIALS'!X$22)/1000,0)</f>
        <v>738</v>
      </c>
      <c r="X29" s="90">
        <f>ROUND(('[3]GAAP FINANCIALS'!Y$18+'[3]GAAP FINANCIALS'!Y$19+'[3]GAAP FINANCIALS'!Y$21+'[3]GAAP FINANCIALS'!Y$24+'[3]GAAP FINANCIALS'!Y$22)/1000,0)</f>
        <v>757</v>
      </c>
      <c r="Y29" s="90">
        <f>ROUND(('[3]GAAP FINANCIALS'!Z$18+'[3]GAAP FINANCIALS'!Z$19+'[3]GAAP FINANCIALS'!Z$21+'[3]GAAP FINANCIALS'!Z$24+'[3]GAAP FINANCIALS'!Z$22)/1000,0)</f>
        <v>776</v>
      </c>
      <c r="Z29" s="8"/>
      <c r="AA29" s="606">
        <f t="shared" si="1"/>
        <v>12443</v>
      </c>
      <c r="AB29" s="607">
        <f t="shared" si="2"/>
        <v>6221.5</v>
      </c>
    </row>
    <row r="30" spans="1:28">
      <c r="A30" s="4" t="s">
        <v>36</v>
      </c>
      <c r="B30" s="7"/>
      <c r="C30" s="7"/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141"/>
      <c r="E31" s="90">
        <f>ROUND('[3]GAAP FINANCIALS'!F$17/1000,0)</f>
        <v>112</v>
      </c>
      <c r="F31" s="90">
        <f>ROUND('[3]GAAP FINANCIALS'!G$17/1000,0)</f>
        <v>114</v>
      </c>
      <c r="G31" s="90">
        <f>ROUND('[3]GAAP FINANCIALS'!H$17/1000,0)</f>
        <v>117</v>
      </c>
      <c r="H31" s="90">
        <f>ROUND('[3]GAAP FINANCIALS'!I$17/1000,0)</f>
        <v>120</v>
      </c>
      <c r="I31" s="90">
        <f>ROUND('[3]GAAP FINANCIALS'!J$17/1000,0)</f>
        <v>123</v>
      </c>
      <c r="J31" s="90">
        <f>ROUND('[3]GAAP FINANCIALS'!K$17/1000,0)</f>
        <v>126</v>
      </c>
      <c r="K31" s="90">
        <f>ROUND('[3]GAAP FINANCIALS'!L$17/1000,0)</f>
        <v>129</v>
      </c>
      <c r="L31" s="90">
        <f>ROUND('[3]GAAP FINANCIALS'!M$17/1000,0)</f>
        <v>132</v>
      </c>
      <c r="M31" s="90">
        <f>ROUND('[3]GAAP FINANCIALS'!N$17/1000,0)</f>
        <v>135</v>
      </c>
      <c r="N31" s="90">
        <f>ROUND('[3]GAAP FINANCIALS'!O$17/1000,0)</f>
        <v>138</v>
      </c>
      <c r="O31" s="90">
        <f>ROUND('[3]GAAP FINANCIALS'!P$17/1000,0)</f>
        <v>142</v>
      </c>
      <c r="P31" s="90">
        <f>ROUND('[3]GAAP FINANCIALS'!Q$17/1000,0)</f>
        <v>145</v>
      </c>
      <c r="Q31" s="90">
        <f>ROUND('[3]GAAP FINANCIALS'!R$17/1000,0)</f>
        <v>148</v>
      </c>
      <c r="R31" s="90">
        <f>ROUND('[3]GAAP FINANCIALS'!S$17/1000,0)</f>
        <v>152</v>
      </c>
      <c r="S31" s="90">
        <f>ROUND('[3]GAAP FINANCIALS'!T$17/1000,0)</f>
        <v>156</v>
      </c>
      <c r="T31" s="90">
        <f>ROUND('[3]GAAP FINANCIALS'!U$17/1000,0)</f>
        <v>160</v>
      </c>
      <c r="U31" s="90">
        <f>ROUND('[3]GAAP FINANCIALS'!V$17/1000,0)</f>
        <v>164</v>
      </c>
      <c r="V31" s="90">
        <f>ROUND('[3]GAAP FINANCIALS'!W$17/1000,0)</f>
        <v>168</v>
      </c>
      <c r="W31" s="90">
        <f>ROUND('[3]GAAP FINANCIALS'!X$17/1000,0)</f>
        <v>172</v>
      </c>
      <c r="X31" s="90">
        <f>ROUND('[3]GAAP FINANCIALS'!Y$17/1000,0)</f>
        <v>176</v>
      </c>
      <c r="Y31" s="90">
        <f>ROUND('[3]GAAP FINANCIALS'!Z$17/1000,0)</f>
        <v>181</v>
      </c>
      <c r="Z31" s="8"/>
      <c r="AA31" s="606">
        <f t="shared" si="1"/>
        <v>2898</v>
      </c>
      <c r="AB31" s="607">
        <f t="shared" si="2"/>
        <v>1449</v>
      </c>
    </row>
    <row r="32" spans="1:28">
      <c r="A32" s="4" t="s">
        <v>38</v>
      </c>
      <c r="B32" s="7"/>
      <c r="C32" s="7"/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141"/>
      <c r="E34" s="90">
        <f>ROUND('[3]GAAP FINANCIALS'!F$25/1000,0)</f>
        <v>1471</v>
      </c>
      <c r="F34" s="90">
        <f>ROUND('[3]GAAP FINANCIALS'!G$25/1000,0)</f>
        <v>1477</v>
      </c>
      <c r="G34" s="90">
        <f>ROUND('[3]GAAP FINANCIALS'!H$25/1000,0)</f>
        <v>1483</v>
      </c>
      <c r="H34" s="90">
        <f>ROUND('[3]GAAP FINANCIALS'!I$25/1000,0)</f>
        <v>1490</v>
      </c>
      <c r="I34" s="90">
        <f>ROUND('[3]GAAP FINANCIALS'!J$25/1000,0)</f>
        <v>1497</v>
      </c>
      <c r="J34" s="90">
        <f>ROUND('[3]GAAP FINANCIALS'!K$25/1000,0)</f>
        <v>1533</v>
      </c>
      <c r="K34" s="90">
        <f>ROUND('[3]GAAP FINANCIALS'!L$25/1000,0)</f>
        <v>1570</v>
      </c>
      <c r="L34" s="90">
        <f>ROUND('[3]GAAP FINANCIALS'!M$25/1000,0)</f>
        <v>1607</v>
      </c>
      <c r="M34" s="90">
        <f>ROUND('[3]GAAP FINANCIALS'!N$25/1000,0)</f>
        <v>1646</v>
      </c>
      <c r="N34" s="90">
        <f>ROUND('[3]GAAP FINANCIALS'!O$25/1000,0)</f>
        <v>1685</v>
      </c>
      <c r="O34" s="90">
        <f>ROUND('[3]GAAP FINANCIALS'!P$25/1000,0)</f>
        <v>1726</v>
      </c>
      <c r="P34" s="90">
        <f>ROUND('[3]GAAP FINANCIALS'!Q$25/1000,0)</f>
        <v>1767</v>
      </c>
      <c r="Q34" s="90">
        <f>ROUND('[3]GAAP FINANCIALS'!R$25/1000,0)</f>
        <v>1810</v>
      </c>
      <c r="R34" s="90">
        <f>ROUND('[3]GAAP FINANCIALS'!S$25/1000,0)</f>
        <v>1853</v>
      </c>
      <c r="S34" s="90">
        <f>ROUND('[3]GAAP FINANCIALS'!T$25/1000,0)</f>
        <v>1898</v>
      </c>
      <c r="T34" s="90">
        <f>ROUND('[3]GAAP FINANCIALS'!U$25/1000,0)</f>
        <v>1945</v>
      </c>
      <c r="U34" s="90">
        <f>ROUND('[3]GAAP FINANCIALS'!V$25/1000,0)</f>
        <v>1994</v>
      </c>
      <c r="V34" s="90">
        <f>ROUND('[3]GAAP FINANCIALS'!W$25/1000,0)</f>
        <v>2043</v>
      </c>
      <c r="W34" s="90">
        <f>ROUND('[3]GAAP FINANCIALS'!X$25/1000,0)</f>
        <v>2094</v>
      </c>
      <c r="X34" s="90">
        <f>ROUND('[3]GAAP FINANCIALS'!Y$25/1000,0)</f>
        <v>2147</v>
      </c>
      <c r="Y34" s="90">
        <f>ROUND('[3]GAAP FINANCIALS'!Z$25/1000,0)</f>
        <v>2201</v>
      </c>
      <c r="Z34" s="8"/>
      <c r="AA34" s="606">
        <f t="shared" si="1"/>
        <v>35466</v>
      </c>
      <c r="AB34" s="607">
        <f t="shared" si="2"/>
        <v>17733</v>
      </c>
    </row>
    <row r="35" spans="1:28">
      <c r="A35" s="4" t="s">
        <v>21</v>
      </c>
      <c r="B35" s="8"/>
      <c r="C35" s="8"/>
      <c r="D35" s="142"/>
      <c r="E35" s="142">
        <v>0</v>
      </c>
      <c r="F35" s="142">
        <v>0</v>
      </c>
      <c r="G35" s="142">
        <v>0</v>
      </c>
      <c r="H35" s="142">
        <v>0</v>
      </c>
      <c r="I35" s="142">
        <v>0</v>
      </c>
      <c r="J35" s="142">
        <v>0</v>
      </c>
      <c r="K35" s="142">
        <v>0</v>
      </c>
      <c r="L35" s="142">
        <v>0</v>
      </c>
      <c r="M35" s="142">
        <v>0</v>
      </c>
      <c r="N35" s="142">
        <v>0</v>
      </c>
      <c r="O35" s="142">
        <v>0</v>
      </c>
      <c r="P35" s="142">
        <v>0</v>
      </c>
      <c r="Q35" s="142">
        <v>0</v>
      </c>
      <c r="R35" s="142">
        <v>0</v>
      </c>
      <c r="S35" s="142">
        <v>0</v>
      </c>
      <c r="T35" s="142">
        <v>0</v>
      </c>
      <c r="U35" s="142">
        <v>0</v>
      </c>
      <c r="V35" s="142">
        <v>0</v>
      </c>
      <c r="W35" s="142">
        <v>0</v>
      </c>
      <c r="X35" s="142">
        <v>0</v>
      </c>
      <c r="Y35" s="142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7892</v>
      </c>
      <c r="F36" s="90">
        <f t="shared" si="4"/>
        <v>7711</v>
      </c>
      <c r="G36" s="55">
        <f t="shared" si="4"/>
        <v>7897</v>
      </c>
      <c r="H36" s="90">
        <f t="shared" si="4"/>
        <v>8147</v>
      </c>
      <c r="I36" s="90">
        <f t="shared" si="4"/>
        <v>8270</v>
      </c>
      <c r="J36" s="90">
        <f t="shared" si="4"/>
        <v>8301</v>
      </c>
      <c r="K36" s="90">
        <f t="shared" si="4"/>
        <v>8616</v>
      </c>
      <c r="L36" s="90">
        <f t="shared" si="4"/>
        <v>8974</v>
      </c>
      <c r="M36" s="90">
        <f t="shared" si="4"/>
        <v>9120</v>
      </c>
      <c r="N36" s="90">
        <f t="shared" si="4"/>
        <v>9280</v>
      </c>
      <c r="O36" s="90">
        <f t="shared" si="4"/>
        <v>9547</v>
      </c>
      <c r="P36" s="90">
        <f t="shared" si="4"/>
        <v>9808</v>
      </c>
      <c r="Q36" s="90">
        <f t="shared" si="4"/>
        <v>10022</v>
      </c>
      <c r="R36" s="90">
        <f t="shared" si="4"/>
        <v>10256</v>
      </c>
      <c r="S36" s="90">
        <f t="shared" si="4"/>
        <v>10503</v>
      </c>
      <c r="T36" s="90">
        <f t="shared" si="4"/>
        <v>10758</v>
      </c>
      <c r="U36" s="90">
        <f t="shared" si="4"/>
        <v>10968</v>
      </c>
      <c r="V36" s="90">
        <f t="shared" si="4"/>
        <v>11174</v>
      </c>
      <c r="W36" s="90">
        <f t="shared" si="4"/>
        <v>11403</v>
      </c>
      <c r="X36" s="90">
        <f t="shared" si="4"/>
        <v>11628</v>
      </c>
      <c r="Y36" s="90">
        <f t="shared" si="4"/>
        <v>11731</v>
      </c>
      <c r="Z36" s="8"/>
      <c r="AA36" s="606">
        <f t="shared" si="1"/>
        <v>194114</v>
      </c>
      <c r="AB36" s="607">
        <f t="shared" si="2"/>
        <v>97057</v>
      </c>
    </row>
    <row r="37" spans="1:28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8"/>
      <c r="AA37" s="606">
        <f t="shared" si="1"/>
        <v>0</v>
      </c>
      <c r="AB37" s="607">
        <f t="shared" si="2"/>
        <v>0</v>
      </c>
    </row>
    <row r="38" spans="1:28">
      <c r="A38" s="4"/>
      <c r="B38" s="7"/>
      <c r="C38" s="7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8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14541</v>
      </c>
      <c r="F39" s="93">
        <f t="shared" si="5"/>
        <v>14507</v>
      </c>
      <c r="G39" s="94">
        <f t="shared" si="5"/>
        <v>13753</v>
      </c>
      <c r="H39" s="93">
        <f t="shared" si="5"/>
        <v>13638</v>
      </c>
      <c r="I39" s="93">
        <f t="shared" si="5"/>
        <v>13649</v>
      </c>
      <c r="J39" s="93">
        <f t="shared" si="5"/>
        <v>13959</v>
      </c>
      <c r="K39" s="93">
        <f t="shared" si="5"/>
        <v>14021</v>
      </c>
      <c r="L39" s="93">
        <f t="shared" si="5"/>
        <v>14225</v>
      </c>
      <c r="M39" s="93">
        <f t="shared" si="5"/>
        <v>13923</v>
      </c>
      <c r="N39" s="93">
        <f t="shared" si="5"/>
        <v>13821</v>
      </c>
      <c r="O39" s="93">
        <f t="shared" si="5"/>
        <v>13755</v>
      </c>
      <c r="P39" s="93">
        <f t="shared" si="5"/>
        <v>13647</v>
      </c>
      <c r="Q39" s="93">
        <f t="shared" si="5"/>
        <v>13475</v>
      </c>
      <c r="R39" s="93">
        <f t="shared" si="5"/>
        <v>13513</v>
      </c>
      <c r="S39" s="93">
        <f t="shared" si="5"/>
        <v>13428</v>
      </c>
      <c r="T39" s="93">
        <f t="shared" si="5"/>
        <v>13337</v>
      </c>
      <c r="U39" s="93">
        <f t="shared" si="5"/>
        <v>13292</v>
      </c>
      <c r="V39" s="93">
        <f t="shared" si="5"/>
        <v>13255</v>
      </c>
      <c r="W39" s="93">
        <f t="shared" si="5"/>
        <v>13199</v>
      </c>
      <c r="X39" s="93">
        <f t="shared" si="5"/>
        <v>13034</v>
      </c>
      <c r="Y39" s="93">
        <f t="shared" si="5"/>
        <v>13248</v>
      </c>
      <c r="Z39" s="21"/>
      <c r="AA39" s="606">
        <f>SUM(F39:Y39)</f>
        <v>272679</v>
      </c>
      <c r="AB39" s="607">
        <f t="shared" si="2"/>
        <v>136339.5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141"/>
      <c r="E41" s="90"/>
      <c r="F41" s="90">
        <f t="shared" ref="F41:Y41" si="7">F108</f>
        <v>6315</v>
      </c>
      <c r="G41" s="90">
        <f t="shared" si="7"/>
        <v>6315</v>
      </c>
      <c r="H41" s="90">
        <f t="shared" si="7"/>
        <v>6315</v>
      </c>
      <c r="I41" s="90">
        <f t="shared" si="7"/>
        <v>6315</v>
      </c>
      <c r="J41" s="90">
        <f t="shared" si="7"/>
        <v>6315</v>
      </c>
      <c r="K41" s="90">
        <f t="shared" si="7"/>
        <v>6315</v>
      </c>
      <c r="L41" s="90">
        <f t="shared" si="7"/>
        <v>6315</v>
      </c>
      <c r="M41" s="90">
        <f t="shared" si="7"/>
        <v>6315</v>
      </c>
      <c r="N41" s="90">
        <f t="shared" si="7"/>
        <v>6315</v>
      </c>
      <c r="O41" s="90">
        <f t="shared" si="7"/>
        <v>6315</v>
      </c>
      <c r="P41" s="90">
        <f t="shared" si="7"/>
        <v>6315</v>
      </c>
      <c r="Q41" s="90">
        <f t="shared" si="7"/>
        <v>6315</v>
      </c>
      <c r="R41" s="90">
        <f t="shared" si="7"/>
        <v>6315</v>
      </c>
      <c r="S41" s="90">
        <f t="shared" si="7"/>
        <v>6315</v>
      </c>
      <c r="T41" s="90">
        <f t="shared" si="7"/>
        <v>6315</v>
      </c>
      <c r="U41" s="90">
        <f t="shared" si="7"/>
        <v>6315</v>
      </c>
      <c r="V41" s="90">
        <f t="shared" si="7"/>
        <v>6315</v>
      </c>
      <c r="W41" s="90">
        <f t="shared" si="7"/>
        <v>6315</v>
      </c>
      <c r="X41" s="90">
        <f t="shared" si="7"/>
        <v>6315</v>
      </c>
      <c r="Y41" s="90">
        <f t="shared" si="7"/>
        <v>6315</v>
      </c>
      <c r="Z41" s="8"/>
      <c r="AA41" s="606">
        <f t="shared" si="6"/>
        <v>126300</v>
      </c>
      <c r="AB41" s="607">
        <f t="shared" si="2"/>
        <v>63150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8192</v>
      </c>
      <c r="G44" s="93">
        <f t="shared" si="8"/>
        <v>7438</v>
      </c>
      <c r="H44" s="93">
        <f t="shared" si="8"/>
        <v>7323</v>
      </c>
      <c r="I44" s="93">
        <f t="shared" si="8"/>
        <v>7334</v>
      </c>
      <c r="J44" s="93">
        <f t="shared" si="8"/>
        <v>7644</v>
      </c>
      <c r="K44" s="93">
        <f t="shared" si="8"/>
        <v>7706</v>
      </c>
      <c r="L44" s="93">
        <f t="shared" si="8"/>
        <v>7910</v>
      </c>
      <c r="M44" s="93">
        <f t="shared" si="8"/>
        <v>7608</v>
      </c>
      <c r="N44" s="93">
        <f t="shared" si="8"/>
        <v>7506</v>
      </c>
      <c r="O44" s="93">
        <f t="shared" si="8"/>
        <v>7440</v>
      </c>
      <c r="P44" s="93">
        <f t="shared" si="8"/>
        <v>7332</v>
      </c>
      <c r="Q44" s="93">
        <f t="shared" si="8"/>
        <v>7160</v>
      </c>
      <c r="R44" s="93">
        <f t="shared" si="8"/>
        <v>7198</v>
      </c>
      <c r="S44" s="93">
        <f t="shared" si="8"/>
        <v>7113</v>
      </c>
      <c r="T44" s="93">
        <f t="shared" si="8"/>
        <v>7022</v>
      </c>
      <c r="U44" s="93">
        <f t="shared" si="8"/>
        <v>6977</v>
      </c>
      <c r="V44" s="93">
        <f t="shared" si="8"/>
        <v>6940</v>
      </c>
      <c r="W44" s="93">
        <f t="shared" si="8"/>
        <v>6884</v>
      </c>
      <c r="X44" s="93">
        <f t="shared" si="8"/>
        <v>6719</v>
      </c>
      <c r="Y44" s="93">
        <f t="shared" si="8"/>
        <v>6933</v>
      </c>
      <c r="Z44" s="21"/>
      <c r="AA44" s="606">
        <f t="shared" si="6"/>
        <v>146379</v>
      </c>
      <c r="AB44" s="607">
        <f t="shared" si="2"/>
        <v>73189.5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-ROUND(('[3]GAAP FINANCIALS'!G$31+'[3]GAAP FINANCIALS'!G$32)/1000,0)</f>
        <v>5094</v>
      </c>
      <c r="G46" s="29">
        <f>-ROUND(('[3]GAAP FINANCIALS'!H$31+'[3]GAAP FINANCIALS'!H$32)/1000,0)</f>
        <v>4949</v>
      </c>
      <c r="H46" s="29">
        <f>-ROUND(('[3]GAAP FINANCIALS'!I$31+'[3]GAAP FINANCIALS'!I$32)/1000,0)</f>
        <v>4804</v>
      </c>
      <c r="I46" s="29">
        <f>-ROUND(('[3]GAAP FINANCIALS'!J$31+'[3]GAAP FINANCIALS'!J$32)/1000,0)</f>
        <v>4638</v>
      </c>
      <c r="J46" s="29">
        <f>-ROUND(('[3]GAAP FINANCIALS'!K$31+'[3]GAAP FINANCIALS'!K$32)/1000,0)</f>
        <v>4454</v>
      </c>
      <c r="K46" s="29">
        <f>-ROUND(('[3]GAAP FINANCIALS'!L$31+'[3]GAAP FINANCIALS'!L$32)/1000,0)</f>
        <v>4291</v>
      </c>
      <c r="L46" s="29">
        <f>-ROUND(('[3]GAAP FINANCIALS'!M$31+'[3]GAAP FINANCIALS'!M$32)/1000,0)</f>
        <v>4082</v>
      </c>
      <c r="M46" s="29">
        <f>-ROUND(('[3]GAAP FINANCIALS'!N$31+'[3]GAAP FINANCIALS'!N$32)/1000,0)</f>
        <v>3848</v>
      </c>
      <c r="N46" s="29">
        <f>-ROUND(('[3]GAAP FINANCIALS'!O$31+'[3]GAAP FINANCIALS'!O$32)/1000,0)</f>
        <v>3606</v>
      </c>
      <c r="O46" s="29">
        <f>-ROUND(('[3]GAAP FINANCIALS'!P$31+'[3]GAAP FINANCIALS'!P$32)/1000,0)</f>
        <v>3347</v>
      </c>
      <c r="P46" s="29">
        <f>-ROUND(('[3]GAAP FINANCIALS'!Q$31+'[3]GAAP FINANCIALS'!Q$32)/1000,0)</f>
        <v>3069</v>
      </c>
      <c r="Q46" s="29">
        <f>-ROUND(('[3]GAAP FINANCIALS'!R$31+'[3]GAAP FINANCIALS'!R$32)/1000,0)</f>
        <v>2771</v>
      </c>
      <c r="R46" s="29">
        <f>-ROUND(('[3]GAAP FINANCIALS'!S$31+'[3]GAAP FINANCIALS'!S$32)/1000,0)</f>
        <v>2483</v>
      </c>
      <c r="S46" s="29">
        <f>-ROUND(('[3]GAAP FINANCIALS'!T$31+'[3]GAAP FINANCIALS'!T$32)/1000,0)</f>
        <v>2141</v>
      </c>
      <c r="T46" s="29">
        <f>-ROUND(('[3]GAAP FINANCIALS'!U$31+'[3]GAAP FINANCIALS'!U$32)/1000,0)</f>
        <v>1775</v>
      </c>
      <c r="U46" s="29">
        <f>-ROUND(('[3]GAAP FINANCIALS'!V$31+'[3]GAAP FINANCIALS'!V$32)/1000,0)</f>
        <v>1381</v>
      </c>
      <c r="V46" s="29">
        <f>-ROUND(('[3]GAAP FINANCIALS'!W$31+'[3]GAAP FINANCIALS'!W$32)/1000,0)</f>
        <v>956</v>
      </c>
      <c r="W46" s="29">
        <f>-ROUND(('[3]GAAP FINANCIALS'!X$31+'[3]GAAP FINANCIALS'!X$32)/1000,0)</f>
        <v>496</v>
      </c>
      <c r="X46" s="29">
        <f>-ROUND(('[3]GAAP FINANCIALS'!Y$31+'[3]GAAP FINANCIALS'!Y$32)/1000,0)</f>
        <v>0</v>
      </c>
      <c r="Y46" s="29">
        <f>-ROUND(('[3]GAAP FINANCIALS'!Z$31+'[3]GAAP FINANCIALS'!Z$32)/1000,0)</f>
        <v>0</v>
      </c>
      <c r="Z46" s="8"/>
      <c r="AA46" s="606">
        <f t="shared" si="6"/>
        <v>58185</v>
      </c>
      <c r="AB46" s="607">
        <f t="shared" si="2"/>
        <v>29092.5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3098</v>
      </c>
      <c r="G49" s="93">
        <f t="shared" si="9"/>
        <v>2489</v>
      </c>
      <c r="H49" s="93">
        <f t="shared" si="9"/>
        <v>2519</v>
      </c>
      <c r="I49" s="93">
        <f t="shared" si="9"/>
        <v>2696</v>
      </c>
      <c r="J49" s="93">
        <f t="shared" si="9"/>
        <v>3190</v>
      </c>
      <c r="K49" s="93">
        <f t="shared" si="9"/>
        <v>3415</v>
      </c>
      <c r="L49" s="93">
        <f t="shared" si="9"/>
        <v>3828</v>
      </c>
      <c r="M49" s="93">
        <f t="shared" si="9"/>
        <v>3760</v>
      </c>
      <c r="N49" s="93">
        <f t="shared" si="9"/>
        <v>3900</v>
      </c>
      <c r="O49" s="93">
        <f t="shared" si="9"/>
        <v>4093</v>
      </c>
      <c r="P49" s="93">
        <f t="shared" si="9"/>
        <v>4263</v>
      </c>
      <c r="Q49" s="93">
        <f t="shared" si="9"/>
        <v>4389</v>
      </c>
      <c r="R49" s="93">
        <f t="shared" si="9"/>
        <v>4715</v>
      </c>
      <c r="S49" s="93">
        <f t="shared" si="9"/>
        <v>4972</v>
      </c>
      <c r="T49" s="93">
        <f t="shared" si="9"/>
        <v>5247</v>
      </c>
      <c r="U49" s="93">
        <f t="shared" si="9"/>
        <v>5596</v>
      </c>
      <c r="V49" s="93">
        <f t="shared" si="9"/>
        <v>5984</v>
      </c>
      <c r="W49" s="93">
        <f t="shared" si="9"/>
        <v>6388</v>
      </c>
      <c r="X49" s="93">
        <f t="shared" si="9"/>
        <v>6719</v>
      </c>
      <c r="Y49" s="93">
        <f t="shared" si="9"/>
        <v>6933</v>
      </c>
      <c r="Z49" s="21"/>
      <c r="AA49" s="606">
        <f t="shared" si="6"/>
        <v>88194</v>
      </c>
      <c r="AB49" s="607">
        <f t="shared" si="2"/>
        <v>44097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62">
        <v>0.05</v>
      </c>
      <c r="D51" s="90"/>
      <c r="E51" s="90"/>
      <c r="F51" s="90">
        <f t="shared" ref="F51:Y51" si="10">F49*-$C$51</f>
        <v>-154.9</v>
      </c>
      <c r="G51" s="55">
        <f t="shared" si="10"/>
        <v>-124.45</v>
      </c>
      <c r="H51" s="90">
        <f t="shared" si="10"/>
        <v>-125.95</v>
      </c>
      <c r="I51" s="90">
        <f t="shared" si="10"/>
        <v>-134.80000000000001</v>
      </c>
      <c r="J51" s="90">
        <f t="shared" si="10"/>
        <v>-159.5</v>
      </c>
      <c r="K51" s="90">
        <f t="shared" si="10"/>
        <v>-170.75</v>
      </c>
      <c r="L51" s="90">
        <f t="shared" si="10"/>
        <v>-191.4</v>
      </c>
      <c r="M51" s="90">
        <f t="shared" si="10"/>
        <v>-188</v>
      </c>
      <c r="N51" s="90">
        <f t="shared" si="10"/>
        <v>-195</v>
      </c>
      <c r="O51" s="90">
        <f t="shared" si="10"/>
        <v>-204.65</v>
      </c>
      <c r="P51" s="90">
        <f t="shared" si="10"/>
        <v>-213.15</v>
      </c>
      <c r="Q51" s="90">
        <f t="shared" si="10"/>
        <v>-219.45000000000002</v>
      </c>
      <c r="R51" s="90">
        <f t="shared" si="10"/>
        <v>-235.75</v>
      </c>
      <c r="S51" s="90">
        <f t="shared" si="10"/>
        <v>-248.60000000000002</v>
      </c>
      <c r="T51" s="90">
        <f t="shared" si="10"/>
        <v>-262.35000000000002</v>
      </c>
      <c r="U51" s="90">
        <f t="shared" si="10"/>
        <v>-279.8</v>
      </c>
      <c r="V51" s="90">
        <f t="shared" si="10"/>
        <v>-299.2</v>
      </c>
      <c r="W51" s="90">
        <f t="shared" si="10"/>
        <v>-319.40000000000003</v>
      </c>
      <c r="X51" s="90">
        <f t="shared" si="10"/>
        <v>-335.95000000000005</v>
      </c>
      <c r="Y51" s="90">
        <f t="shared" si="10"/>
        <v>-346.65000000000003</v>
      </c>
      <c r="Z51" s="8"/>
      <c r="AA51" s="606">
        <f t="shared" si="6"/>
        <v>-4409.7</v>
      </c>
      <c r="AB51" s="607">
        <f t="shared" si="2"/>
        <v>-2204.85</v>
      </c>
    </row>
    <row r="52" spans="1:28">
      <c r="A52" s="4" t="s">
        <v>29</v>
      </c>
      <c r="B52" s="7"/>
      <c r="C52" s="162">
        <v>0.35</v>
      </c>
      <c r="D52" s="89"/>
      <c r="E52" s="89"/>
      <c r="F52" s="89">
        <f t="shared" ref="F52:Y52" si="11">(F49+F51)*-$C$52</f>
        <v>-1030.0849999999998</v>
      </c>
      <c r="G52" s="89">
        <f t="shared" si="11"/>
        <v>-827.59249999999997</v>
      </c>
      <c r="H52" s="89">
        <f t="shared" si="11"/>
        <v>-837.5675</v>
      </c>
      <c r="I52" s="89">
        <f t="shared" si="11"/>
        <v>-896.41999999999985</v>
      </c>
      <c r="J52" s="89">
        <f t="shared" si="11"/>
        <v>-1060.675</v>
      </c>
      <c r="K52" s="89">
        <f t="shared" si="11"/>
        <v>-1135.4875</v>
      </c>
      <c r="L52" s="89">
        <f t="shared" si="11"/>
        <v>-1272.81</v>
      </c>
      <c r="M52" s="89">
        <f t="shared" si="11"/>
        <v>-1250.1999999999998</v>
      </c>
      <c r="N52" s="89">
        <f t="shared" si="11"/>
        <v>-1296.75</v>
      </c>
      <c r="O52" s="89">
        <f t="shared" si="11"/>
        <v>-1360.9224999999999</v>
      </c>
      <c r="P52" s="89">
        <f t="shared" si="11"/>
        <v>-1417.4475</v>
      </c>
      <c r="Q52" s="89">
        <f t="shared" si="11"/>
        <v>-1459.3425</v>
      </c>
      <c r="R52" s="89">
        <f t="shared" si="11"/>
        <v>-1567.7375</v>
      </c>
      <c r="S52" s="89">
        <f t="shared" si="11"/>
        <v>-1653.1899999999998</v>
      </c>
      <c r="T52" s="89">
        <f t="shared" si="11"/>
        <v>-1744.6274999999998</v>
      </c>
      <c r="U52" s="89">
        <f t="shared" si="11"/>
        <v>-1860.6699999999998</v>
      </c>
      <c r="V52" s="89">
        <f t="shared" si="11"/>
        <v>-1989.6799999999998</v>
      </c>
      <c r="W52" s="89">
        <f t="shared" si="11"/>
        <v>-2124.0100000000002</v>
      </c>
      <c r="X52" s="89">
        <f t="shared" si="11"/>
        <v>-2234.0675000000001</v>
      </c>
      <c r="Y52" s="89">
        <f t="shared" si="11"/>
        <v>-2305.2224999999999</v>
      </c>
      <c r="Z52" s="8"/>
      <c r="AA52" s="606">
        <f t="shared" si="6"/>
        <v>-29324.504999999997</v>
      </c>
      <c r="AB52" s="607">
        <f t="shared" si="2"/>
        <v>-14662.252499999999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>
      <c r="A54" s="1" t="s">
        <v>30</v>
      </c>
      <c r="B54" s="1"/>
      <c r="C54" s="1"/>
      <c r="D54" s="93"/>
      <c r="E54" s="93"/>
      <c r="F54" s="93">
        <f t="shared" ref="F54:Y54" si="12">SUM(F49:F52)</f>
        <v>1913.0150000000001</v>
      </c>
      <c r="G54" s="93">
        <f t="shared" si="12"/>
        <v>1536.9575000000002</v>
      </c>
      <c r="H54" s="93">
        <f t="shared" si="12"/>
        <v>1555.4825000000001</v>
      </c>
      <c r="I54" s="93">
        <f t="shared" si="12"/>
        <v>1664.78</v>
      </c>
      <c r="J54" s="93">
        <f t="shared" si="12"/>
        <v>1969.825</v>
      </c>
      <c r="K54" s="93">
        <f t="shared" si="12"/>
        <v>2108.7624999999998</v>
      </c>
      <c r="L54" s="93">
        <f t="shared" si="12"/>
        <v>2363.79</v>
      </c>
      <c r="M54" s="93">
        <f t="shared" si="12"/>
        <v>2321.8000000000002</v>
      </c>
      <c r="N54" s="93">
        <f t="shared" si="12"/>
        <v>2408.25</v>
      </c>
      <c r="O54" s="93">
        <f t="shared" si="12"/>
        <v>2527.4274999999998</v>
      </c>
      <c r="P54" s="93">
        <f t="shared" si="12"/>
        <v>2632.4025000000001</v>
      </c>
      <c r="Q54" s="93">
        <f t="shared" si="12"/>
        <v>2710.2075000000004</v>
      </c>
      <c r="R54" s="93">
        <f t="shared" si="12"/>
        <v>2911.5124999999998</v>
      </c>
      <c r="S54" s="93">
        <f t="shared" si="12"/>
        <v>3070.21</v>
      </c>
      <c r="T54" s="93">
        <f t="shared" si="12"/>
        <v>3240.0225</v>
      </c>
      <c r="U54" s="93">
        <f t="shared" si="12"/>
        <v>3455.5299999999997</v>
      </c>
      <c r="V54" s="93">
        <f t="shared" si="12"/>
        <v>3695.1200000000003</v>
      </c>
      <c r="W54" s="93">
        <f t="shared" si="12"/>
        <v>3944.59</v>
      </c>
      <c r="X54" s="93">
        <f t="shared" si="12"/>
        <v>4148.9825000000001</v>
      </c>
      <c r="Y54" s="93">
        <f t="shared" si="12"/>
        <v>4281.1275000000005</v>
      </c>
      <c r="Z54" s="21"/>
      <c r="AA54" s="606">
        <f t="shared" si="6"/>
        <v>54459.794999999998</v>
      </c>
      <c r="AB54" s="607">
        <f t="shared" si="2"/>
        <v>27229.897499999999</v>
      </c>
    </row>
    <row r="55" spans="1:28">
      <c r="A55" s="7"/>
      <c r="B55" s="96">
        <f>SUM(H55:Y55)</f>
        <v>0</v>
      </c>
      <c r="C55" s="96"/>
      <c r="D55" s="7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8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>
      <c r="A58" s="1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16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14507</v>
      </c>
      <c r="G64" s="24">
        <f t="shared" si="14"/>
        <v>13753</v>
      </c>
      <c r="H64" s="20">
        <f t="shared" si="14"/>
        <v>13638</v>
      </c>
      <c r="I64" s="20">
        <f t="shared" si="14"/>
        <v>13649</v>
      </c>
      <c r="J64" s="20">
        <f t="shared" si="14"/>
        <v>13959</v>
      </c>
      <c r="K64" s="20">
        <f t="shared" si="14"/>
        <v>14021</v>
      </c>
      <c r="L64" s="20">
        <f t="shared" si="14"/>
        <v>14225</v>
      </c>
      <c r="M64" s="20">
        <f t="shared" si="14"/>
        <v>13923</v>
      </c>
      <c r="N64" s="20">
        <f t="shared" si="14"/>
        <v>13821</v>
      </c>
      <c r="O64" s="20">
        <f t="shared" si="14"/>
        <v>13755</v>
      </c>
      <c r="P64" s="20">
        <f t="shared" si="14"/>
        <v>13647</v>
      </c>
      <c r="Q64" s="20">
        <f t="shared" si="14"/>
        <v>13475</v>
      </c>
      <c r="R64" s="20">
        <f t="shared" si="14"/>
        <v>13513</v>
      </c>
      <c r="S64" s="20">
        <f t="shared" si="14"/>
        <v>13428</v>
      </c>
      <c r="T64" s="20">
        <f t="shared" si="14"/>
        <v>13337</v>
      </c>
      <c r="U64" s="20">
        <f t="shared" si="14"/>
        <v>13292</v>
      </c>
      <c r="V64" s="20">
        <f t="shared" si="14"/>
        <v>13255</v>
      </c>
      <c r="W64" s="20">
        <f t="shared" si="14"/>
        <v>13199</v>
      </c>
      <c r="X64" s="20">
        <f t="shared" si="14"/>
        <v>13034</v>
      </c>
      <c r="Y64" s="20">
        <f t="shared" si="14"/>
        <v>13248</v>
      </c>
      <c r="Z64" s="8"/>
      <c r="AA64" s="606">
        <f t="shared" si="6"/>
        <v>272679</v>
      </c>
      <c r="AB64" s="607">
        <f t="shared" si="2"/>
        <v>136339.5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 ht="15">
      <c r="A66" s="15" t="s">
        <v>33</v>
      </c>
      <c r="B66" s="7"/>
      <c r="C66" s="7"/>
      <c r="D66" s="100"/>
      <c r="E66" s="100"/>
      <c r="F66" s="100">
        <f>-ROUND([3]DEBT!G$26/1000,0)</f>
        <v>-6856</v>
      </c>
      <c r="G66" s="100">
        <f>-ROUND([3]DEBT!H$26/1000,0)</f>
        <v>-6716</v>
      </c>
      <c r="H66" s="100">
        <f>-ROUND([3]DEBT!I$26/1000,0)</f>
        <v>-6839</v>
      </c>
      <c r="I66" s="100">
        <f>-ROUND([3]DEBT!J$26/1000,0)</f>
        <v>-6913</v>
      </c>
      <c r="J66" s="100">
        <f>-ROUND([3]DEBT!K$26/1000,0)</f>
        <v>-6455</v>
      </c>
      <c r="K66" s="100">
        <f>-ROUND([3]DEBT!L$26/1000,0)</f>
        <v>-6882</v>
      </c>
      <c r="L66" s="100">
        <f>-ROUND([3]DEBT!M$26/1000,0)</f>
        <v>-7006</v>
      </c>
      <c r="M66" s="100">
        <f>-ROUND([3]DEBT!N$26/1000,0)</f>
        <v>-6883</v>
      </c>
      <c r="N66" s="100">
        <f>-ROUND([3]DEBT!O$26/1000,0)</f>
        <v>-6855</v>
      </c>
      <c r="O66" s="100">
        <f>-ROUND([3]DEBT!P$26/1000,0)</f>
        <v>-6856</v>
      </c>
      <c r="P66" s="100">
        <f>-ROUND([3]DEBT!Q$26/1000,0)</f>
        <v>-6836</v>
      </c>
      <c r="Q66" s="100">
        <f>-ROUND([3]DEBT!R$26/1000,0)</f>
        <v>-6407</v>
      </c>
      <c r="R66" s="100">
        <f>-ROUND([3]DEBT!S$26/1000,0)</f>
        <v>-6829</v>
      </c>
      <c r="S66" s="100">
        <f>-ROUND([3]DEBT!T$26/1000,0)</f>
        <v>-6796</v>
      </c>
      <c r="T66" s="100">
        <f>-ROUND([3]DEBT!U$26/1000,0)</f>
        <v>-6790</v>
      </c>
      <c r="U66" s="100">
        <f>-ROUND([3]DEBT!V$26/1000,0)</f>
        <v>-6809</v>
      </c>
      <c r="V66" s="100">
        <f>-ROUND([3]DEBT!W$26/1000,0)</f>
        <v>-6833</v>
      </c>
      <c r="W66" s="100">
        <f>-ROUND([3]DEBT!X$26/1000,0)</f>
        <v>-6855</v>
      </c>
      <c r="X66" s="100">
        <f>-ROUND([3]DEBT!Y$26/1000,0)</f>
        <v>0</v>
      </c>
      <c r="Y66" s="100">
        <f>-ROUND([3]DEBT!Z$26/1000,0)</f>
        <v>0</v>
      </c>
      <c r="Z66" s="8"/>
      <c r="AA66" s="606">
        <f t="shared" si="6"/>
        <v>-122416</v>
      </c>
      <c r="AB66" s="607">
        <f t="shared" si="2"/>
        <v>-61208</v>
      </c>
    </row>
    <row r="67" spans="1:28">
      <c r="A67" s="15"/>
      <c r="B67" s="7"/>
      <c r="C67" s="7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8"/>
      <c r="AA67" s="606">
        <f t="shared" si="6"/>
        <v>0</v>
      </c>
      <c r="AB67" s="607">
        <f t="shared" si="2"/>
        <v>0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5">SUM(F64:F66)</f>
        <v>7651</v>
      </c>
      <c r="G69" s="95">
        <f t="shared" si="15"/>
        <v>7037</v>
      </c>
      <c r="H69" s="95">
        <f t="shared" si="15"/>
        <v>6799</v>
      </c>
      <c r="I69" s="95">
        <f t="shared" si="15"/>
        <v>6736</v>
      </c>
      <c r="J69" s="95">
        <f t="shared" si="15"/>
        <v>7504</v>
      </c>
      <c r="K69" s="95">
        <f t="shared" si="15"/>
        <v>7139</v>
      </c>
      <c r="L69" s="95">
        <f t="shared" si="15"/>
        <v>7219</v>
      </c>
      <c r="M69" s="95">
        <f t="shared" si="15"/>
        <v>7040</v>
      </c>
      <c r="N69" s="95">
        <f t="shared" si="15"/>
        <v>6966</v>
      </c>
      <c r="O69" s="95">
        <f t="shared" si="15"/>
        <v>6899</v>
      </c>
      <c r="P69" s="95">
        <f t="shared" si="15"/>
        <v>6811</v>
      </c>
      <c r="Q69" s="95">
        <f t="shared" si="15"/>
        <v>7068</v>
      </c>
      <c r="R69" s="95">
        <f t="shared" si="15"/>
        <v>6684</v>
      </c>
      <c r="S69" s="95">
        <f t="shared" si="15"/>
        <v>6632</v>
      </c>
      <c r="T69" s="95">
        <f t="shared" si="15"/>
        <v>6547</v>
      </c>
      <c r="U69" s="95">
        <f t="shared" si="15"/>
        <v>6483</v>
      </c>
      <c r="V69" s="95">
        <f t="shared" si="15"/>
        <v>6422</v>
      </c>
      <c r="W69" s="95">
        <f t="shared" si="15"/>
        <v>6344</v>
      </c>
      <c r="X69" s="95">
        <f t="shared" si="15"/>
        <v>13034</v>
      </c>
      <c r="Y69" s="95">
        <f t="shared" si="15"/>
        <v>13248</v>
      </c>
      <c r="Z69" s="21"/>
      <c r="AA69" s="606">
        <f t="shared" si="6"/>
        <v>150263</v>
      </c>
      <c r="AB69" s="607">
        <f t="shared" si="2"/>
        <v>75131.5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>F89</f>
        <v>6062.1715331104797</v>
      </c>
      <c r="G71" s="100">
        <f t="shared" ref="G71:Y71" si="16">G89</f>
        <v>12092.700452976767</v>
      </c>
      <c r="H71" s="100">
        <f t="shared" si="16"/>
        <v>5897.1332717860596</v>
      </c>
      <c r="I71" s="100">
        <f t="shared" si="16"/>
        <v>2118.9754630716357</v>
      </c>
      <c r="J71" s="100">
        <f t="shared" si="16"/>
        <v>1930.0204630716357</v>
      </c>
      <c r="K71" s="100">
        <f t="shared" si="16"/>
        <v>-938.88351846418209</v>
      </c>
      <c r="L71" s="100">
        <f t="shared" si="16"/>
        <v>-3879.6975000000002</v>
      </c>
      <c r="M71" s="100">
        <f t="shared" si="16"/>
        <v>-3853.6875</v>
      </c>
      <c r="N71" s="100">
        <f t="shared" si="16"/>
        <v>-3907.2374999999997</v>
      </c>
      <c r="O71" s="100">
        <f t="shared" si="16"/>
        <v>-3981.06</v>
      </c>
      <c r="P71" s="100">
        <f t="shared" si="16"/>
        <v>-4046.085</v>
      </c>
      <c r="Q71" s="100">
        <f t="shared" si="16"/>
        <v>-4094.2799999999997</v>
      </c>
      <c r="R71" s="100">
        <f t="shared" si="16"/>
        <v>-4218.9750000000004</v>
      </c>
      <c r="S71" s="100">
        <f t="shared" si="16"/>
        <v>-4317.2775000000001</v>
      </c>
      <c r="T71" s="100">
        <f t="shared" si="16"/>
        <v>-4422.4650000000001</v>
      </c>
      <c r="U71" s="100">
        <f t="shared" si="16"/>
        <v>-4555.9574999999995</v>
      </c>
      <c r="V71" s="100">
        <f t="shared" si="16"/>
        <v>-4704.3674999999994</v>
      </c>
      <c r="W71" s="100">
        <f t="shared" si="16"/>
        <v>-4858.8974999999991</v>
      </c>
      <c r="X71" s="100">
        <f t="shared" si="16"/>
        <v>-4985.5049999999992</v>
      </c>
      <c r="Y71" s="100">
        <f t="shared" si="16"/>
        <v>-5067.3600000000006</v>
      </c>
      <c r="Z71" s="8"/>
      <c r="AA71" s="606">
        <f t="shared" si="6"/>
        <v>-33730.734834447605</v>
      </c>
      <c r="AB71" s="607">
        <f t="shared" si="2"/>
        <v>-16865.367417223802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>
      <c r="A73" s="16" t="s">
        <v>35</v>
      </c>
      <c r="B73" s="1"/>
      <c r="C73" s="1"/>
      <c r="D73" s="28"/>
      <c r="E73" s="28"/>
      <c r="F73" s="28">
        <f t="shared" ref="F73:Y73" si="17">F69+F71</f>
        <v>13713.171533110479</v>
      </c>
      <c r="G73" s="28">
        <f t="shared" si="17"/>
        <v>19129.700452976766</v>
      </c>
      <c r="H73" s="28">
        <f t="shared" si="17"/>
        <v>12696.133271786061</v>
      </c>
      <c r="I73" s="28">
        <f t="shared" si="17"/>
        <v>8854.9754630716361</v>
      </c>
      <c r="J73" s="28">
        <f t="shared" si="17"/>
        <v>9434.0204630716362</v>
      </c>
      <c r="K73" s="28">
        <f t="shared" si="17"/>
        <v>6200.1164815358179</v>
      </c>
      <c r="L73" s="28">
        <f t="shared" si="17"/>
        <v>3339.3024999999998</v>
      </c>
      <c r="M73" s="28">
        <f t="shared" si="17"/>
        <v>3186.3125</v>
      </c>
      <c r="N73" s="28">
        <f t="shared" si="17"/>
        <v>3058.7625000000003</v>
      </c>
      <c r="O73" s="28">
        <f t="shared" si="17"/>
        <v>2917.94</v>
      </c>
      <c r="P73" s="28">
        <f t="shared" si="17"/>
        <v>2764.915</v>
      </c>
      <c r="Q73" s="28">
        <f t="shared" si="17"/>
        <v>2973.7200000000003</v>
      </c>
      <c r="R73" s="28">
        <f t="shared" si="17"/>
        <v>2465.0249999999996</v>
      </c>
      <c r="S73" s="28">
        <f t="shared" si="17"/>
        <v>2314.7224999999999</v>
      </c>
      <c r="T73" s="28">
        <f t="shared" si="17"/>
        <v>2124.5349999999999</v>
      </c>
      <c r="U73" s="28">
        <f t="shared" si="17"/>
        <v>1927.0425000000005</v>
      </c>
      <c r="V73" s="28">
        <f t="shared" si="17"/>
        <v>1717.6325000000006</v>
      </c>
      <c r="W73" s="28">
        <f t="shared" si="17"/>
        <v>1485.1025000000009</v>
      </c>
      <c r="X73" s="28">
        <f t="shared" si="17"/>
        <v>8048.4950000000008</v>
      </c>
      <c r="Y73" s="28">
        <f t="shared" si="17"/>
        <v>8180.6399999999994</v>
      </c>
      <c r="Z73" s="21"/>
      <c r="AA73" s="606">
        <f t="shared" si="6"/>
        <v>116532.2651655524</v>
      </c>
      <c r="AB73" s="607">
        <f t="shared" si="2"/>
        <v>58266.132582776198</v>
      </c>
    </row>
    <row r="74" spans="1:28">
      <c r="A74" s="15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8">AA75*$C$60</f>
        <v>0</v>
      </c>
    </row>
    <row r="76" spans="1:28">
      <c r="A76" s="16" t="s">
        <v>365</v>
      </c>
      <c r="B76" s="26"/>
      <c r="C76" s="163">
        <f>$C$60</f>
        <v>0.5</v>
      </c>
      <c r="D76" s="28"/>
      <c r="E76" s="28"/>
      <c r="F76" s="28">
        <f t="shared" ref="F76:Y76" si="19">$C$76*F54</f>
        <v>956.50750000000005</v>
      </c>
      <c r="G76" s="95">
        <f t="shared" si="19"/>
        <v>768.4787500000001</v>
      </c>
      <c r="H76" s="28">
        <f t="shared" si="19"/>
        <v>777.74125000000004</v>
      </c>
      <c r="I76" s="28">
        <f t="shared" si="19"/>
        <v>832.39</v>
      </c>
      <c r="J76" s="28">
        <f t="shared" si="19"/>
        <v>984.91250000000002</v>
      </c>
      <c r="K76" s="28">
        <f t="shared" si="19"/>
        <v>1054.3812499999999</v>
      </c>
      <c r="L76" s="28">
        <f t="shared" si="19"/>
        <v>1181.895</v>
      </c>
      <c r="M76" s="28">
        <f t="shared" si="19"/>
        <v>1160.9000000000001</v>
      </c>
      <c r="N76" s="28">
        <f t="shared" si="19"/>
        <v>1204.125</v>
      </c>
      <c r="O76" s="28">
        <f t="shared" si="19"/>
        <v>1263.7137499999999</v>
      </c>
      <c r="P76" s="28">
        <f t="shared" si="19"/>
        <v>1316.2012500000001</v>
      </c>
      <c r="Q76" s="28">
        <f t="shared" si="19"/>
        <v>1355.1037500000002</v>
      </c>
      <c r="R76" s="28">
        <f t="shared" si="19"/>
        <v>1455.7562499999999</v>
      </c>
      <c r="S76" s="28">
        <f t="shared" si="19"/>
        <v>1535.105</v>
      </c>
      <c r="T76" s="28">
        <f t="shared" si="19"/>
        <v>1620.01125</v>
      </c>
      <c r="U76" s="28">
        <f t="shared" si="19"/>
        <v>1727.7649999999999</v>
      </c>
      <c r="V76" s="28">
        <f t="shared" si="19"/>
        <v>1847.5600000000002</v>
      </c>
      <c r="W76" s="28">
        <f t="shared" si="19"/>
        <v>1972.2950000000001</v>
      </c>
      <c r="X76" s="28">
        <f t="shared" si="19"/>
        <v>2074.49125</v>
      </c>
      <c r="Y76" s="28">
        <f t="shared" si="19"/>
        <v>2140.5637500000003</v>
      </c>
      <c r="Z76" s="8"/>
      <c r="AA76" s="606">
        <f t="shared" si="6"/>
        <v>27229.897499999999</v>
      </c>
      <c r="AB76" s="607">
        <f>AA76</f>
        <v>27229.897499999999</v>
      </c>
    </row>
    <row r="77" spans="1:28">
      <c r="A77" s="16" t="s">
        <v>366</v>
      </c>
      <c r="B77" s="26"/>
      <c r="C77" s="163">
        <f>$C$60</f>
        <v>0.5</v>
      </c>
      <c r="D77" s="28"/>
      <c r="E77" s="28"/>
      <c r="F77" s="28">
        <f t="shared" ref="F77:Y77" si="20">$C$77*F73</f>
        <v>6856.5857665552394</v>
      </c>
      <c r="G77" s="95">
        <f t="shared" si="20"/>
        <v>9564.8502264883828</v>
      </c>
      <c r="H77" s="28">
        <f t="shared" si="20"/>
        <v>6348.0666358930303</v>
      </c>
      <c r="I77" s="28">
        <f t="shared" si="20"/>
        <v>4427.4877315358181</v>
      </c>
      <c r="J77" s="28">
        <f t="shared" si="20"/>
        <v>4717.0102315358181</v>
      </c>
      <c r="K77" s="28">
        <f t="shared" si="20"/>
        <v>3100.058240767909</v>
      </c>
      <c r="L77" s="28">
        <f t="shared" si="20"/>
        <v>1669.6512499999999</v>
      </c>
      <c r="M77" s="28">
        <f t="shared" si="20"/>
        <v>1593.15625</v>
      </c>
      <c r="N77" s="28">
        <f t="shared" si="20"/>
        <v>1529.3812500000001</v>
      </c>
      <c r="O77" s="28">
        <f t="shared" si="20"/>
        <v>1458.97</v>
      </c>
      <c r="P77" s="28">
        <f t="shared" si="20"/>
        <v>1382.4575</v>
      </c>
      <c r="Q77" s="28">
        <f t="shared" si="20"/>
        <v>1486.8600000000001</v>
      </c>
      <c r="R77" s="28">
        <f t="shared" si="20"/>
        <v>1232.5124999999998</v>
      </c>
      <c r="S77" s="28">
        <f t="shared" si="20"/>
        <v>1157.3612499999999</v>
      </c>
      <c r="T77" s="28">
        <f t="shared" si="20"/>
        <v>1062.2674999999999</v>
      </c>
      <c r="U77" s="28">
        <f t="shared" si="20"/>
        <v>963.52125000000024</v>
      </c>
      <c r="V77" s="28">
        <f t="shared" si="20"/>
        <v>858.81625000000031</v>
      </c>
      <c r="W77" s="28">
        <f t="shared" si="20"/>
        <v>742.55125000000044</v>
      </c>
      <c r="X77" s="28">
        <f t="shared" si="20"/>
        <v>4024.2475000000004</v>
      </c>
      <c r="Y77" s="28">
        <f t="shared" si="20"/>
        <v>4090.3199999999997</v>
      </c>
      <c r="Z77" s="8"/>
      <c r="AA77" s="606">
        <f t="shared" si="6"/>
        <v>58266.132582776198</v>
      </c>
      <c r="AB77" s="607">
        <f>AA77</f>
        <v>58266.132582776198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8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8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8"/>
        <v>0</v>
      </c>
    </row>
    <row r="81" spans="1:28">
      <c r="AA81" s="606">
        <f t="shared" si="6"/>
        <v>0</v>
      </c>
      <c r="AB81" s="607">
        <f t="shared" si="18"/>
        <v>0</v>
      </c>
    </row>
    <row r="82" spans="1:28">
      <c r="AA82" s="606">
        <f t="shared" si="6"/>
        <v>0</v>
      </c>
      <c r="AB82" s="607">
        <f t="shared" si="18"/>
        <v>0</v>
      </c>
    </row>
    <row r="83" spans="1:28">
      <c r="AA83" s="606">
        <f t="shared" si="6"/>
        <v>0</v>
      </c>
      <c r="AB83" s="607">
        <f t="shared" si="18"/>
        <v>0</v>
      </c>
    </row>
    <row r="84" spans="1:28">
      <c r="AA84" s="606">
        <f t="shared" si="6"/>
        <v>0</v>
      </c>
      <c r="AB84" s="607">
        <f t="shared" si="18"/>
        <v>0</v>
      </c>
    </row>
    <row r="85" spans="1:28">
      <c r="AA85" s="606">
        <f t="shared" si="6"/>
        <v>0</v>
      </c>
      <c r="AB85" s="607">
        <f t="shared" si="18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>
      <c r="AA87" s="606">
        <f t="shared" si="6"/>
        <v>0</v>
      </c>
      <c r="AB87" s="607">
        <f t="shared" si="18"/>
        <v>0</v>
      </c>
    </row>
    <row r="88" spans="1:28">
      <c r="A88" s="14" t="s">
        <v>34</v>
      </c>
      <c r="F88" s="165">
        <f>F69</f>
        <v>7651</v>
      </c>
      <c r="G88" s="165">
        <f t="shared" ref="G88:Y88" si="22">G69</f>
        <v>7037</v>
      </c>
      <c r="H88" s="165">
        <f t="shared" si="22"/>
        <v>6799</v>
      </c>
      <c r="I88" s="165">
        <f t="shared" si="22"/>
        <v>6736</v>
      </c>
      <c r="J88" s="165">
        <f t="shared" si="22"/>
        <v>7504</v>
      </c>
      <c r="K88" s="165">
        <f t="shared" si="22"/>
        <v>7139</v>
      </c>
      <c r="L88" s="165">
        <f t="shared" si="22"/>
        <v>7219</v>
      </c>
      <c r="M88" s="165">
        <f t="shared" si="22"/>
        <v>7040</v>
      </c>
      <c r="N88" s="165">
        <f t="shared" si="22"/>
        <v>6966</v>
      </c>
      <c r="O88" s="165">
        <f t="shared" si="22"/>
        <v>6899</v>
      </c>
      <c r="P88" s="165">
        <f t="shared" si="22"/>
        <v>6811</v>
      </c>
      <c r="Q88" s="165">
        <f t="shared" si="22"/>
        <v>7068</v>
      </c>
      <c r="R88" s="165">
        <f t="shared" si="22"/>
        <v>6684</v>
      </c>
      <c r="S88" s="165">
        <f t="shared" si="22"/>
        <v>6632</v>
      </c>
      <c r="T88" s="165">
        <f t="shared" si="22"/>
        <v>6547</v>
      </c>
      <c r="U88" s="165">
        <f t="shared" si="22"/>
        <v>6483</v>
      </c>
      <c r="V88" s="165">
        <f t="shared" si="22"/>
        <v>6422</v>
      </c>
      <c r="W88" s="165">
        <f t="shared" si="22"/>
        <v>6344</v>
      </c>
      <c r="X88" s="165">
        <f t="shared" si="22"/>
        <v>13034</v>
      </c>
      <c r="Y88" s="165">
        <f t="shared" si="22"/>
        <v>13248</v>
      </c>
      <c r="AA88" s="606">
        <f t="shared" si="6"/>
        <v>150263</v>
      </c>
      <c r="AB88" s="607">
        <f t="shared" si="18"/>
        <v>75131.5</v>
      </c>
    </row>
    <row r="89" spans="1:28">
      <c r="A89" s="105" t="s">
        <v>53</v>
      </c>
      <c r="F89" s="110">
        <f>F125+F126</f>
        <v>6062.1715331104797</v>
      </c>
      <c r="G89" s="110">
        <f t="shared" ref="G89:Y89" si="23">G125+G126</f>
        <v>12092.700452976767</v>
      </c>
      <c r="H89" s="110">
        <f t="shared" si="23"/>
        <v>5897.1332717860596</v>
      </c>
      <c r="I89" s="110">
        <f t="shared" si="23"/>
        <v>2118.9754630716357</v>
      </c>
      <c r="J89" s="110">
        <f t="shared" si="23"/>
        <v>1930.0204630716357</v>
      </c>
      <c r="K89" s="110">
        <f t="shared" si="23"/>
        <v>-938.88351846418209</v>
      </c>
      <c r="L89" s="110">
        <f t="shared" si="23"/>
        <v>-3879.6975000000002</v>
      </c>
      <c r="M89" s="110">
        <f t="shared" si="23"/>
        <v>-3853.6875</v>
      </c>
      <c r="N89" s="110">
        <f t="shared" si="23"/>
        <v>-3907.2374999999997</v>
      </c>
      <c r="O89" s="110">
        <f t="shared" si="23"/>
        <v>-3981.06</v>
      </c>
      <c r="P89" s="110">
        <f t="shared" si="23"/>
        <v>-4046.085</v>
      </c>
      <c r="Q89" s="110">
        <f t="shared" si="23"/>
        <v>-4094.2799999999997</v>
      </c>
      <c r="R89" s="110">
        <f t="shared" si="23"/>
        <v>-4218.9750000000004</v>
      </c>
      <c r="S89" s="110">
        <f t="shared" si="23"/>
        <v>-4317.2775000000001</v>
      </c>
      <c r="T89" s="110">
        <f t="shared" si="23"/>
        <v>-4422.4650000000001</v>
      </c>
      <c r="U89" s="110">
        <f t="shared" si="23"/>
        <v>-4555.9574999999995</v>
      </c>
      <c r="V89" s="110">
        <f t="shared" si="23"/>
        <v>-4704.3674999999994</v>
      </c>
      <c r="W89" s="110">
        <f t="shared" si="23"/>
        <v>-4858.8974999999991</v>
      </c>
      <c r="X89" s="110">
        <f t="shared" si="23"/>
        <v>-4985.5049999999992</v>
      </c>
      <c r="Y89" s="110">
        <f t="shared" si="23"/>
        <v>-5067.3600000000006</v>
      </c>
      <c r="AA89" s="606">
        <f t="shared" si="6"/>
        <v>-33730.734834447605</v>
      </c>
      <c r="AB89" s="607">
        <f t="shared" si="18"/>
        <v>-16865.367417223802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33120</v>
      </c>
      <c r="AA90" s="606">
        <f t="shared" si="6"/>
        <v>33120</v>
      </c>
      <c r="AB90" s="607">
        <f t="shared" si="18"/>
        <v>16560</v>
      </c>
    </row>
    <row r="91" spans="1:28">
      <c r="A91" s="166" t="s">
        <v>55</v>
      </c>
      <c r="B91" s="166"/>
      <c r="C91" s="166"/>
      <c r="D91" s="166"/>
      <c r="E91" s="148">
        <v>-74994.413698046163</v>
      </c>
      <c r="F91" s="165">
        <f>F88+F89+F90</f>
        <v>13713.171533110479</v>
      </c>
      <c r="G91" s="165">
        <f t="shared" ref="G91:Y91" si="24">G88+G89+G90</f>
        <v>19129.700452976766</v>
      </c>
      <c r="H91" s="165">
        <f t="shared" si="24"/>
        <v>12696.133271786061</v>
      </c>
      <c r="I91" s="165">
        <f t="shared" si="24"/>
        <v>8854.9754630716361</v>
      </c>
      <c r="J91" s="165">
        <f t="shared" si="24"/>
        <v>9434.0204630716362</v>
      </c>
      <c r="K91" s="165">
        <f t="shared" si="24"/>
        <v>6200.1164815358179</v>
      </c>
      <c r="L91" s="165">
        <f t="shared" si="24"/>
        <v>3339.3024999999998</v>
      </c>
      <c r="M91" s="165">
        <f t="shared" si="24"/>
        <v>3186.3125</v>
      </c>
      <c r="N91" s="165">
        <f t="shared" si="24"/>
        <v>3058.7625000000003</v>
      </c>
      <c r="O91" s="165">
        <f t="shared" si="24"/>
        <v>2917.94</v>
      </c>
      <c r="P91" s="165">
        <f t="shared" si="24"/>
        <v>2764.915</v>
      </c>
      <c r="Q91" s="165">
        <f t="shared" si="24"/>
        <v>2973.7200000000003</v>
      </c>
      <c r="R91" s="165">
        <f t="shared" si="24"/>
        <v>2465.0249999999996</v>
      </c>
      <c r="S91" s="165">
        <f t="shared" si="24"/>
        <v>2314.7224999999999</v>
      </c>
      <c r="T91" s="165">
        <f t="shared" si="24"/>
        <v>2124.5349999999999</v>
      </c>
      <c r="U91" s="165">
        <f t="shared" si="24"/>
        <v>1927.0425000000005</v>
      </c>
      <c r="V91" s="165">
        <f t="shared" si="24"/>
        <v>1717.6325000000006</v>
      </c>
      <c r="W91" s="165">
        <f t="shared" si="24"/>
        <v>1485.1025000000009</v>
      </c>
      <c r="X91" s="165">
        <f t="shared" si="24"/>
        <v>8048.4950000000008</v>
      </c>
      <c r="Y91" s="165">
        <f t="shared" si="24"/>
        <v>41300.639999999999</v>
      </c>
      <c r="AA91" s="606">
        <f t="shared" si="6"/>
        <v>149652.26516555238</v>
      </c>
      <c r="AB91" s="607">
        <f t="shared" si="18"/>
        <v>74826.13258277619</v>
      </c>
    </row>
    <row r="92" spans="1:28" ht="13.5" thickBot="1">
      <c r="AA92" s="606">
        <f t="shared" si="6"/>
        <v>0</v>
      </c>
      <c r="AB92" s="607">
        <f t="shared" si="18"/>
        <v>0</v>
      </c>
    </row>
    <row r="93" spans="1:28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ht="13.5" thickBot="1">
      <c r="A94" s="105" t="s">
        <v>57</v>
      </c>
      <c r="E94" s="169">
        <f>NPV(C95,E91:Y91)</f>
        <v>-1.9191172606217751E-11</v>
      </c>
      <c r="R94" s="170"/>
      <c r="U94" s="171" t="s">
        <v>58</v>
      </c>
      <c r="V94" s="172"/>
      <c r="W94" s="172"/>
      <c r="X94" s="172"/>
      <c r="Y94" s="173">
        <f>Y39</f>
        <v>13248</v>
      </c>
      <c r="AA94" s="606">
        <f t="shared" si="6"/>
        <v>13248</v>
      </c>
      <c r="AB94" s="607">
        <f t="shared" si="18"/>
        <v>6624</v>
      </c>
    </row>
    <row r="95" spans="1:28" ht="13.5" thickBot="1">
      <c r="A95" s="105" t="s">
        <v>59</v>
      </c>
      <c r="C95" s="146">
        <v>0.09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0.25</v>
      </c>
    </row>
    <row r="96" spans="1:28">
      <c r="U96" s="177" t="s">
        <v>61</v>
      </c>
      <c r="V96" s="172"/>
      <c r="W96" s="172"/>
      <c r="X96" s="172"/>
      <c r="Y96" s="178">
        <f>Y94*Y95</f>
        <v>6624</v>
      </c>
      <c r="AA96" s="606">
        <f t="shared" si="6"/>
        <v>6624</v>
      </c>
      <c r="AB96" s="607">
        <f t="shared" si="18"/>
        <v>3312</v>
      </c>
    </row>
    <row r="97" spans="1:28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2.5</v>
      </c>
    </row>
    <row r="98" spans="1:28" ht="13.5" thickBot="1">
      <c r="U98" s="179" t="s">
        <v>56</v>
      </c>
      <c r="V98" s="180"/>
      <c r="W98" s="180"/>
      <c r="X98" s="180"/>
      <c r="Y98" s="181">
        <f>Y96*Y97</f>
        <v>33120</v>
      </c>
      <c r="AA98" s="606">
        <f t="shared" si="6"/>
        <v>33120</v>
      </c>
      <c r="AB98" s="607">
        <f t="shared" si="18"/>
        <v>16560</v>
      </c>
    </row>
    <row r="99" spans="1:28">
      <c r="A99" s="108" t="s">
        <v>63</v>
      </c>
      <c r="AA99" s="606">
        <f t="shared" si="6"/>
        <v>0</v>
      </c>
      <c r="AB99" s="607">
        <f t="shared" si="18"/>
        <v>0</v>
      </c>
    </row>
    <row r="100" spans="1:28">
      <c r="A100" s="105" t="s">
        <v>64</v>
      </c>
      <c r="D100" s="183">
        <f>ROUND([3]DEBT!$F$51/1000,0)</f>
        <v>65349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74994.413698046163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140343.41369804618</v>
      </c>
      <c r="AA102" s="606">
        <f t="shared" si="6"/>
        <v>0</v>
      </c>
      <c r="AB102" s="607">
        <f t="shared" si="18"/>
        <v>0</v>
      </c>
    </row>
    <row r="103" spans="1:28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>
      <c r="A104" s="105" t="s">
        <v>67</v>
      </c>
      <c r="D104" s="183">
        <f>D102*D103</f>
        <v>126309.07232824156</v>
      </c>
      <c r="AA104" s="606">
        <f t="shared" ref="AA104:AA151" si="25">SUM(F104:Y104)</f>
        <v>0</v>
      </c>
      <c r="AB104" s="607">
        <f t="shared" si="18"/>
        <v>0</v>
      </c>
    </row>
    <row r="105" spans="1:28">
      <c r="AA105" s="606">
        <f t="shared" si="25"/>
        <v>0</v>
      </c>
      <c r="AB105" s="607">
        <f t="shared" si="18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>
      <c r="A108" s="105" t="s">
        <v>69</v>
      </c>
      <c r="B108" s="152">
        <v>20</v>
      </c>
      <c r="C108" s="105" t="s">
        <v>0</v>
      </c>
      <c r="D108" s="184">
        <f>D104</f>
        <v>126309.07232824156</v>
      </c>
      <c r="F108" s="169">
        <f>ROUND(D108/$B$108,0)</f>
        <v>6315</v>
      </c>
      <c r="G108" s="169">
        <f>F108</f>
        <v>6315</v>
      </c>
      <c r="H108" s="169">
        <f t="shared" ref="H108:Y109" si="27">G108</f>
        <v>6315</v>
      </c>
      <c r="I108" s="169">
        <f t="shared" si="27"/>
        <v>6315</v>
      </c>
      <c r="J108" s="169">
        <f t="shared" si="27"/>
        <v>6315</v>
      </c>
      <c r="K108" s="169">
        <f t="shared" si="27"/>
        <v>6315</v>
      </c>
      <c r="L108" s="169">
        <f t="shared" si="27"/>
        <v>6315</v>
      </c>
      <c r="M108" s="169">
        <f t="shared" si="27"/>
        <v>6315</v>
      </c>
      <c r="N108" s="169">
        <f t="shared" si="27"/>
        <v>6315</v>
      </c>
      <c r="O108" s="169">
        <f t="shared" si="27"/>
        <v>6315</v>
      </c>
      <c r="P108" s="169">
        <f t="shared" si="27"/>
        <v>6315</v>
      </c>
      <c r="Q108" s="169">
        <f t="shared" si="27"/>
        <v>6315</v>
      </c>
      <c r="R108" s="169">
        <f t="shared" si="27"/>
        <v>6315</v>
      </c>
      <c r="S108" s="169">
        <f t="shared" si="27"/>
        <v>6315</v>
      </c>
      <c r="T108" s="169">
        <f t="shared" si="27"/>
        <v>6315</v>
      </c>
      <c r="U108" s="169">
        <f t="shared" si="27"/>
        <v>6315</v>
      </c>
      <c r="V108" s="169">
        <f t="shared" si="27"/>
        <v>6315</v>
      </c>
      <c r="W108" s="169">
        <f t="shared" si="27"/>
        <v>6315</v>
      </c>
      <c r="X108" s="169">
        <f t="shared" si="27"/>
        <v>6315</v>
      </c>
      <c r="Y108" s="169">
        <f t="shared" si="27"/>
        <v>6315</v>
      </c>
      <c r="AA108" s="606">
        <f t="shared" si="25"/>
        <v>126300</v>
      </c>
      <c r="AB108" s="607">
        <f t="shared" si="18"/>
        <v>63150</v>
      </c>
    </row>
    <row r="109" spans="1:28">
      <c r="A109" s="199" t="s">
        <v>571</v>
      </c>
      <c r="D109" s="184">
        <f>D103*'FPLE_Valuation Summary'!V22*0.5</f>
        <v>10760.056226573262</v>
      </c>
      <c r="F109" s="169">
        <f>ROUND(D109/$B$108,0)</f>
        <v>538</v>
      </c>
      <c r="G109" s="169">
        <f>F109</f>
        <v>538</v>
      </c>
      <c r="H109" s="169">
        <f t="shared" si="27"/>
        <v>538</v>
      </c>
      <c r="I109" s="169">
        <f t="shared" si="27"/>
        <v>538</v>
      </c>
      <c r="J109" s="169">
        <f t="shared" si="27"/>
        <v>538</v>
      </c>
      <c r="K109" s="169">
        <f t="shared" si="27"/>
        <v>538</v>
      </c>
      <c r="L109" s="169">
        <f t="shared" si="27"/>
        <v>538</v>
      </c>
      <c r="M109" s="169">
        <f t="shared" si="27"/>
        <v>538</v>
      </c>
      <c r="N109" s="169">
        <f t="shared" si="27"/>
        <v>538</v>
      </c>
      <c r="O109" s="169">
        <f t="shared" si="27"/>
        <v>538</v>
      </c>
      <c r="P109" s="169">
        <f t="shared" si="27"/>
        <v>538</v>
      </c>
      <c r="Q109" s="169">
        <f t="shared" si="27"/>
        <v>538</v>
      </c>
      <c r="R109" s="169">
        <f t="shared" si="27"/>
        <v>538</v>
      </c>
      <c r="S109" s="169">
        <f t="shared" si="27"/>
        <v>538</v>
      </c>
      <c r="T109" s="169">
        <f t="shared" si="27"/>
        <v>538</v>
      </c>
      <c r="U109" s="169">
        <f t="shared" si="27"/>
        <v>538</v>
      </c>
      <c r="V109" s="169">
        <f t="shared" si="27"/>
        <v>538</v>
      </c>
      <c r="W109" s="169">
        <f t="shared" si="27"/>
        <v>538</v>
      </c>
      <c r="X109" s="169">
        <f t="shared" si="27"/>
        <v>538</v>
      </c>
      <c r="Y109" s="169">
        <f t="shared" si="27"/>
        <v>538</v>
      </c>
      <c r="AA109" s="606">
        <f t="shared" si="25"/>
        <v>10760</v>
      </c>
      <c r="AB109" s="607">
        <f t="shared" si="18"/>
        <v>5380</v>
      </c>
    </row>
    <row r="110" spans="1:28">
      <c r="AA110" s="606">
        <f t="shared" si="25"/>
        <v>0</v>
      </c>
      <c r="AB110" s="607">
        <f t="shared" si="18"/>
        <v>0</v>
      </c>
    </row>
    <row r="111" spans="1:28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>
      <c r="A112" s="126" t="s">
        <v>71</v>
      </c>
      <c r="D112" s="184">
        <f>D108</f>
        <v>126309.07232824156</v>
      </c>
      <c r="AA112" s="606">
        <f t="shared" si="25"/>
        <v>0</v>
      </c>
      <c r="AB112" s="607">
        <f t="shared" si="18"/>
        <v>0</v>
      </c>
    </row>
    <row r="113" spans="1:28">
      <c r="A113" s="105" t="s">
        <v>72</v>
      </c>
      <c r="E113" s="185"/>
      <c r="F113" s="153">
        <v>0.2</v>
      </c>
      <c r="G113" s="153">
        <v>0.32</v>
      </c>
      <c r="H113" s="153">
        <v>0.192</v>
      </c>
      <c r="I113" s="153">
        <v>0.1152</v>
      </c>
      <c r="J113" s="153">
        <v>0.1152</v>
      </c>
      <c r="K113" s="153">
        <v>5.7599999999999998E-2</v>
      </c>
      <c r="L113" s="155">
        <v>0</v>
      </c>
      <c r="M113" s="155">
        <v>0</v>
      </c>
      <c r="N113" s="155">
        <v>0</v>
      </c>
      <c r="O113" s="155">
        <v>0</v>
      </c>
      <c r="P113" s="155">
        <v>0</v>
      </c>
      <c r="Q113" s="155">
        <v>0</v>
      </c>
      <c r="R113" s="155">
        <v>0</v>
      </c>
      <c r="S113" s="155">
        <v>0</v>
      </c>
      <c r="T113" s="155">
        <v>0</v>
      </c>
      <c r="U113" s="155">
        <v>0</v>
      </c>
      <c r="V113" s="155">
        <v>0</v>
      </c>
      <c r="W113" s="155">
        <v>0</v>
      </c>
      <c r="X113" s="155">
        <v>0</v>
      </c>
      <c r="Y113" s="155">
        <v>0</v>
      </c>
      <c r="Z113" s="192"/>
      <c r="AA113" s="606">
        <f t="shared" si="25"/>
        <v>0.99999999999999989</v>
      </c>
      <c r="AB113" s="607">
        <f t="shared" si="18"/>
        <v>0.49999999999999994</v>
      </c>
    </row>
    <row r="114" spans="1:28">
      <c r="A114" s="105" t="s">
        <v>70</v>
      </c>
      <c r="F114" s="169">
        <f t="shared" ref="F114:Y114" si="28">$D$112*F113</f>
        <v>25261.814465648313</v>
      </c>
      <c r="G114" s="169">
        <f t="shared" si="28"/>
        <v>40418.9031450373</v>
      </c>
      <c r="H114" s="169">
        <f t="shared" si="28"/>
        <v>24251.34188702238</v>
      </c>
      <c r="I114" s="169">
        <f t="shared" si="28"/>
        <v>14550.805132213427</v>
      </c>
      <c r="J114" s="169">
        <f t="shared" si="28"/>
        <v>14550.805132213427</v>
      </c>
      <c r="K114" s="169">
        <f t="shared" si="28"/>
        <v>7275.4025661067135</v>
      </c>
      <c r="L114" s="169">
        <f t="shared" si="28"/>
        <v>0</v>
      </c>
      <c r="M114" s="169">
        <f t="shared" si="28"/>
        <v>0</v>
      </c>
      <c r="N114" s="169">
        <f t="shared" si="28"/>
        <v>0</v>
      </c>
      <c r="O114" s="169">
        <f t="shared" si="28"/>
        <v>0</v>
      </c>
      <c r="P114" s="169">
        <f t="shared" si="28"/>
        <v>0</v>
      </c>
      <c r="Q114" s="169">
        <f t="shared" si="28"/>
        <v>0</v>
      </c>
      <c r="R114" s="169">
        <f t="shared" si="28"/>
        <v>0</v>
      </c>
      <c r="S114" s="169">
        <f t="shared" si="28"/>
        <v>0</v>
      </c>
      <c r="T114" s="169">
        <f t="shared" si="28"/>
        <v>0</v>
      </c>
      <c r="U114" s="169">
        <f t="shared" si="28"/>
        <v>0</v>
      </c>
      <c r="V114" s="169">
        <f t="shared" si="28"/>
        <v>0</v>
      </c>
      <c r="W114" s="169">
        <f t="shared" si="28"/>
        <v>0</v>
      </c>
      <c r="X114" s="169">
        <f t="shared" si="28"/>
        <v>0</v>
      </c>
      <c r="Y114" s="169">
        <f t="shared" si="28"/>
        <v>0</v>
      </c>
      <c r="AA114" s="606">
        <f t="shared" si="25"/>
        <v>126309.07232824157</v>
      </c>
      <c r="AB114" s="607">
        <f t="shared" si="18"/>
        <v>63154.536164120786</v>
      </c>
    </row>
    <row r="115" spans="1:28">
      <c r="A115" s="199" t="s">
        <v>571</v>
      </c>
      <c r="D115" s="184">
        <f>D109</f>
        <v>10760.056226573262</v>
      </c>
      <c r="F115" s="169">
        <f>$D$115*F113</f>
        <v>2152.0112453146526</v>
      </c>
      <c r="G115" s="169">
        <f t="shared" ref="G115:Y115" si="29">$D$115*G113</f>
        <v>3443.2179925034438</v>
      </c>
      <c r="H115" s="169">
        <f t="shared" si="29"/>
        <v>2065.9307955020663</v>
      </c>
      <c r="I115" s="169">
        <f t="shared" si="29"/>
        <v>1239.5584773012397</v>
      </c>
      <c r="J115" s="169">
        <f t="shared" si="29"/>
        <v>1239.5584773012397</v>
      </c>
      <c r="K115" s="169">
        <f t="shared" si="29"/>
        <v>619.77923865061985</v>
      </c>
      <c r="L115" s="169">
        <f t="shared" si="29"/>
        <v>0</v>
      </c>
      <c r="M115" s="169">
        <f t="shared" si="29"/>
        <v>0</v>
      </c>
      <c r="N115" s="169">
        <f t="shared" si="29"/>
        <v>0</v>
      </c>
      <c r="O115" s="169">
        <f t="shared" si="29"/>
        <v>0</v>
      </c>
      <c r="P115" s="169">
        <f t="shared" si="29"/>
        <v>0</v>
      </c>
      <c r="Q115" s="169">
        <f t="shared" si="29"/>
        <v>0</v>
      </c>
      <c r="R115" s="169">
        <f t="shared" si="29"/>
        <v>0</v>
      </c>
      <c r="S115" s="169">
        <f t="shared" si="29"/>
        <v>0</v>
      </c>
      <c r="T115" s="169">
        <f t="shared" si="29"/>
        <v>0</v>
      </c>
      <c r="U115" s="169">
        <f t="shared" si="29"/>
        <v>0</v>
      </c>
      <c r="V115" s="169">
        <f t="shared" si="29"/>
        <v>0</v>
      </c>
      <c r="W115" s="169">
        <f t="shared" si="29"/>
        <v>0</v>
      </c>
      <c r="X115" s="169">
        <f t="shared" si="29"/>
        <v>0</v>
      </c>
      <c r="Y115" s="169">
        <f t="shared" si="29"/>
        <v>0</v>
      </c>
      <c r="AA115" s="606">
        <f t="shared" si="25"/>
        <v>10760.056226573262</v>
      </c>
      <c r="AB115" s="607">
        <f t="shared" si="18"/>
        <v>5380.0281132866312</v>
      </c>
    </row>
    <row r="116" spans="1:28">
      <c r="AA116" s="606">
        <f t="shared" si="25"/>
        <v>0</v>
      </c>
      <c r="AB116" s="607">
        <f t="shared" si="18"/>
        <v>0</v>
      </c>
    </row>
    <row r="117" spans="1:28">
      <c r="AA117" s="606">
        <f t="shared" si="25"/>
        <v>0</v>
      </c>
      <c r="AB117" s="607">
        <f t="shared" si="18"/>
        <v>0</v>
      </c>
    </row>
    <row r="118" spans="1:28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>
      <c r="A120" s="187" t="str">
        <f>A64</f>
        <v>EBITDA</v>
      </c>
      <c r="F120" s="169">
        <f>F39</f>
        <v>14507</v>
      </c>
      <c r="G120" s="169">
        <f t="shared" ref="G120:Y120" si="31">G39</f>
        <v>13753</v>
      </c>
      <c r="H120" s="169">
        <f t="shared" si="31"/>
        <v>13638</v>
      </c>
      <c r="I120" s="169">
        <f t="shared" si="31"/>
        <v>13649</v>
      </c>
      <c r="J120" s="169">
        <f t="shared" si="31"/>
        <v>13959</v>
      </c>
      <c r="K120" s="169">
        <f t="shared" si="31"/>
        <v>14021</v>
      </c>
      <c r="L120" s="169">
        <f t="shared" si="31"/>
        <v>14225</v>
      </c>
      <c r="M120" s="169">
        <f t="shared" si="31"/>
        <v>13923</v>
      </c>
      <c r="N120" s="169">
        <f t="shared" si="31"/>
        <v>13821</v>
      </c>
      <c r="O120" s="169">
        <f t="shared" si="31"/>
        <v>13755</v>
      </c>
      <c r="P120" s="169">
        <f t="shared" si="31"/>
        <v>13647</v>
      </c>
      <c r="Q120" s="169">
        <f t="shared" si="31"/>
        <v>13475</v>
      </c>
      <c r="R120" s="169">
        <f t="shared" si="31"/>
        <v>13513</v>
      </c>
      <c r="S120" s="169">
        <f t="shared" si="31"/>
        <v>13428</v>
      </c>
      <c r="T120" s="169">
        <f t="shared" si="31"/>
        <v>13337</v>
      </c>
      <c r="U120" s="169">
        <f t="shared" si="31"/>
        <v>13292</v>
      </c>
      <c r="V120" s="169">
        <f t="shared" si="31"/>
        <v>13255</v>
      </c>
      <c r="W120" s="169">
        <f t="shared" si="31"/>
        <v>13199</v>
      </c>
      <c r="X120" s="169">
        <f t="shared" si="31"/>
        <v>13034</v>
      </c>
      <c r="Y120" s="169">
        <f t="shared" si="31"/>
        <v>13248</v>
      </c>
      <c r="AA120" s="606">
        <f t="shared" si="25"/>
        <v>272679</v>
      </c>
      <c r="AB120" s="607">
        <f t="shared" si="18"/>
        <v>136339.5</v>
      </c>
    </row>
    <row r="121" spans="1:28">
      <c r="A121" s="105" t="s">
        <v>74</v>
      </c>
      <c r="F121" s="169">
        <f>-F114</f>
        <v>-25261.814465648313</v>
      </c>
      <c r="G121" s="169">
        <f t="shared" ref="G121:Y121" si="32">-G114</f>
        <v>-40418.9031450373</v>
      </c>
      <c r="H121" s="169">
        <f t="shared" si="32"/>
        <v>-24251.34188702238</v>
      </c>
      <c r="I121" s="169">
        <f t="shared" si="32"/>
        <v>-14550.805132213427</v>
      </c>
      <c r="J121" s="169">
        <f t="shared" si="32"/>
        <v>-14550.805132213427</v>
      </c>
      <c r="K121" s="169">
        <f t="shared" si="32"/>
        <v>-7275.4025661067135</v>
      </c>
      <c r="L121" s="169">
        <f t="shared" si="32"/>
        <v>0</v>
      </c>
      <c r="M121" s="169">
        <f t="shared" si="32"/>
        <v>0</v>
      </c>
      <c r="N121" s="169">
        <f t="shared" si="32"/>
        <v>0</v>
      </c>
      <c r="O121" s="169">
        <f t="shared" si="32"/>
        <v>0</v>
      </c>
      <c r="P121" s="169">
        <f t="shared" si="32"/>
        <v>0</v>
      </c>
      <c r="Q121" s="169">
        <f t="shared" si="32"/>
        <v>0</v>
      </c>
      <c r="R121" s="169">
        <f t="shared" si="32"/>
        <v>0</v>
      </c>
      <c r="S121" s="169">
        <f t="shared" si="32"/>
        <v>0</v>
      </c>
      <c r="T121" s="169">
        <f t="shared" si="32"/>
        <v>0</v>
      </c>
      <c r="U121" s="169">
        <f t="shared" si="32"/>
        <v>0</v>
      </c>
      <c r="V121" s="169">
        <f t="shared" si="32"/>
        <v>0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-126309.07232824157</v>
      </c>
      <c r="AB121" s="607">
        <f t="shared" si="18"/>
        <v>-63154.536164120786</v>
      </c>
    </row>
    <row r="122" spans="1:28">
      <c r="A122" s="105" t="s">
        <v>75</v>
      </c>
      <c r="F122" s="188">
        <f>-F46</f>
        <v>-5094</v>
      </c>
      <c r="G122" s="188">
        <f t="shared" ref="G122:Y122" si="33">-G46</f>
        <v>-4949</v>
      </c>
      <c r="H122" s="188">
        <f t="shared" si="33"/>
        <v>-4804</v>
      </c>
      <c r="I122" s="188">
        <f t="shared" si="33"/>
        <v>-4638</v>
      </c>
      <c r="J122" s="188">
        <f t="shared" si="33"/>
        <v>-4454</v>
      </c>
      <c r="K122" s="188">
        <f t="shared" si="33"/>
        <v>-4291</v>
      </c>
      <c r="L122" s="188">
        <f t="shared" si="33"/>
        <v>-4082</v>
      </c>
      <c r="M122" s="188">
        <f t="shared" si="33"/>
        <v>-3848</v>
      </c>
      <c r="N122" s="188">
        <f t="shared" si="33"/>
        <v>-3606</v>
      </c>
      <c r="O122" s="188">
        <f t="shared" si="33"/>
        <v>-3347</v>
      </c>
      <c r="P122" s="188">
        <f t="shared" si="33"/>
        <v>-3069</v>
      </c>
      <c r="Q122" s="188">
        <f t="shared" si="33"/>
        <v>-2771</v>
      </c>
      <c r="R122" s="188">
        <f t="shared" si="33"/>
        <v>-2483</v>
      </c>
      <c r="S122" s="188">
        <f t="shared" si="33"/>
        <v>-2141</v>
      </c>
      <c r="T122" s="188">
        <f t="shared" si="33"/>
        <v>-1775</v>
      </c>
      <c r="U122" s="188">
        <f t="shared" si="33"/>
        <v>-1381</v>
      </c>
      <c r="V122" s="188">
        <f t="shared" si="33"/>
        <v>-956</v>
      </c>
      <c r="W122" s="188">
        <f t="shared" si="33"/>
        <v>-496</v>
      </c>
      <c r="X122" s="188">
        <f t="shared" si="33"/>
        <v>0</v>
      </c>
      <c r="Y122" s="188">
        <f t="shared" si="33"/>
        <v>0</v>
      </c>
      <c r="AA122" s="606">
        <f t="shared" si="25"/>
        <v>-58185</v>
      </c>
      <c r="AB122" s="607">
        <f t="shared" si="18"/>
        <v>-29092.5</v>
      </c>
    </row>
    <row r="123" spans="1:28">
      <c r="A123" s="105" t="s">
        <v>76</v>
      </c>
      <c r="F123" s="169">
        <f>SUM(F120:F122)</f>
        <v>-15848.814465648313</v>
      </c>
      <c r="G123" s="169">
        <f t="shared" ref="G123:Y123" si="34">SUM(G120:G122)</f>
        <v>-31614.9031450373</v>
      </c>
      <c r="H123" s="169">
        <f t="shared" si="34"/>
        <v>-15417.34188702238</v>
      </c>
      <c r="I123" s="169">
        <f t="shared" si="34"/>
        <v>-5539.805132213427</v>
      </c>
      <c r="J123" s="169">
        <f t="shared" si="34"/>
        <v>-5045.805132213427</v>
      </c>
      <c r="K123" s="169">
        <f t="shared" si="34"/>
        <v>2454.5974338932865</v>
      </c>
      <c r="L123" s="169">
        <f t="shared" si="34"/>
        <v>10143</v>
      </c>
      <c r="M123" s="169">
        <f t="shared" si="34"/>
        <v>10075</v>
      </c>
      <c r="N123" s="169">
        <f t="shared" si="34"/>
        <v>10215</v>
      </c>
      <c r="O123" s="169">
        <f t="shared" si="34"/>
        <v>10408</v>
      </c>
      <c r="P123" s="169">
        <f t="shared" si="34"/>
        <v>10578</v>
      </c>
      <c r="Q123" s="169">
        <f t="shared" si="34"/>
        <v>10704</v>
      </c>
      <c r="R123" s="169">
        <f t="shared" si="34"/>
        <v>11030</v>
      </c>
      <c r="S123" s="169">
        <f t="shared" si="34"/>
        <v>11287</v>
      </c>
      <c r="T123" s="169">
        <f t="shared" si="34"/>
        <v>11562</v>
      </c>
      <c r="U123" s="169">
        <f t="shared" si="34"/>
        <v>11911</v>
      </c>
      <c r="V123" s="169">
        <f t="shared" si="34"/>
        <v>12299</v>
      </c>
      <c r="W123" s="169">
        <f t="shared" si="34"/>
        <v>12703</v>
      </c>
      <c r="X123" s="169">
        <f t="shared" si="34"/>
        <v>13034</v>
      </c>
      <c r="Y123" s="169">
        <f t="shared" si="34"/>
        <v>13248</v>
      </c>
      <c r="AA123" s="606">
        <f t="shared" si="25"/>
        <v>88184.927671758443</v>
      </c>
      <c r="AB123" s="607">
        <f t="shared" si="18"/>
        <v>44092.463835879222</v>
      </c>
    </row>
    <row r="124" spans="1:28">
      <c r="AA124" s="606">
        <f t="shared" si="25"/>
        <v>0</v>
      </c>
      <c r="AB124" s="607">
        <f t="shared" si="18"/>
        <v>0</v>
      </c>
    </row>
    <row r="125" spans="1:28">
      <c r="A125" s="105" t="s">
        <v>88</v>
      </c>
      <c r="C125" s="189">
        <f>C51</f>
        <v>0.05</v>
      </c>
      <c r="F125" s="169">
        <f>-F123*$C$125</f>
        <v>792.44072328241566</v>
      </c>
      <c r="G125" s="169">
        <f t="shared" ref="G125:Y125" si="35">-G123*$C$125</f>
        <v>1580.7451572518651</v>
      </c>
      <c r="H125" s="169">
        <f t="shared" si="35"/>
        <v>770.86709435111902</v>
      </c>
      <c r="I125" s="169">
        <f t="shared" si="35"/>
        <v>276.99025661067134</v>
      </c>
      <c r="J125" s="169">
        <f t="shared" si="35"/>
        <v>252.29025661067135</v>
      </c>
      <c r="K125" s="169">
        <f t="shared" si="35"/>
        <v>-122.72987169466433</v>
      </c>
      <c r="L125" s="169">
        <f t="shared" si="35"/>
        <v>-507.15000000000003</v>
      </c>
      <c r="M125" s="169">
        <f t="shared" si="35"/>
        <v>-503.75</v>
      </c>
      <c r="N125" s="169">
        <f t="shared" si="35"/>
        <v>-510.75</v>
      </c>
      <c r="O125" s="169">
        <f t="shared" si="35"/>
        <v>-520.4</v>
      </c>
      <c r="P125" s="169">
        <f t="shared" si="35"/>
        <v>-528.9</v>
      </c>
      <c r="Q125" s="169">
        <f t="shared" si="35"/>
        <v>-535.20000000000005</v>
      </c>
      <c r="R125" s="169">
        <f t="shared" si="35"/>
        <v>-551.5</v>
      </c>
      <c r="S125" s="169">
        <f t="shared" si="35"/>
        <v>-564.35</v>
      </c>
      <c r="T125" s="169">
        <f t="shared" si="35"/>
        <v>-578.1</v>
      </c>
      <c r="U125" s="169">
        <f t="shared" si="35"/>
        <v>-595.55000000000007</v>
      </c>
      <c r="V125" s="169">
        <f t="shared" si="35"/>
        <v>-614.95000000000005</v>
      </c>
      <c r="W125" s="169">
        <f t="shared" si="35"/>
        <v>-635.15000000000009</v>
      </c>
      <c r="X125" s="169">
        <f t="shared" si="35"/>
        <v>-651.70000000000005</v>
      </c>
      <c r="Y125" s="169">
        <f t="shared" si="35"/>
        <v>-662.40000000000009</v>
      </c>
      <c r="AA125" s="606">
        <f t="shared" si="25"/>
        <v>-4409.2463835879225</v>
      </c>
      <c r="AB125" s="607">
        <f t="shared" si="18"/>
        <v>-2204.6231917939613</v>
      </c>
    </row>
    <row r="126" spans="1:28">
      <c r="A126" s="105" t="s">
        <v>77</v>
      </c>
      <c r="C126" s="189">
        <f>C52</f>
        <v>0.35</v>
      </c>
      <c r="F126" s="169">
        <f>-(F123+F125)*$C$126</f>
        <v>5269.7308098280637</v>
      </c>
      <c r="G126" s="169">
        <f t="shared" ref="G126:Y126" si="36">-(G123+G125)*$C$126</f>
        <v>10511.955295724902</v>
      </c>
      <c r="H126" s="169">
        <f t="shared" si="36"/>
        <v>5126.2661774349408</v>
      </c>
      <c r="I126" s="169">
        <f t="shared" si="36"/>
        <v>1841.9852064609645</v>
      </c>
      <c r="J126" s="169">
        <f t="shared" si="36"/>
        <v>1677.7302064609644</v>
      </c>
      <c r="K126" s="169">
        <f t="shared" si="36"/>
        <v>-816.15364676951776</v>
      </c>
      <c r="L126" s="169">
        <f t="shared" si="36"/>
        <v>-3372.5475000000001</v>
      </c>
      <c r="M126" s="169">
        <f t="shared" si="36"/>
        <v>-3349.9375</v>
      </c>
      <c r="N126" s="169">
        <f t="shared" si="36"/>
        <v>-3396.4874999999997</v>
      </c>
      <c r="O126" s="169">
        <f t="shared" si="36"/>
        <v>-3460.66</v>
      </c>
      <c r="P126" s="169">
        <f t="shared" si="36"/>
        <v>-3517.1849999999999</v>
      </c>
      <c r="Q126" s="169">
        <f t="shared" si="36"/>
        <v>-3559.0799999999995</v>
      </c>
      <c r="R126" s="169">
        <f t="shared" si="36"/>
        <v>-3667.4749999999999</v>
      </c>
      <c r="S126" s="169">
        <f t="shared" si="36"/>
        <v>-3752.9274999999998</v>
      </c>
      <c r="T126" s="169">
        <f t="shared" si="36"/>
        <v>-3844.3649999999998</v>
      </c>
      <c r="U126" s="169">
        <f t="shared" si="36"/>
        <v>-3960.4074999999998</v>
      </c>
      <c r="V126" s="169">
        <f t="shared" si="36"/>
        <v>-4089.4174999999996</v>
      </c>
      <c r="W126" s="169">
        <f t="shared" si="36"/>
        <v>-4223.7474999999995</v>
      </c>
      <c r="X126" s="169">
        <f t="shared" si="36"/>
        <v>-4333.8049999999994</v>
      </c>
      <c r="Y126" s="169">
        <f t="shared" si="36"/>
        <v>-4404.96</v>
      </c>
      <c r="AA126" s="606">
        <f t="shared" si="25"/>
        <v>-29321.488450859677</v>
      </c>
      <c r="AB126" s="607">
        <f t="shared" si="18"/>
        <v>-14660.744225429838</v>
      </c>
    </row>
    <row r="127" spans="1:28">
      <c r="AA127" s="606">
        <f t="shared" si="25"/>
        <v>0</v>
      </c>
      <c r="AB127" s="607">
        <f t="shared" si="18"/>
        <v>0</v>
      </c>
    </row>
    <row r="128" spans="1:28">
      <c r="AA128" s="606">
        <f t="shared" si="25"/>
        <v>0</v>
      </c>
      <c r="AB128" s="607">
        <f t="shared" si="18"/>
        <v>0</v>
      </c>
    </row>
    <row r="129" spans="1:28">
      <c r="AA129" s="606">
        <f t="shared" si="25"/>
        <v>0</v>
      </c>
      <c r="AB129" s="607">
        <f t="shared" si="18"/>
        <v>0</v>
      </c>
    </row>
    <row r="130" spans="1:28">
      <c r="AA130" s="606">
        <f t="shared" si="25"/>
        <v>0</v>
      </c>
      <c r="AB130" s="607">
        <f t="shared" si="18"/>
        <v>0</v>
      </c>
    </row>
    <row r="131" spans="1:28">
      <c r="AA131" s="606">
        <f t="shared" si="25"/>
        <v>0</v>
      </c>
      <c r="AB131" s="607">
        <f t="shared" si="18"/>
        <v>0</v>
      </c>
    </row>
    <row r="132" spans="1:28">
      <c r="AA132" s="606">
        <f t="shared" si="25"/>
        <v>0</v>
      </c>
      <c r="AB132" s="607">
        <f t="shared" si="18"/>
        <v>0</v>
      </c>
    </row>
    <row r="133" spans="1:28">
      <c r="AA133" s="606">
        <f t="shared" si="25"/>
        <v>0</v>
      </c>
      <c r="AB133" s="607">
        <f t="shared" si="18"/>
        <v>0</v>
      </c>
    </row>
    <row r="134" spans="1:28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>
      <c r="AA135" s="606">
        <f t="shared" si="25"/>
        <v>0</v>
      </c>
      <c r="AB135" s="607">
        <f t="shared" ref="AB135:AB151" si="38">AA135</f>
        <v>0</v>
      </c>
    </row>
    <row r="136" spans="1:28">
      <c r="A136" s="105" t="s">
        <v>90</v>
      </c>
      <c r="F136" s="258">
        <f>+[3]NOTE!G13/1000</f>
        <v>2867.2920867685548</v>
      </c>
      <c r="G136" s="258">
        <f>+[3]NOTE!H13/1000</f>
        <v>2733.2080034304372</v>
      </c>
      <c r="H136" s="258">
        <f>+[3]NOTE!I13/1000</f>
        <v>2585.7155117585071</v>
      </c>
      <c r="I136" s="258">
        <f>+[3]NOTE!J13/1000</f>
        <v>2423.4737709193842</v>
      </c>
      <c r="J136" s="258">
        <f>+[3]NOTE!K13/1000</f>
        <v>2245.007855996349</v>
      </c>
      <c r="K136" s="258">
        <f>+[3]NOTE!L13/1000</f>
        <v>2048.6953495810099</v>
      </c>
      <c r="L136" s="258">
        <f>+[3]NOTE!M13/1000</f>
        <v>1832.7515925241373</v>
      </c>
      <c r="M136" s="258">
        <f>+[3]NOTE!N13/1000</f>
        <v>1595.2134597615777</v>
      </c>
      <c r="N136" s="258">
        <f>+[3]NOTE!O13/1000</f>
        <v>1333.9215137227618</v>
      </c>
      <c r="O136" s="258">
        <f>+[3]NOTE!P13/1000</f>
        <v>1046.5003730800645</v>
      </c>
      <c r="P136" s="258">
        <f>+[3]NOTE!Q13/1000</f>
        <v>730.33711837309727</v>
      </c>
      <c r="Q136" s="258">
        <f>+[3]NOTE!R13/1000</f>
        <v>382.55753819543332</v>
      </c>
      <c r="R136" s="258">
        <f>+[3]NOTE!S13/1000</f>
        <v>0</v>
      </c>
      <c r="S136" s="258">
        <f>+[3]NOTE!T13/1000</f>
        <v>0</v>
      </c>
      <c r="T136" s="258">
        <f>+[3]NOTE!U13/1000</f>
        <v>0</v>
      </c>
      <c r="U136" s="258">
        <f>+[3]NOTE!V13/1000</f>
        <v>0</v>
      </c>
      <c r="V136" s="258">
        <f>+[3]NOTE!W13/1000</f>
        <v>0</v>
      </c>
      <c r="W136" s="258">
        <f>+[3]NOTE!X13/1000</f>
        <v>0</v>
      </c>
      <c r="X136" s="258">
        <f>+[3]NOTE!Y13/1000</f>
        <v>0</v>
      </c>
      <c r="Y136" s="258">
        <f>+[3]NOTE!Z13/1000</f>
        <v>0</v>
      </c>
      <c r="AA136" s="606">
        <f t="shared" si="25"/>
        <v>21824.674174111311</v>
      </c>
      <c r="AB136" s="607">
        <f t="shared" si="38"/>
        <v>21824.674174111311</v>
      </c>
    </row>
    <row r="137" spans="1:28">
      <c r="A137" s="105" t="s">
        <v>78</v>
      </c>
      <c r="F137" s="188">
        <f>SUM(F33:F35)</f>
        <v>1477</v>
      </c>
      <c r="G137" s="188">
        <f t="shared" ref="G137:Y137" si="39">SUM(G33:G35)</f>
        <v>1483</v>
      </c>
      <c r="H137" s="188">
        <f t="shared" si="39"/>
        <v>1490</v>
      </c>
      <c r="I137" s="188">
        <f t="shared" si="39"/>
        <v>1497</v>
      </c>
      <c r="J137" s="188">
        <f t="shared" si="39"/>
        <v>1533</v>
      </c>
      <c r="K137" s="188">
        <f t="shared" si="39"/>
        <v>1570</v>
      </c>
      <c r="L137" s="188">
        <f t="shared" si="39"/>
        <v>1607</v>
      </c>
      <c r="M137" s="188">
        <f t="shared" si="39"/>
        <v>1646</v>
      </c>
      <c r="N137" s="188">
        <f t="shared" si="39"/>
        <v>1685</v>
      </c>
      <c r="O137" s="188">
        <f t="shared" si="39"/>
        <v>1726</v>
      </c>
      <c r="P137" s="188">
        <f t="shared" si="39"/>
        <v>1767</v>
      </c>
      <c r="Q137" s="188">
        <f t="shared" si="39"/>
        <v>1810</v>
      </c>
      <c r="R137" s="188">
        <f t="shared" si="39"/>
        <v>1853</v>
      </c>
      <c r="S137" s="188">
        <f t="shared" si="39"/>
        <v>1898</v>
      </c>
      <c r="T137" s="188">
        <f t="shared" si="39"/>
        <v>1945</v>
      </c>
      <c r="U137" s="188">
        <f t="shared" si="39"/>
        <v>1994</v>
      </c>
      <c r="V137" s="188">
        <f t="shared" si="39"/>
        <v>2043</v>
      </c>
      <c r="W137" s="188">
        <f t="shared" si="39"/>
        <v>2094</v>
      </c>
      <c r="X137" s="188">
        <f t="shared" si="39"/>
        <v>2147</v>
      </c>
      <c r="Y137" s="188">
        <f t="shared" si="39"/>
        <v>2201</v>
      </c>
      <c r="AA137" s="606">
        <f t="shared" si="25"/>
        <v>35466</v>
      </c>
      <c r="AB137" s="607">
        <f t="shared" si="38"/>
        <v>35466</v>
      </c>
    </row>
    <row r="138" spans="1:28">
      <c r="A138" s="105" t="s">
        <v>79</v>
      </c>
      <c r="F138" s="169">
        <f>F136+F137</f>
        <v>4344.2920867685552</v>
      </c>
      <c r="G138" s="169">
        <f t="shared" ref="G138:Y138" si="40">G136+G137</f>
        <v>4216.2080034304372</v>
      </c>
      <c r="H138" s="169">
        <f t="shared" si="40"/>
        <v>4075.7155117585071</v>
      </c>
      <c r="I138" s="169">
        <f t="shared" si="40"/>
        <v>3920.4737709193842</v>
      </c>
      <c r="J138" s="169">
        <f t="shared" si="40"/>
        <v>3778.007855996349</v>
      </c>
      <c r="K138" s="169">
        <f t="shared" si="40"/>
        <v>3618.6953495810099</v>
      </c>
      <c r="L138" s="169">
        <f t="shared" si="40"/>
        <v>3439.7515925241373</v>
      </c>
      <c r="M138" s="169">
        <f t="shared" si="40"/>
        <v>3241.2134597615777</v>
      </c>
      <c r="N138" s="169">
        <f t="shared" si="40"/>
        <v>3018.921513722762</v>
      </c>
      <c r="O138" s="169">
        <f t="shared" si="40"/>
        <v>2772.5003730800645</v>
      </c>
      <c r="P138" s="169">
        <f t="shared" si="40"/>
        <v>2497.3371183730974</v>
      </c>
      <c r="Q138" s="169">
        <f t="shared" si="40"/>
        <v>2192.5575381954332</v>
      </c>
      <c r="R138" s="169">
        <f t="shared" si="40"/>
        <v>1853</v>
      </c>
      <c r="S138" s="169">
        <f t="shared" si="40"/>
        <v>1898</v>
      </c>
      <c r="T138" s="169">
        <f t="shared" si="40"/>
        <v>1945</v>
      </c>
      <c r="U138" s="169">
        <f t="shared" si="40"/>
        <v>1994</v>
      </c>
      <c r="V138" s="169">
        <f t="shared" si="40"/>
        <v>2043</v>
      </c>
      <c r="W138" s="169">
        <f t="shared" si="40"/>
        <v>2094</v>
      </c>
      <c r="X138" s="169">
        <f t="shared" si="40"/>
        <v>2147</v>
      </c>
      <c r="Y138" s="169">
        <f t="shared" si="40"/>
        <v>2201</v>
      </c>
      <c r="AA138" s="606">
        <f t="shared" si="25"/>
        <v>57290.674174111315</v>
      </c>
      <c r="AB138" s="607">
        <f t="shared" si="38"/>
        <v>57290.674174111315</v>
      </c>
    </row>
    <row r="139" spans="1:28">
      <c r="A139" s="105" t="s">
        <v>80</v>
      </c>
      <c r="C139" s="189">
        <f>C125</f>
        <v>0.05</v>
      </c>
      <c r="F139" s="169">
        <f>F138*$C$139</f>
        <v>217.21460433842776</v>
      </c>
      <c r="G139" s="169">
        <f t="shared" ref="G139:Y139" si="41">G138*$C$139</f>
        <v>210.81040017152188</v>
      </c>
      <c r="H139" s="169">
        <f t="shared" si="41"/>
        <v>203.78577558792537</v>
      </c>
      <c r="I139" s="169">
        <f t="shared" si="41"/>
        <v>196.02368854596921</v>
      </c>
      <c r="J139" s="169">
        <f t="shared" si="41"/>
        <v>188.90039279981747</v>
      </c>
      <c r="K139" s="169">
        <f t="shared" si="41"/>
        <v>180.93476747905049</v>
      </c>
      <c r="L139" s="169">
        <f t="shared" si="41"/>
        <v>171.98757962620687</v>
      </c>
      <c r="M139" s="169">
        <f t="shared" si="41"/>
        <v>162.06067298807889</v>
      </c>
      <c r="N139" s="169">
        <f t="shared" si="41"/>
        <v>150.9460756861381</v>
      </c>
      <c r="O139" s="169">
        <f t="shared" si="41"/>
        <v>138.62501865400324</v>
      </c>
      <c r="P139" s="169">
        <f t="shared" si="41"/>
        <v>124.86685591865488</v>
      </c>
      <c r="Q139" s="169">
        <f t="shared" si="41"/>
        <v>109.62787690977166</v>
      </c>
      <c r="R139" s="169">
        <f t="shared" si="41"/>
        <v>92.65</v>
      </c>
      <c r="S139" s="169">
        <f t="shared" si="41"/>
        <v>94.9</v>
      </c>
      <c r="T139" s="169">
        <f t="shared" si="41"/>
        <v>97.25</v>
      </c>
      <c r="U139" s="169">
        <f t="shared" si="41"/>
        <v>99.7</v>
      </c>
      <c r="V139" s="169">
        <f t="shared" si="41"/>
        <v>102.15</v>
      </c>
      <c r="W139" s="169">
        <f t="shared" si="41"/>
        <v>104.7</v>
      </c>
      <c r="X139" s="169">
        <f t="shared" si="41"/>
        <v>107.35000000000001</v>
      </c>
      <c r="Y139" s="169">
        <f t="shared" si="41"/>
        <v>110.05000000000001</v>
      </c>
      <c r="AA139" s="606">
        <f t="shared" si="25"/>
        <v>2864.5337087055659</v>
      </c>
      <c r="AB139" s="607">
        <f t="shared" si="38"/>
        <v>2864.5337087055659</v>
      </c>
    </row>
    <row r="140" spans="1:28">
      <c r="A140" s="105" t="s">
        <v>81</v>
      </c>
      <c r="C140" s="189">
        <f>C126</f>
        <v>0.35</v>
      </c>
      <c r="F140" s="188">
        <f>(F138-F139)*$C$140</f>
        <v>1444.4771188505447</v>
      </c>
      <c r="G140" s="188">
        <f t="shared" ref="G140:Y140" si="42">(G138-G139)*$C$140</f>
        <v>1401.8891611406202</v>
      </c>
      <c r="H140" s="188">
        <f t="shared" si="42"/>
        <v>1355.1754076597035</v>
      </c>
      <c r="I140" s="188">
        <f t="shared" si="42"/>
        <v>1303.5575288306952</v>
      </c>
      <c r="J140" s="188">
        <f t="shared" si="42"/>
        <v>1256.1876121187861</v>
      </c>
      <c r="K140" s="188">
        <f t="shared" si="42"/>
        <v>1203.2162037356857</v>
      </c>
      <c r="L140" s="188">
        <f t="shared" si="42"/>
        <v>1143.7174045142756</v>
      </c>
      <c r="M140" s="188">
        <f t="shared" si="42"/>
        <v>1077.7034753707246</v>
      </c>
      <c r="N140" s="188">
        <f t="shared" si="42"/>
        <v>1003.7914033128183</v>
      </c>
      <c r="O140" s="188">
        <f t="shared" si="42"/>
        <v>921.85637404912131</v>
      </c>
      <c r="P140" s="188">
        <f t="shared" si="42"/>
        <v>830.36459185905483</v>
      </c>
      <c r="Q140" s="188">
        <f t="shared" si="42"/>
        <v>729.02538144998152</v>
      </c>
      <c r="R140" s="188">
        <f t="shared" si="42"/>
        <v>616.12249999999995</v>
      </c>
      <c r="S140" s="188">
        <f t="shared" si="42"/>
        <v>631.08499999999992</v>
      </c>
      <c r="T140" s="188">
        <f t="shared" si="42"/>
        <v>646.71249999999998</v>
      </c>
      <c r="U140" s="188">
        <f t="shared" si="42"/>
        <v>663.005</v>
      </c>
      <c r="V140" s="188">
        <f t="shared" si="42"/>
        <v>679.2974999999999</v>
      </c>
      <c r="W140" s="188">
        <f t="shared" si="42"/>
        <v>696.255</v>
      </c>
      <c r="X140" s="188">
        <f t="shared" si="42"/>
        <v>713.87749999999994</v>
      </c>
      <c r="Y140" s="188">
        <f t="shared" si="42"/>
        <v>731.83249999999987</v>
      </c>
      <c r="AA140" s="606">
        <f t="shared" si="25"/>
        <v>19049.149162892008</v>
      </c>
      <c r="AB140" s="607">
        <f t="shared" si="38"/>
        <v>19049.149162892008</v>
      </c>
    </row>
    <row r="141" spans="1:28">
      <c r="A141" s="105" t="s">
        <v>82</v>
      </c>
      <c r="F141" s="169">
        <f>F138-F139-F140</f>
        <v>2682.6003635795832</v>
      </c>
      <c r="G141" s="169">
        <f t="shared" ref="G141:Y141" si="43">G138-G139-G140</f>
        <v>2603.5084421182951</v>
      </c>
      <c r="H141" s="169">
        <f t="shared" si="43"/>
        <v>2516.7543285108782</v>
      </c>
      <c r="I141" s="169">
        <f t="shared" si="43"/>
        <v>2420.8925535427197</v>
      </c>
      <c r="J141" s="169">
        <f t="shared" si="43"/>
        <v>2332.9198510777455</v>
      </c>
      <c r="K141" s="169">
        <f t="shared" si="43"/>
        <v>2234.5443783662736</v>
      </c>
      <c r="L141" s="169">
        <f t="shared" si="43"/>
        <v>2124.046608383655</v>
      </c>
      <c r="M141" s="169">
        <f t="shared" si="43"/>
        <v>2001.4493114027744</v>
      </c>
      <c r="N141" s="169">
        <f t="shared" si="43"/>
        <v>1864.1840347238058</v>
      </c>
      <c r="O141" s="169">
        <f t="shared" si="43"/>
        <v>1712.0189803769399</v>
      </c>
      <c r="P141" s="169">
        <f t="shared" si="43"/>
        <v>1542.1056705953877</v>
      </c>
      <c r="Q141" s="169">
        <f t="shared" si="43"/>
        <v>1353.90427983568</v>
      </c>
      <c r="R141" s="169">
        <f t="shared" si="43"/>
        <v>1144.2275</v>
      </c>
      <c r="S141" s="169">
        <f t="shared" si="43"/>
        <v>1172.0149999999999</v>
      </c>
      <c r="T141" s="169">
        <f t="shared" si="43"/>
        <v>1201.0374999999999</v>
      </c>
      <c r="U141" s="169">
        <f t="shared" si="43"/>
        <v>1231.2950000000001</v>
      </c>
      <c r="V141" s="169">
        <f t="shared" si="43"/>
        <v>1261.5525</v>
      </c>
      <c r="W141" s="169">
        <f t="shared" si="43"/>
        <v>1293.0450000000001</v>
      </c>
      <c r="X141" s="169">
        <f t="shared" si="43"/>
        <v>1325.7725</v>
      </c>
      <c r="Y141" s="169">
        <f t="shared" si="43"/>
        <v>1359.1174999999998</v>
      </c>
      <c r="AA141" s="606">
        <f t="shared" si="25"/>
        <v>35376.991302513743</v>
      </c>
      <c r="AB141" s="607">
        <f t="shared" si="38"/>
        <v>35376.991302513743</v>
      </c>
    </row>
    <row r="142" spans="1:28">
      <c r="AA142" s="606">
        <f t="shared" si="25"/>
        <v>0</v>
      </c>
      <c r="AB142" s="607">
        <f t="shared" si="38"/>
        <v>0</v>
      </c>
    </row>
    <row r="143" spans="1:28">
      <c r="A143" s="187" t="str">
        <f>A76</f>
        <v>Net Income to FPLE</v>
      </c>
      <c r="F143" s="190">
        <f>F76</f>
        <v>956.50750000000005</v>
      </c>
      <c r="G143" s="190">
        <f t="shared" ref="G143:Y143" si="44">G76</f>
        <v>768.4787500000001</v>
      </c>
      <c r="H143" s="190">
        <f t="shared" si="44"/>
        <v>777.74125000000004</v>
      </c>
      <c r="I143" s="190">
        <f t="shared" si="44"/>
        <v>832.39</v>
      </c>
      <c r="J143" s="190">
        <f t="shared" si="44"/>
        <v>984.91250000000002</v>
      </c>
      <c r="K143" s="190">
        <f t="shared" si="44"/>
        <v>1054.3812499999999</v>
      </c>
      <c r="L143" s="190">
        <f t="shared" si="44"/>
        <v>1181.895</v>
      </c>
      <c r="M143" s="190">
        <f t="shared" si="44"/>
        <v>1160.9000000000001</v>
      </c>
      <c r="N143" s="190">
        <f t="shared" si="44"/>
        <v>1204.125</v>
      </c>
      <c r="O143" s="190">
        <f t="shared" si="44"/>
        <v>1263.7137499999999</v>
      </c>
      <c r="P143" s="190">
        <f t="shared" si="44"/>
        <v>1316.2012500000001</v>
      </c>
      <c r="Q143" s="190">
        <f t="shared" si="44"/>
        <v>1355.1037500000002</v>
      </c>
      <c r="R143" s="190">
        <f t="shared" si="44"/>
        <v>1455.7562499999999</v>
      </c>
      <c r="S143" s="190">
        <f t="shared" si="44"/>
        <v>1535.105</v>
      </c>
      <c r="T143" s="190">
        <f t="shared" si="44"/>
        <v>1620.01125</v>
      </c>
      <c r="U143" s="190">
        <f t="shared" si="44"/>
        <v>1727.7649999999999</v>
      </c>
      <c r="V143" s="190">
        <f t="shared" si="44"/>
        <v>1847.5600000000002</v>
      </c>
      <c r="W143" s="190">
        <f t="shared" si="44"/>
        <v>1972.2950000000001</v>
      </c>
      <c r="X143" s="190">
        <f t="shared" si="44"/>
        <v>2074.49125</v>
      </c>
      <c r="Y143" s="190">
        <f t="shared" si="44"/>
        <v>2140.5637500000003</v>
      </c>
      <c r="AA143" s="606">
        <f t="shared" si="25"/>
        <v>27229.897499999999</v>
      </c>
      <c r="AB143" s="607">
        <f t="shared" si="38"/>
        <v>27229.897499999999</v>
      </c>
    </row>
    <row r="144" spans="1:28">
      <c r="A144" s="124" t="s">
        <v>91</v>
      </c>
      <c r="F144" s="183">
        <f>F141+F143</f>
        <v>3639.1078635795834</v>
      </c>
      <c r="G144" s="183">
        <f t="shared" ref="G144:Y144" si="45">G141+G143</f>
        <v>3371.9871921182953</v>
      </c>
      <c r="H144" s="183">
        <f t="shared" si="45"/>
        <v>3294.4955785108782</v>
      </c>
      <c r="I144" s="183">
        <f t="shared" si="45"/>
        <v>3253.2825535427196</v>
      </c>
      <c r="J144" s="183">
        <f t="shared" si="45"/>
        <v>3317.8323510777454</v>
      </c>
      <c r="K144" s="183">
        <f t="shared" si="45"/>
        <v>3288.9256283662735</v>
      </c>
      <c r="L144" s="183">
        <f t="shared" si="45"/>
        <v>3305.941608383655</v>
      </c>
      <c r="M144" s="183">
        <f t="shared" si="45"/>
        <v>3162.3493114027742</v>
      </c>
      <c r="N144" s="183">
        <f t="shared" si="45"/>
        <v>3068.3090347238058</v>
      </c>
      <c r="O144" s="183">
        <f t="shared" si="45"/>
        <v>2975.7327303769398</v>
      </c>
      <c r="P144" s="183">
        <f t="shared" si="45"/>
        <v>2858.306920595388</v>
      </c>
      <c r="Q144" s="183">
        <f t="shared" si="45"/>
        <v>2709.0080298356802</v>
      </c>
      <c r="R144" s="183">
        <f t="shared" si="45"/>
        <v>2599.9837499999999</v>
      </c>
      <c r="S144" s="183">
        <f t="shared" si="45"/>
        <v>2707.12</v>
      </c>
      <c r="T144" s="183">
        <f t="shared" si="45"/>
        <v>2821.0487499999999</v>
      </c>
      <c r="U144" s="183">
        <f t="shared" si="45"/>
        <v>2959.06</v>
      </c>
      <c r="V144" s="183">
        <f t="shared" si="45"/>
        <v>3109.1125000000002</v>
      </c>
      <c r="W144" s="183">
        <f t="shared" si="45"/>
        <v>3265.34</v>
      </c>
      <c r="X144" s="183">
        <f t="shared" si="45"/>
        <v>3400.2637500000001</v>
      </c>
      <c r="Y144" s="183">
        <f t="shared" si="45"/>
        <v>3499.6812500000001</v>
      </c>
      <c r="AA144" s="606">
        <f t="shared" si="25"/>
        <v>62606.888802513735</v>
      </c>
      <c r="AB144" s="607">
        <f t="shared" si="38"/>
        <v>62606.888802513735</v>
      </c>
    </row>
    <row r="145" spans="1:28">
      <c r="AA145" s="606">
        <f t="shared" si="25"/>
        <v>0</v>
      </c>
      <c r="AB145" s="607">
        <f t="shared" si="38"/>
        <v>0</v>
      </c>
    </row>
    <row r="146" spans="1:28">
      <c r="AA146" s="606">
        <f t="shared" si="25"/>
        <v>0</v>
      </c>
      <c r="AB146" s="607">
        <f t="shared" si="38"/>
        <v>0</v>
      </c>
    </row>
    <row r="147" spans="1:28">
      <c r="AA147" s="606">
        <f t="shared" si="25"/>
        <v>0</v>
      </c>
      <c r="AB147" s="607">
        <f t="shared" si="38"/>
        <v>0</v>
      </c>
    </row>
    <row r="148" spans="1:28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>
      <c r="A149" s="259" t="s">
        <v>135</v>
      </c>
      <c r="F149" s="165">
        <f>+F137*(1-($C$139+$C$140*(1-$C$139)))</f>
        <v>912.04750000000013</v>
      </c>
      <c r="G149" s="165">
        <f t="shared" ref="G149:Y149" si="46">+G137*(1-($C$139+$C$140*(1-$C$139)))</f>
        <v>915.75250000000005</v>
      </c>
      <c r="H149" s="165">
        <f t="shared" si="46"/>
        <v>920.07500000000005</v>
      </c>
      <c r="I149" s="165">
        <f t="shared" si="46"/>
        <v>924.39750000000004</v>
      </c>
      <c r="J149" s="165">
        <f t="shared" si="46"/>
        <v>946.62750000000005</v>
      </c>
      <c r="K149" s="165">
        <f t="shared" si="46"/>
        <v>969.47500000000002</v>
      </c>
      <c r="L149" s="165">
        <f t="shared" si="46"/>
        <v>992.3225000000001</v>
      </c>
      <c r="M149" s="165">
        <f t="shared" si="46"/>
        <v>1016.4050000000001</v>
      </c>
      <c r="N149" s="165">
        <f t="shared" si="46"/>
        <v>1040.4875000000002</v>
      </c>
      <c r="O149" s="165">
        <f t="shared" si="46"/>
        <v>1065.8050000000001</v>
      </c>
      <c r="P149" s="165">
        <f t="shared" si="46"/>
        <v>1091.1225000000002</v>
      </c>
      <c r="Q149" s="165">
        <f t="shared" si="46"/>
        <v>1117.6750000000002</v>
      </c>
      <c r="R149" s="165">
        <f t="shared" si="46"/>
        <v>1144.2275000000002</v>
      </c>
      <c r="S149" s="165">
        <f t="shared" si="46"/>
        <v>1172.0150000000001</v>
      </c>
      <c r="T149" s="165">
        <f t="shared" si="46"/>
        <v>1201.0375000000001</v>
      </c>
      <c r="U149" s="165">
        <f t="shared" si="46"/>
        <v>1231.2950000000001</v>
      </c>
      <c r="V149" s="165">
        <f t="shared" si="46"/>
        <v>1261.5525</v>
      </c>
      <c r="W149" s="165">
        <f t="shared" si="46"/>
        <v>1293.0450000000001</v>
      </c>
      <c r="X149" s="165">
        <f t="shared" si="46"/>
        <v>1325.7725</v>
      </c>
      <c r="Y149" s="165">
        <f t="shared" si="46"/>
        <v>1359.1175000000001</v>
      </c>
      <c r="AA149" s="606">
        <f t="shared" si="25"/>
        <v>21900.255000000005</v>
      </c>
      <c r="AB149" s="607">
        <f t="shared" si="38"/>
        <v>21900.255000000005</v>
      </c>
    </row>
    <row r="150" spans="1:28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>
      <c r="F151" s="260">
        <f>+F149+F150</f>
        <v>912.04750000000013</v>
      </c>
      <c r="G151" s="260">
        <f t="shared" ref="G151:Y151" si="47">+G149+G150</f>
        <v>915.75250000000005</v>
      </c>
      <c r="H151" s="260">
        <f t="shared" si="47"/>
        <v>920.07500000000005</v>
      </c>
      <c r="I151" s="260">
        <f t="shared" si="47"/>
        <v>924.39750000000004</v>
      </c>
      <c r="J151" s="260">
        <f t="shared" si="47"/>
        <v>946.62750000000005</v>
      </c>
      <c r="K151" s="260">
        <f t="shared" si="47"/>
        <v>969.47500000000002</v>
      </c>
      <c r="L151" s="260">
        <f t="shared" si="47"/>
        <v>992.3225000000001</v>
      </c>
      <c r="M151" s="260">
        <f t="shared" si="47"/>
        <v>1016.4050000000001</v>
      </c>
      <c r="N151" s="260">
        <f t="shared" si="47"/>
        <v>1040.4875000000002</v>
      </c>
      <c r="O151" s="260">
        <f t="shared" si="47"/>
        <v>1065.8050000000001</v>
      </c>
      <c r="P151" s="260">
        <f t="shared" si="47"/>
        <v>1091.1225000000002</v>
      </c>
      <c r="Q151" s="260">
        <f t="shared" si="47"/>
        <v>1117.6750000000002</v>
      </c>
      <c r="R151" s="260">
        <f t="shared" si="47"/>
        <v>1144.2275000000002</v>
      </c>
      <c r="S151" s="260">
        <f t="shared" si="47"/>
        <v>1172.0150000000001</v>
      </c>
      <c r="T151" s="260">
        <f t="shared" si="47"/>
        <v>1201.0375000000001</v>
      </c>
      <c r="U151" s="260">
        <f t="shared" si="47"/>
        <v>1231.2950000000001</v>
      </c>
      <c r="V151" s="260">
        <f t="shared" si="47"/>
        <v>1261.5525</v>
      </c>
      <c r="W151" s="260">
        <f t="shared" si="47"/>
        <v>1293.0450000000001</v>
      </c>
      <c r="X151" s="260">
        <f t="shared" si="47"/>
        <v>1325.7725</v>
      </c>
      <c r="Y151" s="260">
        <f t="shared" si="47"/>
        <v>1359.1175000000001</v>
      </c>
      <c r="AA151" s="606">
        <f t="shared" si="25"/>
        <v>21900.255000000005</v>
      </c>
      <c r="AB151" s="607">
        <f t="shared" si="38"/>
        <v>21900.255000000005</v>
      </c>
    </row>
    <row r="153" spans="1:28">
      <c r="F153" s="189"/>
    </row>
    <row r="154" spans="1:28" ht="13.5" thickBot="1">
      <c r="A154" s="105" t="s">
        <v>57</v>
      </c>
      <c r="C154" s="169">
        <f>NPV(C155,F151:Y151)</f>
        <v>9398.3689302553157</v>
      </c>
      <c r="F154" s="189"/>
    </row>
    <row r="155" spans="1:28" s="166" customFormat="1" ht="13.5" thickBot="1">
      <c r="A155" s="105" t="s">
        <v>59</v>
      </c>
      <c r="B155" s="105"/>
      <c r="C155" s="146">
        <v>0.09</v>
      </c>
      <c r="F155" s="262"/>
    </row>
    <row r="157" spans="1:28" s="166" customFormat="1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37497.206849023081</v>
      </c>
    </row>
    <row r="160" spans="1:28">
      <c r="A160" s="134" t="s">
        <v>85</v>
      </c>
      <c r="B160" s="135"/>
      <c r="C160" s="135"/>
      <c r="D160" s="508">
        <f>+[3]NOTE!$F$15/1000</f>
        <v>28672.920867685549</v>
      </c>
      <c r="F160" s="191"/>
    </row>
    <row r="161" spans="1:17">
      <c r="A161" s="134" t="s">
        <v>86</v>
      </c>
      <c r="B161" s="135"/>
      <c r="C161" s="135"/>
      <c r="D161" s="139">
        <f>+C154</f>
        <v>9398.3689302553157</v>
      </c>
    </row>
    <row r="162" spans="1:17" ht="13.5" thickBot="1">
      <c r="A162" s="140" t="s">
        <v>87</v>
      </c>
      <c r="B162" s="109"/>
      <c r="C162" s="109"/>
      <c r="D162" s="158">
        <f>SUM(D159:D161)</f>
        <v>75568.496646963948</v>
      </c>
    </row>
    <row r="165" spans="1:17">
      <c r="A165" s="105" t="s">
        <v>759</v>
      </c>
      <c r="F165" s="169">
        <v>1340840.8333811811</v>
      </c>
      <c r="G165" s="169">
        <v>1474924.9167192988</v>
      </c>
      <c r="H165" s="169">
        <v>1622417.4083912289</v>
      </c>
      <c r="I165" s="169">
        <v>1784659.1492303521</v>
      </c>
      <c r="J165" s="169">
        <v>1963125.0641533872</v>
      </c>
      <c r="K165" s="169">
        <v>2159437.5705687264</v>
      </c>
      <c r="L165" s="169">
        <v>2375381.3276255988</v>
      </c>
      <c r="M165" s="169">
        <v>2612919.4603881584</v>
      </c>
      <c r="N165" s="169">
        <v>2874211.4064269746</v>
      </c>
      <c r="O165" s="169">
        <v>3161632.5470696716</v>
      </c>
      <c r="P165" s="169">
        <v>3477795.8017766387</v>
      </c>
      <c r="Q165" s="169">
        <v>3825575.3819543333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B165"/>
  <sheetViews>
    <sheetView zoomScale="75" zoomScaleNormal="75" workbookViewId="0"/>
  </sheetViews>
  <sheetFormatPr defaultRowHeight="12.75"/>
  <cols>
    <col min="1" max="1" width="30.7109375" style="10" customWidth="1"/>
    <col min="2" max="2" width="3.7109375" style="10" customWidth="1"/>
    <col min="3" max="28" width="10.7109375" style="10" customWidth="1"/>
    <col min="29" max="16384" width="9.140625" style="10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274</v>
      </c>
      <c r="B2" s="557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90">
        <f>ROUND([7]REVENUE!F$187/1000,0)</f>
        <v>17124</v>
      </c>
      <c r="F10" s="90">
        <f>ROUND([7]REVENUE!G$187/1000,0)</f>
        <v>17141</v>
      </c>
      <c r="G10" s="90">
        <f>ROUND([7]REVENUE!H$187/1000,0)</f>
        <v>17141</v>
      </c>
      <c r="H10" s="90">
        <f>ROUND([7]REVENUE!I$187/1000,0)</f>
        <v>17141</v>
      </c>
      <c r="I10" s="90">
        <f>ROUND([7]REVENUE!J$187/1000,0)</f>
        <v>17141</v>
      </c>
      <c r="J10" s="90">
        <f>ROUND([7]REVENUE!K$187/1000,0)</f>
        <v>17119</v>
      </c>
      <c r="K10" s="90">
        <f>ROUND([7]REVENUE!L$187/1000,0)</f>
        <v>17141</v>
      </c>
      <c r="L10" s="90">
        <f>ROUND([7]REVENUE!M$187/1000,0)</f>
        <v>17141</v>
      </c>
      <c r="M10" s="90">
        <f>ROUND([7]REVENUE!N$187/1000,0)</f>
        <v>17141</v>
      </c>
      <c r="N10" s="90">
        <f>ROUND([7]REVENUE!O$187/1000,0)</f>
        <v>17141</v>
      </c>
      <c r="O10" s="90">
        <f>ROUND([7]REVENUE!P$187/1000,0)</f>
        <v>17141</v>
      </c>
      <c r="P10" s="90">
        <f>ROUND([7]REVENUE!Q$187/1000,0)</f>
        <v>17141</v>
      </c>
      <c r="Q10" s="90">
        <f>ROUND([7]REVENUE!R$187/1000,0)</f>
        <v>17119</v>
      </c>
      <c r="R10" s="90">
        <f>ROUND([7]REVENUE!S$187/1000,0)</f>
        <v>17141</v>
      </c>
      <c r="S10" s="90">
        <f>ROUND([7]REVENUE!T$187/1000,0)</f>
        <v>17141</v>
      </c>
      <c r="T10" s="90">
        <f>ROUND([7]REVENUE!U$187/1000,0)</f>
        <v>17141</v>
      </c>
      <c r="U10" s="90">
        <f>ROUND([7]REVENUE!V$187/1000,0)</f>
        <v>17141</v>
      </c>
      <c r="V10" s="90">
        <f>ROUND([7]REVENUE!W$187/1000,0)</f>
        <v>17141</v>
      </c>
      <c r="W10" s="90">
        <f>ROUND([7]REVENUE!X$187/1000,0)</f>
        <v>17141</v>
      </c>
      <c r="X10" s="90">
        <f>ROUND([7]REVENUE!Y$187/1000,0)</f>
        <v>17119</v>
      </c>
      <c r="Y10" s="90">
        <f>ROUND([7]REVENUE!Z$187/1000,0)</f>
        <v>17141</v>
      </c>
      <c r="Z10" s="22"/>
      <c r="AA10" s="606">
        <f t="shared" ref="AA10:AA38" si="1">SUM(F10:Y10)</f>
        <v>342754</v>
      </c>
      <c r="AB10" s="607">
        <f>AA10*$C$60</f>
        <v>171377</v>
      </c>
    </row>
    <row r="11" spans="1:28">
      <c r="A11" s="4" t="s">
        <v>9</v>
      </c>
      <c r="B11" s="12"/>
      <c r="C11" s="12"/>
      <c r="D11" s="90"/>
      <c r="E11" s="90">
        <f>ROUND([7]REVENUE!F$183/1000,0)</f>
        <v>5535</v>
      </c>
      <c r="F11" s="90">
        <f>ROUND([7]REVENUE!G$183/1000,0)</f>
        <v>5718</v>
      </c>
      <c r="G11" s="90">
        <f>ROUND([7]REVENUE!H$183/1000,0)</f>
        <v>5850</v>
      </c>
      <c r="H11" s="90">
        <f>ROUND([7]REVENUE!I$183/1000,0)</f>
        <v>5983</v>
      </c>
      <c r="I11" s="90">
        <f>ROUND([7]REVENUE!J$183/1000,0)</f>
        <v>6118</v>
      </c>
      <c r="J11" s="90">
        <f>ROUND([7]REVENUE!K$183/1000,0)</f>
        <v>6482</v>
      </c>
      <c r="K11" s="90">
        <f>ROUND([7]REVENUE!L$183/1000,0)</f>
        <v>6827</v>
      </c>
      <c r="L11" s="90">
        <f>ROUND([7]REVENUE!M$183/1000,0)</f>
        <v>7383</v>
      </c>
      <c r="M11" s="90">
        <f>ROUND([7]REVENUE!N$183/1000,0)</f>
        <v>7230</v>
      </c>
      <c r="N11" s="90">
        <f>ROUND([7]REVENUE!O$183/1000,0)</f>
        <v>7290</v>
      </c>
      <c r="O11" s="90">
        <f>ROUND([7]REVENUE!P$183/1000,0)</f>
        <v>7491</v>
      </c>
      <c r="P11" s="90">
        <f>ROUND([7]REVENUE!Q$183/1000,0)</f>
        <v>7645</v>
      </c>
      <c r="Q11" s="90">
        <f>ROUND([7]REVENUE!R$183/1000,0)</f>
        <v>7709</v>
      </c>
      <c r="R11" s="90">
        <f>ROUND([7]REVENUE!S$183/1000,0)</f>
        <v>7963</v>
      </c>
      <c r="S11" s="90">
        <f>ROUND([7]REVENUE!T$183/1000,0)</f>
        <v>8128</v>
      </c>
      <c r="T11" s="90">
        <f>ROUND([7]REVENUE!U$183/1000,0)</f>
        <v>8295</v>
      </c>
      <c r="U11" s="90">
        <f>ROUND([7]REVENUE!V$183/1000,0)</f>
        <v>8466</v>
      </c>
      <c r="V11" s="90">
        <f>ROUND([7]REVENUE!W$183/1000,0)</f>
        <v>8641</v>
      </c>
      <c r="W11" s="90">
        <f>ROUND([7]REVENUE!X$183/1000,0)</f>
        <v>8820</v>
      </c>
      <c r="X11" s="90">
        <f>ROUND([7]REVENUE!Y$183/1000,0)</f>
        <v>8894</v>
      </c>
      <c r="Y11" s="90">
        <f>ROUND([7]REVENUE!Z$183/1000,0)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10</v>
      </c>
      <c r="B12" s="12"/>
      <c r="C12" s="12"/>
      <c r="D12" s="90"/>
      <c r="E12" s="90">
        <f>ROUND([7]REVENUE!F$193/1000,0)</f>
        <v>1347</v>
      </c>
      <c r="F12" s="90">
        <f>ROUND([7]REVENUE!G$193/1000,0)</f>
        <v>701</v>
      </c>
      <c r="G12" s="90">
        <f>ROUND([7]REVENUE!H$193/1000,0)</f>
        <v>0</v>
      </c>
      <c r="H12" s="90">
        <f>ROUND([7]REVENUE!I$193/1000,0)</f>
        <v>0</v>
      </c>
      <c r="I12" s="90">
        <f>ROUND([7]REVENUE!J$193/1000,0)</f>
        <v>0</v>
      </c>
      <c r="J12" s="90">
        <f>ROUND([7]REVENUE!K$193/1000,0)</f>
        <v>0</v>
      </c>
      <c r="K12" s="90">
        <f>ROUND([7]REVENUE!L$193/1000,0)</f>
        <v>0</v>
      </c>
      <c r="L12" s="90">
        <f>ROUND([7]REVENUE!M$193/1000,0)</f>
        <v>0</v>
      </c>
      <c r="M12" s="90">
        <f>ROUND([7]REVENUE!N$193/1000,0)</f>
        <v>0</v>
      </c>
      <c r="N12" s="90">
        <f>ROUND([7]REVENUE!O$193/1000,0)</f>
        <v>0</v>
      </c>
      <c r="O12" s="90">
        <f>ROUND([7]REVENUE!P$193/1000,0)</f>
        <v>0</v>
      </c>
      <c r="P12" s="90">
        <f>ROUND([7]REVENUE!Q$193/1000,0)</f>
        <v>0</v>
      </c>
      <c r="Q12" s="90">
        <f>ROUND([7]REVENUE!R$193/1000,0)</f>
        <v>0</v>
      </c>
      <c r="R12" s="90">
        <f>ROUND([7]REVENUE!S$193/1000,0)</f>
        <v>0</v>
      </c>
      <c r="S12" s="90">
        <f>ROUND([7]REVENUE!T$193/1000,0)</f>
        <v>0</v>
      </c>
      <c r="T12" s="90">
        <f>ROUND([7]REVENUE!U$193/1000,0)</f>
        <v>0</v>
      </c>
      <c r="U12" s="90">
        <f>ROUND([7]REVENUE!V$193/1000,0)</f>
        <v>0</v>
      </c>
      <c r="V12" s="90">
        <f>ROUND([7]REVENUE!W$193/1000,0)</f>
        <v>0</v>
      </c>
      <c r="W12" s="90">
        <f>ROUND([7]REVENUE!X$193/1000,0)</f>
        <v>0</v>
      </c>
      <c r="X12" s="90">
        <f>ROUND([7]REVENUE!Y$193/1000,0)</f>
        <v>0</v>
      </c>
      <c r="Y12" s="90">
        <f>ROUND([7]REVENUE!Z$193/1000,0)</f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90">
        <v>0</v>
      </c>
      <c r="F15" s="90">
        <v>0</v>
      </c>
      <c r="G15" s="90">
        <v>0</v>
      </c>
      <c r="H15" s="90">
        <v>0</v>
      </c>
      <c r="I15" s="90">
        <v>0</v>
      </c>
      <c r="J15" s="90">
        <v>0</v>
      </c>
      <c r="K15" s="90">
        <v>0</v>
      </c>
      <c r="L15" s="90">
        <v>0</v>
      </c>
      <c r="M15" s="90">
        <v>0</v>
      </c>
      <c r="N15" s="90">
        <v>0</v>
      </c>
      <c r="O15" s="90">
        <v>0</v>
      </c>
      <c r="P15" s="90">
        <v>0</v>
      </c>
      <c r="Q15" s="90">
        <v>0</v>
      </c>
      <c r="R15" s="90">
        <v>0</v>
      </c>
      <c r="S15" s="90">
        <v>0</v>
      </c>
      <c r="T15" s="90">
        <v>0</v>
      </c>
      <c r="U15" s="90">
        <v>0</v>
      </c>
      <c r="V15" s="90">
        <v>0</v>
      </c>
      <c r="W15" s="90">
        <v>0</v>
      </c>
      <c r="X15" s="90">
        <v>0</v>
      </c>
      <c r="Y15" s="90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90">
        <v>0</v>
      </c>
      <c r="F16" s="90">
        <v>0</v>
      </c>
      <c r="G16" s="90">
        <v>0</v>
      </c>
      <c r="H16" s="90">
        <v>0</v>
      </c>
      <c r="I16" s="90">
        <v>0</v>
      </c>
      <c r="J16" s="90">
        <v>0</v>
      </c>
      <c r="K16" s="90">
        <v>0</v>
      </c>
      <c r="L16" s="90">
        <v>0</v>
      </c>
      <c r="M16" s="90">
        <v>0</v>
      </c>
      <c r="N16" s="90">
        <v>0</v>
      </c>
      <c r="O16" s="90">
        <v>0</v>
      </c>
      <c r="P16" s="90">
        <v>0</v>
      </c>
      <c r="Q16" s="90">
        <v>0</v>
      </c>
      <c r="R16" s="90">
        <v>0</v>
      </c>
      <c r="S16" s="90">
        <v>0</v>
      </c>
      <c r="T16" s="90">
        <v>0</v>
      </c>
      <c r="U16" s="90">
        <v>0</v>
      </c>
      <c r="V16" s="90">
        <v>0</v>
      </c>
      <c r="W16" s="90">
        <v>0</v>
      </c>
      <c r="X16" s="90">
        <v>0</v>
      </c>
      <c r="Y16" s="90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90">
        <v>0</v>
      </c>
      <c r="F17" s="90">
        <v>0</v>
      </c>
      <c r="G17" s="90">
        <v>0</v>
      </c>
      <c r="H17" s="90">
        <v>0</v>
      </c>
      <c r="I17" s="90">
        <v>0</v>
      </c>
      <c r="J17" s="90">
        <v>0</v>
      </c>
      <c r="K17" s="90">
        <v>0</v>
      </c>
      <c r="L17" s="90">
        <v>0</v>
      </c>
      <c r="M17" s="90">
        <v>0</v>
      </c>
      <c r="N17" s="90">
        <v>0</v>
      </c>
      <c r="O17" s="90">
        <v>0</v>
      </c>
      <c r="P17" s="90">
        <v>0</v>
      </c>
      <c r="Q17" s="90">
        <v>0</v>
      </c>
      <c r="R17" s="90">
        <v>0</v>
      </c>
      <c r="S17" s="90">
        <v>0</v>
      </c>
      <c r="T17" s="90">
        <v>0</v>
      </c>
      <c r="U17" s="90">
        <v>0</v>
      </c>
      <c r="V17" s="90">
        <v>0</v>
      </c>
      <c r="W17" s="90">
        <v>0</v>
      </c>
      <c r="X17" s="90">
        <v>0</v>
      </c>
      <c r="Y17" s="90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ROUND('[7]GAAP FINANCIALS'!F$35/1000,0)</f>
        <v>295</v>
      </c>
      <c r="F19" s="91">
        <f>ROUND('[7]GAAP FINANCIALS'!G$35/1000,0)</f>
        <v>334</v>
      </c>
      <c r="G19" s="91">
        <f>ROUND('[7]GAAP FINANCIALS'!H$35/1000,0)</f>
        <v>334</v>
      </c>
      <c r="H19" s="91">
        <f>ROUND('[7]GAAP FINANCIALS'!I$35/1000,0)</f>
        <v>337</v>
      </c>
      <c r="I19" s="91">
        <f>ROUND('[7]GAAP FINANCIALS'!J$35/1000,0)</f>
        <v>335</v>
      </c>
      <c r="J19" s="91">
        <f>ROUND('[7]GAAP FINANCIALS'!K$35/1000,0)</f>
        <v>334</v>
      </c>
      <c r="K19" s="91">
        <f>ROUND('[7]GAAP FINANCIALS'!L$35/1000,0)</f>
        <v>337</v>
      </c>
      <c r="L19" s="91">
        <f>ROUND('[7]GAAP FINANCIALS'!M$35/1000,0)</f>
        <v>339</v>
      </c>
      <c r="M19" s="91">
        <f>ROUND('[7]GAAP FINANCIALS'!N$35/1000,0)</f>
        <v>336</v>
      </c>
      <c r="N19" s="91">
        <f>ROUND('[7]GAAP FINANCIALS'!O$35/1000,0)</f>
        <v>332</v>
      </c>
      <c r="O19" s="91">
        <f>ROUND('[7]GAAP FINANCIALS'!P$35/1000,0)</f>
        <v>331</v>
      </c>
      <c r="P19" s="91">
        <f>ROUND('[7]GAAP FINANCIALS'!Q$35/1000,0)</f>
        <v>329</v>
      </c>
      <c r="Q19" s="91">
        <f>ROUND('[7]GAAP FINANCIALS'!R$35/1000,0)</f>
        <v>325</v>
      </c>
      <c r="R19" s="91">
        <f>ROUND('[7]GAAP FINANCIALS'!S$35/1000,0)</f>
        <v>322</v>
      </c>
      <c r="S19" s="91">
        <f>ROUND('[7]GAAP FINANCIALS'!T$35/1000,0)</f>
        <v>320</v>
      </c>
      <c r="T19" s="91">
        <f>ROUND('[7]GAAP FINANCIALS'!U$35/1000,0)</f>
        <v>315</v>
      </c>
      <c r="U19" s="91">
        <f>ROUND('[7]GAAP FINANCIALS'!V$35/1000,0)</f>
        <v>308</v>
      </c>
      <c r="V19" s="91">
        <f>ROUND('[7]GAAP FINANCIALS'!W$35/1000,0)</f>
        <v>301</v>
      </c>
      <c r="W19" s="91">
        <f>ROUND('[7]GAAP FINANCIALS'!X$35/1000,0)</f>
        <v>293</v>
      </c>
      <c r="X19" s="91">
        <f>ROUND('[7]GAAP FINANCIALS'!Y$35/1000,0)</f>
        <v>284</v>
      </c>
      <c r="Y19" s="91">
        <f>ROUND('[7]GAAP FINANCIALS'!Z$35/1000,0)</f>
        <v>285</v>
      </c>
      <c r="Z19" s="22"/>
      <c r="AA19" s="606">
        <f t="shared" si="1"/>
        <v>6431</v>
      </c>
      <c r="AB19" s="607">
        <f t="shared" si="2"/>
        <v>3215.5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24301</v>
      </c>
      <c r="F20" s="90">
        <f t="shared" si="3"/>
        <v>23894</v>
      </c>
      <c r="G20" s="90">
        <f t="shared" si="3"/>
        <v>23325</v>
      </c>
      <c r="H20" s="90">
        <f t="shared" si="3"/>
        <v>23461</v>
      </c>
      <c r="I20" s="90">
        <f t="shared" si="3"/>
        <v>23594</v>
      </c>
      <c r="J20" s="90">
        <f t="shared" si="3"/>
        <v>23935</v>
      </c>
      <c r="K20" s="90">
        <f t="shared" si="3"/>
        <v>24305</v>
      </c>
      <c r="L20" s="90">
        <f t="shared" si="3"/>
        <v>24863</v>
      </c>
      <c r="M20" s="90">
        <f t="shared" si="3"/>
        <v>24707</v>
      </c>
      <c r="N20" s="90">
        <f t="shared" si="3"/>
        <v>24763</v>
      </c>
      <c r="O20" s="90">
        <f t="shared" si="3"/>
        <v>24963</v>
      </c>
      <c r="P20" s="90">
        <f t="shared" si="3"/>
        <v>25115</v>
      </c>
      <c r="Q20" s="90">
        <f t="shared" si="3"/>
        <v>25153</v>
      </c>
      <c r="R20" s="90">
        <f t="shared" si="3"/>
        <v>25426</v>
      </c>
      <c r="S20" s="90">
        <f t="shared" si="3"/>
        <v>25589</v>
      </c>
      <c r="T20" s="90">
        <f t="shared" si="3"/>
        <v>25751</v>
      </c>
      <c r="U20" s="90">
        <f t="shared" si="3"/>
        <v>25915</v>
      </c>
      <c r="V20" s="90">
        <f t="shared" si="3"/>
        <v>26083</v>
      </c>
      <c r="W20" s="90">
        <f t="shared" si="3"/>
        <v>26254</v>
      </c>
      <c r="X20" s="90">
        <f t="shared" si="3"/>
        <v>26297</v>
      </c>
      <c r="Y20" s="90">
        <f t="shared" si="3"/>
        <v>26615</v>
      </c>
      <c r="Z20" s="22"/>
      <c r="AA20" s="606">
        <f t="shared" si="1"/>
        <v>500008</v>
      </c>
      <c r="AB20" s="607">
        <f t="shared" si="2"/>
        <v>250004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5"/>
      <c r="B22" s="5"/>
      <c r="C22" s="5"/>
      <c r="D22" s="234"/>
      <c r="E22" s="235"/>
      <c r="F22" s="235"/>
      <c r="G22" s="236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7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90"/>
      <c r="E24" s="90">
        <f>ROUND('[7]GAAP FINANCIALS'!F$14/1000,0)</f>
        <v>1727</v>
      </c>
      <c r="F24" s="90">
        <f>ROUND('[7]GAAP FINANCIALS'!G$14/1000,0)</f>
        <v>1990</v>
      </c>
      <c r="G24" s="90">
        <f>ROUND('[7]GAAP FINANCIALS'!H$14/1000,0)</f>
        <v>2234</v>
      </c>
      <c r="H24" s="90">
        <f>ROUND('[7]GAAP FINANCIALS'!I$14/1000,0)</f>
        <v>2377</v>
      </c>
      <c r="I24" s="90">
        <f>ROUND('[7]GAAP FINANCIALS'!J$14/1000,0)</f>
        <v>2394</v>
      </c>
      <c r="J24" s="90">
        <f>ROUND('[7]GAAP FINANCIALS'!K$14/1000,0)</f>
        <v>2163</v>
      </c>
      <c r="K24" s="90">
        <f>ROUND('[7]GAAP FINANCIALS'!L$14/1000,0)</f>
        <v>2333</v>
      </c>
      <c r="L24" s="90">
        <f>ROUND('[7]GAAP FINANCIALS'!M$14/1000,0)</f>
        <v>2545</v>
      </c>
      <c r="M24" s="90">
        <f>ROUND('[7]GAAP FINANCIALS'!N$14/1000,0)</f>
        <v>2539</v>
      </c>
      <c r="N24" s="90">
        <f>ROUND('[7]GAAP FINANCIALS'!O$14/1000,0)</f>
        <v>2545</v>
      </c>
      <c r="O24" s="90">
        <f>ROUND('[7]GAAP FINANCIALS'!P$14/1000,0)</f>
        <v>2651</v>
      </c>
      <c r="P24" s="90">
        <f>ROUND('[7]GAAP FINANCIALS'!Q$14/1000,0)</f>
        <v>2751</v>
      </c>
      <c r="Q24" s="90">
        <f>ROUND('[7]GAAP FINANCIALS'!R$14/1000,0)</f>
        <v>2798</v>
      </c>
      <c r="R24" s="90">
        <f>ROUND('[7]GAAP FINANCIALS'!S$14/1000,0)</f>
        <v>2862</v>
      </c>
      <c r="S24" s="90">
        <f>ROUND('[7]GAAP FINANCIALS'!T$14/1000,0)</f>
        <v>2933</v>
      </c>
      <c r="T24" s="90">
        <f>ROUND('[7]GAAP FINANCIALS'!U$14/1000,0)</f>
        <v>3003</v>
      </c>
      <c r="U24" s="90">
        <f>ROUND('[7]GAAP FINANCIALS'!V$14/1000,0)</f>
        <v>3021</v>
      </c>
      <c r="V24" s="90">
        <f>ROUND('[7]GAAP FINANCIALS'!W$14/1000,0)</f>
        <v>3033</v>
      </c>
      <c r="W24" s="90">
        <f>ROUND('[7]GAAP FINANCIALS'!X$14/1000,0)</f>
        <v>3062</v>
      </c>
      <c r="X24" s="90">
        <f>ROUND('[7]GAAP FINANCIALS'!Y$14/1000,0)</f>
        <v>3080</v>
      </c>
      <c r="Y24" s="90">
        <f>ROUND('[7]GAAP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90"/>
      <c r="E25" s="90">
        <f>ROUND('[7]GAAP FINANCIALS'!F$13/1000,0)</f>
        <v>3843</v>
      </c>
      <c r="F25" s="90">
        <f>ROUND('[7]GAAP FINANCIALS'!G$13/1000,0)</f>
        <v>3344</v>
      </c>
      <c r="G25" s="90">
        <f>ROUND('[7]GAAP FINANCIALS'!H$13/1000,0)</f>
        <v>3258</v>
      </c>
      <c r="H25" s="90">
        <f>ROUND('[7]GAAP FINANCIALS'!I$13/1000,0)</f>
        <v>3336</v>
      </c>
      <c r="I25" s="90">
        <f>ROUND('[7]GAAP FINANCIALS'!J$13/1000,0)</f>
        <v>3413</v>
      </c>
      <c r="J25" s="90">
        <f>ROUND('[7]GAAP FINANCIALS'!K$13/1000,0)</f>
        <v>3495</v>
      </c>
      <c r="K25" s="90">
        <f>ROUND('[7]GAAP FINANCIALS'!L$13/1000,0)</f>
        <v>3579</v>
      </c>
      <c r="L25" s="90">
        <f>ROUND('[7]GAAP FINANCIALS'!M$13/1000,0)</f>
        <v>3664</v>
      </c>
      <c r="M25" s="90">
        <f>ROUND('[7]GAAP FINANCIALS'!N$13/1000,0)</f>
        <v>3752</v>
      </c>
      <c r="N25" s="90">
        <f>ROUND('[7]GAAP FINANCIALS'!O$13/1000,0)</f>
        <v>3842</v>
      </c>
      <c r="O25" s="90">
        <f>ROUND('[7]GAAP FINANCIALS'!P$13/1000,0)</f>
        <v>3935</v>
      </c>
      <c r="P25" s="90">
        <f>ROUND('[7]GAAP FINANCIALS'!Q$13/1000,0)</f>
        <v>4029</v>
      </c>
      <c r="Q25" s="90">
        <f>ROUND('[7]GAAP FINANCIALS'!R$13/1000,0)</f>
        <v>4126</v>
      </c>
      <c r="R25" s="90">
        <f>ROUND('[7]GAAP FINANCIALS'!S$13/1000,0)</f>
        <v>4225</v>
      </c>
      <c r="S25" s="90">
        <f>ROUND('[7]GAAP FINANCIALS'!T$13/1000,0)</f>
        <v>4326</v>
      </c>
      <c r="T25" s="90">
        <f>ROUND('[7]GAAP FINANCIALS'!U$13/1000,0)</f>
        <v>4434</v>
      </c>
      <c r="U25" s="90">
        <f>ROUND('[7]GAAP FINANCIALS'!V$13/1000,0)</f>
        <v>4545</v>
      </c>
      <c r="V25" s="90">
        <f>ROUND('[7]GAAP FINANCIALS'!W$13/1000,0)</f>
        <v>4659</v>
      </c>
      <c r="W25" s="90">
        <f>ROUND('[7]GAAP FINANCIALS'!X$13/1000,0)</f>
        <v>4775</v>
      </c>
      <c r="X25" s="90">
        <f>ROUND('[7]GAAP FINANCIALS'!Y$13/1000,0)</f>
        <v>4895</v>
      </c>
      <c r="Y25" s="90">
        <f>ROUND('[7]GAAP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90"/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  <c r="R26" s="90">
        <v>0</v>
      </c>
      <c r="S26" s="90">
        <v>0</v>
      </c>
      <c r="T26" s="90">
        <v>0</v>
      </c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90"/>
      <c r="E27" s="90">
        <f>ROUND('[7]GAAP FINANCIALS'!F$20/1000,0)</f>
        <v>0</v>
      </c>
      <c r="F27" s="90">
        <f>ROUND('[7]GAAP FINANCIALS'!G$20/1000,0)</f>
        <v>0</v>
      </c>
      <c r="G27" s="90">
        <f>ROUND('[7]GAAP FINANCIALS'!H$20/1000,0)</f>
        <v>0</v>
      </c>
      <c r="H27" s="90">
        <f>ROUND('[7]GAAP FINANCIALS'!I$20/1000,0)</f>
        <v>0</v>
      </c>
      <c r="I27" s="90">
        <f>ROUND('[7]GAAP FINANCIALS'!J$20/1000,0)</f>
        <v>0</v>
      </c>
      <c r="J27" s="90">
        <f>ROUND('[7]GAAP FINANCIALS'!K$20/1000,0)</f>
        <v>121</v>
      </c>
      <c r="K27" s="90">
        <f>ROUND('[7]GAAP FINANCIALS'!L$20/1000,0)</f>
        <v>121</v>
      </c>
      <c r="L27" s="90">
        <f>ROUND('[7]GAAP FINANCIALS'!M$20/1000,0)</f>
        <v>121</v>
      </c>
      <c r="M27" s="90">
        <f>ROUND('[7]GAAP FINANCIALS'!N$20/1000,0)</f>
        <v>121</v>
      </c>
      <c r="N27" s="90">
        <f>ROUND('[7]GAAP FINANCIALS'!O$20/1000,0)</f>
        <v>121</v>
      </c>
      <c r="O27" s="90">
        <f>ROUND('[7]GAAP FINANCIALS'!P$20/1000,0)</f>
        <v>121</v>
      </c>
      <c r="P27" s="90">
        <f>ROUND('[7]GAAP FINANCIALS'!Q$20/1000,0)</f>
        <v>121</v>
      </c>
      <c r="Q27" s="90">
        <f>ROUND('[7]GAAP FINANCIALS'!R$20/1000,0)</f>
        <v>121</v>
      </c>
      <c r="R27" s="90">
        <f>ROUND('[7]GAAP FINANCIALS'!S$20/1000,0)</f>
        <v>121</v>
      </c>
      <c r="S27" s="90">
        <f>ROUND('[7]GAAP FINANCIALS'!T$20/1000,0)</f>
        <v>121</v>
      </c>
      <c r="T27" s="90">
        <f>ROUND('[7]GAAP FINANCIALS'!U$20/1000,0)</f>
        <v>121</v>
      </c>
      <c r="U27" s="90">
        <f>ROUND('[7]GAAP FINANCIALS'!V$20/1000,0)</f>
        <v>121</v>
      </c>
      <c r="V27" s="90">
        <f>ROUND('[7]GAAP FINANCIALS'!W$20/1000,0)</f>
        <v>121</v>
      </c>
      <c r="W27" s="90">
        <f>ROUND('[7]GAAP FINANCIALS'!X$20/1000,0)</f>
        <v>121</v>
      </c>
      <c r="X27" s="90">
        <f>ROUND('[7]GAAP FINANCIALS'!Y$20/1000,0)</f>
        <v>121</v>
      </c>
      <c r="Y27" s="90">
        <f>ROUND('[7]GAAP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90"/>
      <c r="E28" s="90">
        <f>ROUND('[7]GAAP FINANCIALS'!F$16/1000,0)</f>
        <v>288</v>
      </c>
      <c r="F28" s="90">
        <f>ROUND('[7]GAAP FINANCIALS'!G$16/1000,0)</f>
        <v>294</v>
      </c>
      <c r="G28" s="90">
        <f>ROUND('[7]GAAP FINANCIALS'!H$16/1000,0)</f>
        <v>301</v>
      </c>
      <c r="H28" s="90">
        <f>ROUND('[7]GAAP FINANCIALS'!I$16/1000,0)</f>
        <v>308</v>
      </c>
      <c r="I28" s="90">
        <f>ROUND('[7]GAAP FINANCIALS'!J$16/1000,0)</f>
        <v>315</v>
      </c>
      <c r="J28" s="90">
        <f>ROUND('[7]GAAP FINANCIALS'!K$16/1000,0)</f>
        <v>323</v>
      </c>
      <c r="K28" s="90">
        <f>ROUND('[7]GAAP FINANCIALS'!L$16/1000,0)</f>
        <v>331</v>
      </c>
      <c r="L28" s="90">
        <f>ROUND('[7]GAAP FINANCIALS'!M$16/1000,0)</f>
        <v>339</v>
      </c>
      <c r="M28" s="90">
        <f>ROUND('[7]GAAP FINANCIALS'!N$16/1000,0)</f>
        <v>347</v>
      </c>
      <c r="N28" s="90">
        <f>ROUND('[7]GAAP FINANCIALS'!O$16/1000,0)</f>
        <v>355</v>
      </c>
      <c r="O28" s="90">
        <f>ROUND('[7]GAAP FINANCIALS'!P$16/1000,0)</f>
        <v>364</v>
      </c>
      <c r="P28" s="90">
        <f>ROUND('[7]GAAP FINANCIALS'!Q$16/1000,0)</f>
        <v>372</v>
      </c>
      <c r="Q28" s="90">
        <f>ROUND('[7]GAAP FINANCIALS'!R$16/1000,0)</f>
        <v>381</v>
      </c>
      <c r="R28" s="90">
        <f>ROUND('[7]GAAP FINANCIALS'!S$16/1000,0)</f>
        <v>390</v>
      </c>
      <c r="S28" s="90">
        <f>ROUND('[7]GAAP FINANCIALS'!T$16/1000,0)</f>
        <v>400</v>
      </c>
      <c r="T28" s="90">
        <f>ROUND('[7]GAAP FINANCIALS'!U$16/1000,0)</f>
        <v>410</v>
      </c>
      <c r="U28" s="90">
        <f>ROUND('[7]GAAP FINANCIALS'!V$16/1000,0)</f>
        <v>420</v>
      </c>
      <c r="V28" s="90">
        <f>ROUND('[7]GAAP FINANCIALS'!W$16/1000,0)</f>
        <v>430</v>
      </c>
      <c r="W28" s="90">
        <f>ROUND('[7]GAAP FINANCIALS'!X$16/1000,0)</f>
        <v>441</v>
      </c>
      <c r="X28" s="90">
        <f>ROUND('[7]GAAP FINANCIALS'!Y$16/1000,0)</f>
        <v>452</v>
      </c>
      <c r="Y28" s="90">
        <f>ROUND('[7]GAAP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90"/>
      <c r="E29" s="90">
        <f>ROUND(('[7]GAAP FINANCIALS'!F$18+'[7]GAAP FINANCIALS'!F$19+'[7]GAAP FINANCIALS'!F$21+'[7]GAAP FINANCIALS'!F$22+'[7]GAAP FINANCIALS'!F$23+'[7]GAAP FINANCIALS'!F$24)/1000,0)</f>
        <v>479</v>
      </c>
      <c r="F29" s="90">
        <f>ROUND(('[7]GAAP FINANCIALS'!G$18+'[7]GAAP FINANCIALS'!G$19+'[7]GAAP FINANCIALS'!G$21+'[7]GAAP FINANCIALS'!G$22+'[7]GAAP FINANCIALS'!G$23+'[7]GAAP FINANCIALS'!G$24)/1000,0)</f>
        <v>490</v>
      </c>
      <c r="G29" s="90">
        <f>ROUND(('[7]GAAP FINANCIALS'!H$18+'[7]GAAP FINANCIALS'!H$19+'[7]GAAP FINANCIALS'!H$21+'[7]GAAP FINANCIALS'!H$22+'[7]GAAP FINANCIALS'!H$23+'[7]GAAP FINANCIALS'!H$24)/1000,0)</f>
        <v>501</v>
      </c>
      <c r="H29" s="90">
        <f>ROUND(('[7]GAAP FINANCIALS'!I$18+'[7]GAAP FINANCIALS'!I$19+'[7]GAAP FINANCIALS'!I$21+'[7]GAAP FINANCIALS'!I$22+'[7]GAAP FINANCIALS'!I$23+'[7]GAAP FINANCIALS'!I$24)/1000,0)</f>
        <v>514</v>
      </c>
      <c r="I29" s="90">
        <f>ROUND(('[7]GAAP FINANCIALS'!J$18+'[7]GAAP FINANCIALS'!J$19+'[7]GAAP FINANCIALS'!J$21+'[7]GAAP FINANCIALS'!J$22+'[7]GAAP FINANCIALS'!J$23+'[7]GAAP FINANCIALS'!J$24)/1000,0)</f>
        <v>525</v>
      </c>
      <c r="J29" s="90">
        <f>ROUND(('[7]GAAP FINANCIALS'!K$18+'[7]GAAP FINANCIALS'!K$19+'[7]GAAP FINANCIALS'!K$21+'[7]GAAP FINANCIALS'!K$22+'[7]GAAP FINANCIALS'!K$23+'[7]GAAP FINANCIALS'!K$24)/1000,0)</f>
        <v>538</v>
      </c>
      <c r="K29" s="90">
        <f>ROUND(('[7]GAAP FINANCIALS'!L$18+'[7]GAAP FINANCIALS'!L$19+'[7]GAAP FINANCIALS'!L$21+'[7]GAAP FINANCIALS'!L$22+'[7]GAAP FINANCIALS'!L$23+'[7]GAAP FINANCIALS'!L$24)/1000,0)</f>
        <v>551</v>
      </c>
      <c r="L29" s="90">
        <f>ROUND(('[7]GAAP FINANCIALS'!M$18+'[7]GAAP FINANCIALS'!M$19+'[7]GAAP FINANCIALS'!M$21+'[7]GAAP FINANCIALS'!M$22+'[7]GAAP FINANCIALS'!M$23+'[7]GAAP FINANCIALS'!M$24)/1000,0)</f>
        <v>564</v>
      </c>
      <c r="M29" s="90">
        <f>ROUND(('[7]GAAP FINANCIALS'!N$18+'[7]GAAP FINANCIALS'!N$19+'[7]GAAP FINANCIALS'!N$21+'[7]GAAP FINANCIALS'!N$22+'[7]GAAP FINANCIALS'!N$23+'[7]GAAP FINANCIALS'!N$24)/1000,0)</f>
        <v>578</v>
      </c>
      <c r="N29" s="90">
        <f>ROUND(('[7]GAAP FINANCIALS'!O$18+'[7]GAAP FINANCIALS'!O$19+'[7]GAAP FINANCIALS'!O$21+'[7]GAAP FINANCIALS'!O$22+'[7]GAAP FINANCIALS'!O$23+'[7]GAAP FINANCIALS'!O$24)/1000,0)</f>
        <v>591</v>
      </c>
      <c r="O29" s="90">
        <f>ROUND(('[7]GAAP FINANCIALS'!P$18+'[7]GAAP FINANCIALS'!P$19+'[7]GAAP FINANCIALS'!P$21+'[7]GAAP FINANCIALS'!P$22+'[7]GAAP FINANCIALS'!P$23+'[7]GAAP FINANCIALS'!P$24)/1000,0)</f>
        <v>606</v>
      </c>
      <c r="P29" s="90">
        <f>ROUND(('[7]GAAP FINANCIALS'!Q$18+'[7]GAAP FINANCIALS'!Q$19+'[7]GAAP FINANCIALS'!Q$21+'[7]GAAP FINANCIALS'!Q$22+'[7]GAAP FINANCIALS'!Q$23+'[7]GAAP FINANCIALS'!Q$24)/1000,0)</f>
        <v>620</v>
      </c>
      <c r="Q29" s="90">
        <f>ROUND(('[7]GAAP FINANCIALS'!R$18+'[7]GAAP FINANCIALS'!R$19+'[7]GAAP FINANCIALS'!R$21+'[7]GAAP FINANCIALS'!R$22+'[7]GAAP FINANCIALS'!R$23+'[7]GAAP FINANCIALS'!R$24)/1000,0)</f>
        <v>635</v>
      </c>
      <c r="R29" s="90">
        <f>ROUND(('[7]GAAP FINANCIALS'!S$18+'[7]GAAP FINANCIALS'!S$19+'[7]GAAP FINANCIALS'!S$21+'[7]GAAP FINANCIALS'!S$22+'[7]GAAP FINANCIALS'!S$23+'[7]GAAP FINANCIALS'!S$24)/1000,0)</f>
        <v>650</v>
      </c>
      <c r="S29" s="90">
        <f>ROUND(('[7]GAAP FINANCIALS'!T$18+'[7]GAAP FINANCIALS'!T$19+'[7]GAAP FINANCIALS'!T$21+'[7]GAAP FINANCIALS'!T$22+'[7]GAAP FINANCIALS'!T$23+'[7]GAAP FINANCIALS'!T$24)/1000,0)</f>
        <v>666</v>
      </c>
      <c r="T29" s="90">
        <f>ROUND(('[7]GAAP FINANCIALS'!U$18+'[7]GAAP FINANCIALS'!U$19+'[7]GAAP FINANCIALS'!U$21+'[7]GAAP FINANCIALS'!U$22+'[7]GAAP FINANCIALS'!U$23+'[7]GAAP FINANCIALS'!U$24)/1000,0)</f>
        <v>683</v>
      </c>
      <c r="U29" s="90">
        <f>ROUND(('[7]GAAP FINANCIALS'!V$18+'[7]GAAP FINANCIALS'!V$19+'[7]GAAP FINANCIALS'!V$21+'[7]GAAP FINANCIALS'!V$22+'[7]GAAP FINANCIALS'!V$23+'[7]GAAP FINANCIALS'!V$24)/1000,0)</f>
        <v>700</v>
      </c>
      <c r="V29" s="90">
        <f>ROUND(('[7]GAAP FINANCIALS'!W$18+'[7]GAAP FINANCIALS'!W$19+'[7]GAAP FINANCIALS'!W$21+'[7]GAAP FINANCIALS'!W$22+'[7]GAAP FINANCIALS'!W$23+'[7]GAAP FINANCIALS'!W$24)/1000,0)</f>
        <v>717</v>
      </c>
      <c r="W29" s="90">
        <f>ROUND(('[7]GAAP FINANCIALS'!X$18+'[7]GAAP FINANCIALS'!X$19+'[7]GAAP FINANCIALS'!X$21+'[7]GAAP FINANCIALS'!X$22+'[7]GAAP FINANCIALS'!X$23+'[7]GAAP FINANCIALS'!X$24)/1000,0)</f>
        <v>735</v>
      </c>
      <c r="X29" s="90">
        <f>ROUND(('[7]GAAP FINANCIALS'!Y$18+'[7]GAAP FINANCIALS'!Y$19+'[7]GAAP FINANCIALS'!Y$21+'[7]GAAP FINANCIALS'!Y$22+'[7]GAAP FINANCIALS'!Y$23+'[7]GAAP FINANCIALS'!Y$24)/1000,0)</f>
        <v>753</v>
      </c>
      <c r="Y29" s="90">
        <f>ROUND(('[7]GAAP FINANCIALS'!Z$18+'[7]GAAP FINANCIALS'!Z$19+'[7]GAAP FINANCIALS'!Z$21+'[7]GAAP FINANCIALS'!Z$22+'[7]GAAP FINANCIALS'!Z$23+'[7]GAAP FINANCIALS'!Z$24)/1000,0)</f>
        <v>772</v>
      </c>
      <c r="Z29" s="8"/>
      <c r="AA29" s="606">
        <f t="shared" si="1"/>
        <v>12389</v>
      </c>
      <c r="AB29" s="607">
        <f t="shared" si="2"/>
        <v>6194.5</v>
      </c>
    </row>
    <row r="30" spans="1:28">
      <c r="A30" s="4" t="s">
        <v>36</v>
      </c>
      <c r="B30" s="7"/>
      <c r="C30" s="7"/>
      <c r="D30" s="90"/>
      <c r="E30" s="90">
        <v>0</v>
      </c>
      <c r="F30" s="90">
        <v>0</v>
      </c>
      <c r="G30" s="90">
        <v>0</v>
      </c>
      <c r="H30" s="90">
        <v>0</v>
      </c>
      <c r="I30" s="90">
        <v>0</v>
      </c>
      <c r="J30" s="90">
        <v>0</v>
      </c>
      <c r="K30" s="90">
        <v>0</v>
      </c>
      <c r="L30" s="90">
        <v>0</v>
      </c>
      <c r="M30" s="90">
        <v>0</v>
      </c>
      <c r="N30" s="90">
        <v>0</v>
      </c>
      <c r="O30" s="90">
        <v>0</v>
      </c>
      <c r="P30" s="90">
        <v>0</v>
      </c>
      <c r="Q30" s="90">
        <v>0</v>
      </c>
      <c r="R30" s="90">
        <v>0</v>
      </c>
      <c r="S30" s="90">
        <v>0</v>
      </c>
      <c r="T30" s="90">
        <v>0</v>
      </c>
      <c r="U30" s="90">
        <v>0</v>
      </c>
      <c r="V30" s="90">
        <v>0</v>
      </c>
      <c r="W30" s="90">
        <v>0</v>
      </c>
      <c r="X30" s="90">
        <v>0</v>
      </c>
      <c r="Y30" s="90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90"/>
      <c r="E31" s="90">
        <f>ROUND('[7]GAAP FINANCIALS'!F$17/1000,0)</f>
        <v>130</v>
      </c>
      <c r="F31" s="90">
        <f>ROUND('[7]GAAP FINANCIALS'!G$17/1000,0)</f>
        <v>133</v>
      </c>
      <c r="G31" s="90">
        <f>ROUND('[7]GAAP FINANCIALS'!H$17/1000,0)</f>
        <v>136</v>
      </c>
      <c r="H31" s="90">
        <f>ROUND('[7]GAAP FINANCIALS'!I$17/1000,0)</f>
        <v>139</v>
      </c>
      <c r="I31" s="90">
        <f>ROUND('[7]GAAP FINANCIALS'!J$17/1000,0)</f>
        <v>143</v>
      </c>
      <c r="J31" s="90">
        <f>ROUND('[7]GAAP FINANCIALS'!K$17/1000,0)</f>
        <v>146</v>
      </c>
      <c r="K31" s="90">
        <f>ROUND('[7]GAAP FINANCIALS'!L$17/1000,0)</f>
        <v>149</v>
      </c>
      <c r="L31" s="90">
        <f>ROUND('[7]GAAP FINANCIALS'!M$17/1000,0)</f>
        <v>153</v>
      </c>
      <c r="M31" s="90">
        <f>ROUND('[7]GAAP FINANCIALS'!N$17/1000,0)</f>
        <v>157</v>
      </c>
      <c r="N31" s="90">
        <f>ROUND('[7]GAAP FINANCIALS'!O$17/1000,0)</f>
        <v>160</v>
      </c>
      <c r="O31" s="90">
        <f>ROUND('[7]GAAP FINANCIALS'!P$17/1000,0)</f>
        <v>164</v>
      </c>
      <c r="P31" s="90">
        <f>ROUND('[7]GAAP FINANCIALS'!Q$17/1000,0)</f>
        <v>168</v>
      </c>
      <c r="Q31" s="90">
        <f>ROUND('[7]GAAP FINANCIALS'!R$17/1000,0)</f>
        <v>172</v>
      </c>
      <c r="R31" s="90">
        <f>ROUND('[7]GAAP FINANCIALS'!S$17/1000,0)</f>
        <v>176</v>
      </c>
      <c r="S31" s="90">
        <f>ROUND('[7]GAAP FINANCIALS'!T$17/1000,0)</f>
        <v>181</v>
      </c>
      <c r="T31" s="90">
        <f>ROUND('[7]GAAP FINANCIALS'!U$17/1000,0)</f>
        <v>185</v>
      </c>
      <c r="U31" s="90">
        <f>ROUND('[7]GAAP FINANCIALS'!V$17/1000,0)</f>
        <v>190</v>
      </c>
      <c r="V31" s="90">
        <f>ROUND('[7]GAAP FINANCIALS'!W$17/1000,0)</f>
        <v>195</v>
      </c>
      <c r="W31" s="90">
        <f>ROUND('[7]GAAP FINANCIALS'!X$17/1000,0)</f>
        <v>199</v>
      </c>
      <c r="X31" s="90">
        <f>ROUND('[7]GAAP FINANCIALS'!Y$17/1000,0)</f>
        <v>204</v>
      </c>
      <c r="Y31" s="90">
        <f>ROUND('[7]GAAP FINANCIALS'!Z$17/1000,0)</f>
        <v>210</v>
      </c>
      <c r="Z31" s="8"/>
      <c r="AA31" s="606">
        <f t="shared" si="1"/>
        <v>3360</v>
      </c>
      <c r="AB31" s="607">
        <f t="shared" si="2"/>
        <v>1680</v>
      </c>
    </row>
    <row r="32" spans="1:28">
      <c r="A32" s="4" t="s">
        <v>38</v>
      </c>
      <c r="B32" s="7"/>
      <c r="C32" s="7"/>
      <c r="D32" s="90"/>
      <c r="E32" s="90">
        <v>0</v>
      </c>
      <c r="F32" s="90">
        <v>0</v>
      </c>
      <c r="G32" s="90">
        <v>0</v>
      </c>
      <c r="H32" s="90">
        <v>0</v>
      </c>
      <c r="I32" s="90">
        <v>0</v>
      </c>
      <c r="J32" s="90">
        <v>0</v>
      </c>
      <c r="K32" s="90">
        <v>0</v>
      </c>
      <c r="L32" s="90">
        <v>0</v>
      </c>
      <c r="M32" s="90">
        <v>0</v>
      </c>
      <c r="N32" s="90">
        <v>0</v>
      </c>
      <c r="O32" s="90">
        <v>0</v>
      </c>
      <c r="P32" s="90">
        <v>0</v>
      </c>
      <c r="Q32" s="90">
        <v>0</v>
      </c>
      <c r="R32" s="90">
        <v>0</v>
      </c>
      <c r="S32" s="90">
        <v>0</v>
      </c>
      <c r="T32" s="90">
        <v>0</v>
      </c>
      <c r="U32" s="90">
        <v>0</v>
      </c>
      <c r="V32" s="90">
        <v>0</v>
      </c>
      <c r="W32" s="90">
        <v>0</v>
      </c>
      <c r="X32" s="90">
        <v>0</v>
      </c>
      <c r="Y32" s="90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90"/>
      <c r="E33" s="90">
        <v>0</v>
      </c>
      <c r="F33" s="90">
        <v>0</v>
      </c>
      <c r="G33" s="90">
        <v>0</v>
      </c>
      <c r="H33" s="90">
        <v>0</v>
      </c>
      <c r="I33" s="90">
        <v>0</v>
      </c>
      <c r="J33" s="90">
        <v>0</v>
      </c>
      <c r="K33" s="90">
        <v>0</v>
      </c>
      <c r="L33" s="90">
        <v>0</v>
      </c>
      <c r="M33" s="90">
        <v>0</v>
      </c>
      <c r="N33" s="90">
        <v>0</v>
      </c>
      <c r="O33" s="90">
        <v>0</v>
      </c>
      <c r="P33" s="90">
        <v>0</v>
      </c>
      <c r="Q33" s="90">
        <v>0</v>
      </c>
      <c r="R33" s="90">
        <v>0</v>
      </c>
      <c r="S33" s="90">
        <v>0</v>
      </c>
      <c r="T33" s="90">
        <v>0</v>
      </c>
      <c r="U33" s="90">
        <v>0</v>
      </c>
      <c r="V33" s="90">
        <v>0</v>
      </c>
      <c r="W33" s="90">
        <v>0</v>
      </c>
      <c r="X33" s="90">
        <v>0</v>
      </c>
      <c r="Y33" s="90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90"/>
      <c r="E34" s="90">
        <f>ROUND('[7]GAAP FINANCIALS'!F$25/1000,0)</f>
        <v>1463</v>
      </c>
      <c r="F34" s="90">
        <f>ROUND('[7]GAAP FINANCIALS'!G$25/1000,0)</f>
        <v>1468</v>
      </c>
      <c r="G34" s="90">
        <f>ROUND('[7]GAAP FINANCIALS'!H$25/1000,0)</f>
        <v>1475</v>
      </c>
      <c r="H34" s="90">
        <f>ROUND('[7]GAAP FINANCIALS'!I$25/1000,0)</f>
        <v>1481</v>
      </c>
      <c r="I34" s="90">
        <f>ROUND('[7]GAAP FINANCIALS'!J$25/1000,0)</f>
        <v>1488</v>
      </c>
      <c r="J34" s="90">
        <f>ROUND('[7]GAAP FINANCIALS'!K$25/1000,0)</f>
        <v>1495</v>
      </c>
      <c r="K34" s="90">
        <f>ROUND('[7]GAAP FINANCIALS'!L$25/1000,0)</f>
        <v>1502</v>
      </c>
      <c r="L34" s="90">
        <f>ROUND('[7]GAAP FINANCIALS'!M$25/1000,0)</f>
        <v>1509</v>
      </c>
      <c r="M34" s="90">
        <f>ROUND('[7]GAAP FINANCIALS'!N$25/1000,0)</f>
        <v>1517</v>
      </c>
      <c r="N34" s="90">
        <f>ROUND('[7]GAAP FINANCIALS'!O$25/1000,0)</f>
        <v>1524</v>
      </c>
      <c r="O34" s="90">
        <f>ROUND('[7]GAAP FINANCIALS'!P$25/1000,0)</f>
        <v>1532</v>
      </c>
      <c r="P34" s="90">
        <f>ROUND('[7]GAAP FINANCIALS'!Q$25/1000,0)</f>
        <v>1540</v>
      </c>
      <c r="Q34" s="90">
        <f>ROUND('[7]GAAP FINANCIALS'!R$25/1000,0)</f>
        <v>1548</v>
      </c>
      <c r="R34" s="90">
        <f>ROUND('[7]GAAP FINANCIALS'!S$25/1000,0)</f>
        <v>1556</v>
      </c>
      <c r="S34" s="90">
        <f>ROUND('[7]GAAP FINANCIALS'!T$25/1000,0)</f>
        <v>1565</v>
      </c>
      <c r="T34" s="90">
        <f>ROUND('[7]GAAP FINANCIALS'!U$25/1000,0)</f>
        <v>1574</v>
      </c>
      <c r="U34" s="90">
        <f>ROUND('[7]GAAP FINANCIALS'!V$25/1000,0)</f>
        <v>1583</v>
      </c>
      <c r="V34" s="90">
        <f>ROUND('[7]GAAP FINANCIALS'!W$25/1000,0)</f>
        <v>1593</v>
      </c>
      <c r="W34" s="90">
        <f>ROUND('[7]GAAP FINANCIALS'!X$25/1000,0)</f>
        <v>1603</v>
      </c>
      <c r="X34" s="90">
        <f>ROUND('[7]GAAP FINANCIALS'!Y$25/1000,0)</f>
        <v>1613</v>
      </c>
      <c r="Y34" s="90">
        <f>ROUND('[7]GAAP FINANCIALS'!Z$25/1000,0)</f>
        <v>1623</v>
      </c>
      <c r="Z34" s="8"/>
      <c r="AA34" s="606">
        <f t="shared" si="1"/>
        <v>30789</v>
      </c>
      <c r="AB34" s="607">
        <f t="shared" si="2"/>
        <v>15394.5</v>
      </c>
    </row>
    <row r="35" spans="1:28">
      <c r="A35" s="4" t="s">
        <v>21</v>
      </c>
      <c r="B35" s="8"/>
      <c r="C35" s="8"/>
      <c r="D35" s="91"/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1">
        <v>0</v>
      </c>
      <c r="S35" s="91">
        <v>0</v>
      </c>
      <c r="T35" s="91">
        <v>0</v>
      </c>
      <c r="U35" s="91">
        <v>0</v>
      </c>
      <c r="V35" s="91">
        <v>0</v>
      </c>
      <c r="W35" s="91">
        <v>0</v>
      </c>
      <c r="X35" s="91">
        <v>0</v>
      </c>
      <c r="Y35" s="91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7930</v>
      </c>
      <c r="F36" s="90">
        <f t="shared" si="4"/>
        <v>7719</v>
      </c>
      <c r="G36" s="55">
        <f t="shared" si="4"/>
        <v>7905</v>
      </c>
      <c r="H36" s="90">
        <f t="shared" si="4"/>
        <v>8155</v>
      </c>
      <c r="I36" s="90">
        <f t="shared" si="4"/>
        <v>8278</v>
      </c>
      <c r="J36" s="90">
        <f t="shared" si="4"/>
        <v>8281</v>
      </c>
      <c r="K36" s="90">
        <f t="shared" si="4"/>
        <v>8566</v>
      </c>
      <c r="L36" s="90">
        <f t="shared" si="4"/>
        <v>8895</v>
      </c>
      <c r="M36" s="90">
        <f t="shared" si="4"/>
        <v>9011</v>
      </c>
      <c r="N36" s="90">
        <f t="shared" si="4"/>
        <v>9138</v>
      </c>
      <c r="O36" s="90">
        <f t="shared" si="4"/>
        <v>9373</v>
      </c>
      <c r="P36" s="90">
        <f t="shared" si="4"/>
        <v>9601</v>
      </c>
      <c r="Q36" s="90">
        <f t="shared" si="4"/>
        <v>9781</v>
      </c>
      <c r="R36" s="90">
        <f t="shared" si="4"/>
        <v>9980</v>
      </c>
      <c r="S36" s="90">
        <f t="shared" si="4"/>
        <v>10192</v>
      </c>
      <c r="T36" s="90">
        <f t="shared" si="4"/>
        <v>10410</v>
      </c>
      <c r="U36" s="90">
        <f t="shared" si="4"/>
        <v>10580</v>
      </c>
      <c r="V36" s="90">
        <f t="shared" si="4"/>
        <v>10748</v>
      </c>
      <c r="W36" s="90">
        <f t="shared" si="4"/>
        <v>10936</v>
      </c>
      <c r="X36" s="90">
        <f t="shared" si="4"/>
        <v>11118</v>
      </c>
      <c r="Y36" s="90">
        <f t="shared" si="4"/>
        <v>11178</v>
      </c>
      <c r="Z36" s="8"/>
      <c r="AA36" s="606">
        <f t="shared" si="1"/>
        <v>189845</v>
      </c>
      <c r="AB36" s="607">
        <f t="shared" si="2"/>
        <v>94922.5</v>
      </c>
    </row>
    <row r="37" spans="1:28">
      <c r="A37" s="6"/>
      <c r="B37" s="238"/>
      <c r="C37" s="238"/>
      <c r="D37" s="234"/>
      <c r="E37" s="235"/>
      <c r="F37" s="235"/>
      <c r="G37" s="236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235"/>
      <c r="U37" s="235"/>
      <c r="V37" s="235"/>
      <c r="W37" s="235"/>
      <c r="X37" s="235"/>
      <c r="Y37" s="235"/>
      <c r="Z37" s="237"/>
      <c r="AA37" s="606">
        <f t="shared" si="1"/>
        <v>0</v>
      </c>
      <c r="AB37" s="607">
        <f t="shared" si="2"/>
        <v>0</v>
      </c>
    </row>
    <row r="38" spans="1:28">
      <c r="A38" s="6"/>
      <c r="B38" s="5"/>
      <c r="C38" s="5"/>
      <c r="D38" s="234"/>
      <c r="E38" s="235"/>
      <c r="F38" s="235"/>
      <c r="G38" s="236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235"/>
      <c r="U38" s="235"/>
      <c r="V38" s="235"/>
      <c r="W38" s="235"/>
      <c r="X38" s="235"/>
      <c r="Y38" s="235"/>
      <c r="Z38" s="237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16371</v>
      </c>
      <c r="F39" s="93">
        <f t="shared" si="5"/>
        <v>16175</v>
      </c>
      <c r="G39" s="94">
        <f t="shared" si="5"/>
        <v>15420</v>
      </c>
      <c r="H39" s="93">
        <f t="shared" si="5"/>
        <v>15306</v>
      </c>
      <c r="I39" s="93">
        <f t="shared" si="5"/>
        <v>15316</v>
      </c>
      <c r="J39" s="93">
        <f t="shared" si="5"/>
        <v>15654</v>
      </c>
      <c r="K39" s="93">
        <f t="shared" si="5"/>
        <v>15739</v>
      </c>
      <c r="L39" s="93">
        <f t="shared" si="5"/>
        <v>15968</v>
      </c>
      <c r="M39" s="93">
        <f t="shared" si="5"/>
        <v>15696</v>
      </c>
      <c r="N39" s="93">
        <f t="shared" si="5"/>
        <v>15625</v>
      </c>
      <c r="O39" s="93">
        <f t="shared" si="5"/>
        <v>15590</v>
      </c>
      <c r="P39" s="93">
        <f t="shared" si="5"/>
        <v>15514</v>
      </c>
      <c r="Q39" s="93">
        <f t="shared" si="5"/>
        <v>15372</v>
      </c>
      <c r="R39" s="93">
        <f t="shared" si="5"/>
        <v>15446</v>
      </c>
      <c r="S39" s="93">
        <f t="shared" si="5"/>
        <v>15397</v>
      </c>
      <c r="T39" s="93">
        <f t="shared" si="5"/>
        <v>15341</v>
      </c>
      <c r="U39" s="93">
        <f t="shared" si="5"/>
        <v>15335</v>
      </c>
      <c r="V39" s="93">
        <f t="shared" si="5"/>
        <v>15335</v>
      </c>
      <c r="W39" s="93">
        <f t="shared" si="5"/>
        <v>15318</v>
      </c>
      <c r="X39" s="93">
        <f t="shared" si="5"/>
        <v>15179</v>
      </c>
      <c r="Y39" s="93">
        <f t="shared" si="5"/>
        <v>15437</v>
      </c>
      <c r="Z39" s="21"/>
      <c r="AA39" s="606">
        <f>SUM(F39:Y39)</f>
        <v>310163</v>
      </c>
      <c r="AB39" s="607">
        <f t="shared" si="2"/>
        <v>155081.5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90"/>
      <c r="E41" s="90"/>
      <c r="F41" s="90">
        <f>F108</f>
        <v>7104</v>
      </c>
      <c r="G41" s="90">
        <f t="shared" ref="G41:Y41" si="7">G108</f>
        <v>7104</v>
      </c>
      <c r="H41" s="90">
        <f t="shared" si="7"/>
        <v>7104</v>
      </c>
      <c r="I41" s="90">
        <f t="shared" si="7"/>
        <v>7104</v>
      </c>
      <c r="J41" s="90">
        <f t="shared" si="7"/>
        <v>7104</v>
      </c>
      <c r="K41" s="90">
        <f t="shared" si="7"/>
        <v>7104</v>
      </c>
      <c r="L41" s="90">
        <f t="shared" si="7"/>
        <v>7104</v>
      </c>
      <c r="M41" s="90">
        <f t="shared" si="7"/>
        <v>7104</v>
      </c>
      <c r="N41" s="90">
        <f t="shared" si="7"/>
        <v>7104</v>
      </c>
      <c r="O41" s="90">
        <f t="shared" si="7"/>
        <v>7104</v>
      </c>
      <c r="P41" s="90">
        <f t="shared" si="7"/>
        <v>7104</v>
      </c>
      <c r="Q41" s="90">
        <f t="shared" si="7"/>
        <v>7104</v>
      </c>
      <c r="R41" s="90">
        <f t="shared" si="7"/>
        <v>7104</v>
      </c>
      <c r="S41" s="90">
        <f t="shared" si="7"/>
        <v>7104</v>
      </c>
      <c r="T41" s="90">
        <f t="shared" si="7"/>
        <v>7104</v>
      </c>
      <c r="U41" s="90">
        <f t="shared" si="7"/>
        <v>7104</v>
      </c>
      <c r="V41" s="90">
        <f t="shared" si="7"/>
        <v>7104</v>
      </c>
      <c r="W41" s="90">
        <f t="shared" si="7"/>
        <v>7104</v>
      </c>
      <c r="X41" s="90">
        <f t="shared" si="7"/>
        <v>7104</v>
      </c>
      <c r="Y41" s="90">
        <f t="shared" si="7"/>
        <v>7104</v>
      </c>
      <c r="Z41" s="8"/>
      <c r="AA41" s="606">
        <f t="shared" si="6"/>
        <v>142080</v>
      </c>
      <c r="AB41" s="607">
        <f t="shared" si="2"/>
        <v>71040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9071</v>
      </c>
      <c r="G44" s="93">
        <f t="shared" si="8"/>
        <v>8316</v>
      </c>
      <c r="H44" s="93">
        <f t="shared" si="8"/>
        <v>8202</v>
      </c>
      <c r="I44" s="93">
        <f t="shared" si="8"/>
        <v>8212</v>
      </c>
      <c r="J44" s="93">
        <f t="shared" si="8"/>
        <v>8550</v>
      </c>
      <c r="K44" s="93">
        <f t="shared" si="8"/>
        <v>8635</v>
      </c>
      <c r="L44" s="93">
        <f t="shared" si="8"/>
        <v>8864</v>
      </c>
      <c r="M44" s="93">
        <f t="shared" si="8"/>
        <v>8592</v>
      </c>
      <c r="N44" s="93">
        <f t="shared" si="8"/>
        <v>8521</v>
      </c>
      <c r="O44" s="93">
        <f t="shared" si="8"/>
        <v>8486</v>
      </c>
      <c r="P44" s="93">
        <f t="shared" si="8"/>
        <v>8410</v>
      </c>
      <c r="Q44" s="93">
        <f t="shared" si="8"/>
        <v>8268</v>
      </c>
      <c r="R44" s="93">
        <f t="shared" si="8"/>
        <v>8342</v>
      </c>
      <c r="S44" s="93">
        <f t="shared" si="8"/>
        <v>8293</v>
      </c>
      <c r="T44" s="93">
        <f t="shared" si="8"/>
        <v>8237</v>
      </c>
      <c r="U44" s="93">
        <f t="shared" si="8"/>
        <v>8231</v>
      </c>
      <c r="V44" s="93">
        <f t="shared" si="8"/>
        <v>8231</v>
      </c>
      <c r="W44" s="93">
        <f t="shared" si="8"/>
        <v>8214</v>
      </c>
      <c r="X44" s="93">
        <f t="shared" si="8"/>
        <v>8075</v>
      </c>
      <c r="Y44" s="93">
        <f t="shared" si="8"/>
        <v>8333</v>
      </c>
      <c r="Z44" s="21"/>
      <c r="AA44" s="606">
        <f t="shared" si="6"/>
        <v>168083</v>
      </c>
      <c r="AB44" s="607">
        <f t="shared" si="2"/>
        <v>84041.5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-ROUND(('[7]GAAP FINANCIALS'!G$31+'[7]GAAP FINANCIALS'!G$32)/1000,0)</f>
        <v>5744</v>
      </c>
      <c r="G46" s="29">
        <f>-ROUND(('[7]GAAP FINANCIALS'!H$31+'[7]GAAP FINANCIALS'!H$32)/1000,0)</f>
        <v>5581</v>
      </c>
      <c r="H46" s="29">
        <f>-ROUND(('[7]GAAP FINANCIALS'!I$31+'[7]GAAP FINANCIALS'!I$32)/1000,0)</f>
        <v>5417</v>
      </c>
      <c r="I46" s="29">
        <f>-ROUND(('[7]GAAP FINANCIALS'!J$31+'[7]GAAP FINANCIALS'!J$32)/1000,0)</f>
        <v>5230</v>
      </c>
      <c r="J46" s="29">
        <f>-ROUND(('[7]GAAP FINANCIALS'!K$31+'[7]GAAP FINANCIALS'!K$32)/1000,0)</f>
        <v>5022</v>
      </c>
      <c r="K46" s="29">
        <f>-ROUND(('[7]GAAP FINANCIALS'!L$31+'[7]GAAP FINANCIALS'!L$32)/1000,0)</f>
        <v>4839</v>
      </c>
      <c r="L46" s="29">
        <f>-ROUND(('[7]GAAP FINANCIALS'!M$31+'[7]GAAP FINANCIALS'!M$32)/1000,0)</f>
        <v>4604</v>
      </c>
      <c r="M46" s="29">
        <f>-ROUND(('[7]GAAP FINANCIALS'!N$31+'[7]GAAP FINANCIALS'!N$32)/1000,0)</f>
        <v>4340</v>
      </c>
      <c r="N46" s="29">
        <f>-ROUND(('[7]GAAP FINANCIALS'!O$31+'[7]GAAP FINANCIALS'!O$32)/1000,0)</f>
        <v>4067</v>
      </c>
      <c r="O46" s="29">
        <f>-ROUND(('[7]GAAP FINANCIALS'!P$31+'[7]GAAP FINANCIALS'!P$32)/1000,0)</f>
        <v>3775</v>
      </c>
      <c r="P46" s="29">
        <f>-ROUND(('[7]GAAP FINANCIALS'!Q$31+'[7]GAAP FINANCIALS'!Q$32)/1000,0)</f>
        <v>3461</v>
      </c>
      <c r="Q46" s="29">
        <f>-ROUND(('[7]GAAP FINANCIALS'!R$31+'[7]GAAP FINANCIALS'!R$32)/1000,0)</f>
        <v>3124</v>
      </c>
      <c r="R46" s="29">
        <f>-ROUND(('[7]GAAP FINANCIALS'!S$31+'[7]GAAP FINANCIALS'!S$32)/1000,0)</f>
        <v>2800</v>
      </c>
      <c r="S46" s="29">
        <f>-ROUND(('[7]GAAP FINANCIALS'!T$31+'[7]GAAP FINANCIALS'!T$32)/1000,0)</f>
        <v>2414</v>
      </c>
      <c r="T46" s="29">
        <f>-ROUND(('[7]GAAP FINANCIALS'!U$31+'[7]GAAP FINANCIALS'!U$32)/1000,0)</f>
        <v>2001</v>
      </c>
      <c r="U46" s="29">
        <f>-ROUND(('[7]GAAP FINANCIALS'!V$31+'[7]GAAP FINANCIALS'!V$32)/1000,0)</f>
        <v>1557</v>
      </c>
      <c r="V46" s="29">
        <f>-ROUND(('[7]GAAP FINANCIALS'!W$31+'[7]GAAP FINANCIALS'!W$32)/1000,0)</f>
        <v>1078</v>
      </c>
      <c r="W46" s="29">
        <f>-ROUND(('[7]GAAP FINANCIALS'!X$31+'[7]GAAP FINANCIALS'!X$32)/1000,0)</f>
        <v>560</v>
      </c>
      <c r="X46" s="29">
        <f>-ROUND(('[7]GAAP FINANCIALS'!Y$31+'[7]GAAP FINANCIALS'!Y$32)/1000,0)</f>
        <v>0</v>
      </c>
      <c r="Y46" s="29">
        <f>-ROUND(('[7]GAAP FINANCIALS'!Z$31+'[7]GAAP FINANCIALS'!Z$32)/1000,0)</f>
        <v>0</v>
      </c>
      <c r="Z46" s="8"/>
      <c r="AA46" s="606">
        <f t="shared" si="6"/>
        <v>65614</v>
      </c>
      <c r="AB46" s="607">
        <f t="shared" si="2"/>
        <v>32807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3327</v>
      </c>
      <c r="G49" s="93">
        <f t="shared" si="9"/>
        <v>2735</v>
      </c>
      <c r="H49" s="93">
        <f t="shared" si="9"/>
        <v>2785</v>
      </c>
      <c r="I49" s="93">
        <f t="shared" si="9"/>
        <v>2982</v>
      </c>
      <c r="J49" s="93">
        <f t="shared" si="9"/>
        <v>3528</v>
      </c>
      <c r="K49" s="93">
        <f t="shared" si="9"/>
        <v>3796</v>
      </c>
      <c r="L49" s="93">
        <f t="shared" si="9"/>
        <v>4260</v>
      </c>
      <c r="M49" s="93">
        <f t="shared" si="9"/>
        <v>4252</v>
      </c>
      <c r="N49" s="93">
        <f t="shared" si="9"/>
        <v>4454</v>
      </c>
      <c r="O49" s="93">
        <f t="shared" si="9"/>
        <v>4711</v>
      </c>
      <c r="P49" s="93">
        <f t="shared" si="9"/>
        <v>4949</v>
      </c>
      <c r="Q49" s="93">
        <f t="shared" si="9"/>
        <v>5144</v>
      </c>
      <c r="R49" s="93">
        <f t="shared" si="9"/>
        <v>5542</v>
      </c>
      <c r="S49" s="93">
        <f t="shared" si="9"/>
        <v>5879</v>
      </c>
      <c r="T49" s="93">
        <f t="shared" si="9"/>
        <v>6236</v>
      </c>
      <c r="U49" s="93">
        <f t="shared" si="9"/>
        <v>6674</v>
      </c>
      <c r="V49" s="93">
        <f t="shared" si="9"/>
        <v>7153</v>
      </c>
      <c r="W49" s="93">
        <f t="shared" si="9"/>
        <v>7654</v>
      </c>
      <c r="X49" s="93">
        <f t="shared" si="9"/>
        <v>8075</v>
      </c>
      <c r="Y49" s="93">
        <f t="shared" si="9"/>
        <v>8333</v>
      </c>
      <c r="Z49" s="21"/>
      <c r="AA49" s="606">
        <f t="shared" si="6"/>
        <v>102469</v>
      </c>
      <c r="AB49" s="607">
        <f t="shared" si="2"/>
        <v>51234.5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03">
        <v>0.05</v>
      </c>
      <c r="D51" s="90"/>
      <c r="E51" s="90"/>
      <c r="F51" s="90">
        <f t="shared" ref="F51:Y51" si="10">F49*-$C$51</f>
        <v>-166.35000000000002</v>
      </c>
      <c r="G51" s="55">
        <f t="shared" si="10"/>
        <v>-136.75</v>
      </c>
      <c r="H51" s="90">
        <f t="shared" si="10"/>
        <v>-139.25</v>
      </c>
      <c r="I51" s="90">
        <f t="shared" si="10"/>
        <v>-149.1</v>
      </c>
      <c r="J51" s="90">
        <f t="shared" si="10"/>
        <v>-176.4</v>
      </c>
      <c r="K51" s="90">
        <f t="shared" si="10"/>
        <v>-189.8</v>
      </c>
      <c r="L51" s="90">
        <f t="shared" si="10"/>
        <v>-213</v>
      </c>
      <c r="M51" s="90">
        <f t="shared" si="10"/>
        <v>-212.60000000000002</v>
      </c>
      <c r="N51" s="90">
        <f t="shared" si="10"/>
        <v>-222.70000000000002</v>
      </c>
      <c r="O51" s="90">
        <f t="shared" si="10"/>
        <v>-235.55</v>
      </c>
      <c r="P51" s="90">
        <f t="shared" si="10"/>
        <v>-247.45000000000002</v>
      </c>
      <c r="Q51" s="90">
        <f t="shared" si="10"/>
        <v>-257.2</v>
      </c>
      <c r="R51" s="90">
        <f t="shared" si="10"/>
        <v>-277.10000000000002</v>
      </c>
      <c r="S51" s="90">
        <f t="shared" si="10"/>
        <v>-293.95</v>
      </c>
      <c r="T51" s="90">
        <f t="shared" si="10"/>
        <v>-311.8</v>
      </c>
      <c r="U51" s="90">
        <f t="shared" si="10"/>
        <v>-333.70000000000005</v>
      </c>
      <c r="V51" s="90">
        <f t="shared" si="10"/>
        <v>-357.65000000000003</v>
      </c>
      <c r="W51" s="90">
        <f t="shared" si="10"/>
        <v>-382.70000000000005</v>
      </c>
      <c r="X51" s="90">
        <f t="shared" si="10"/>
        <v>-403.75</v>
      </c>
      <c r="Y51" s="90">
        <f t="shared" si="10"/>
        <v>-416.65000000000003</v>
      </c>
      <c r="Z51" s="8"/>
      <c r="AA51" s="606">
        <f t="shared" si="6"/>
        <v>-5123.45</v>
      </c>
      <c r="AB51" s="607">
        <f t="shared" si="2"/>
        <v>-2561.7249999999999</v>
      </c>
    </row>
    <row r="52" spans="1:28">
      <c r="A52" s="4" t="s">
        <v>29</v>
      </c>
      <c r="B52" s="7"/>
      <c r="C52" s="103">
        <v>0.35</v>
      </c>
      <c r="D52" s="89"/>
      <c r="E52" s="89"/>
      <c r="F52" s="89">
        <f t="shared" ref="F52:Y52" si="11">(F49+F51)*-$C$52</f>
        <v>-1106.2275</v>
      </c>
      <c r="G52" s="89">
        <f t="shared" si="11"/>
        <v>-909.38749999999993</v>
      </c>
      <c r="H52" s="89">
        <f t="shared" si="11"/>
        <v>-926.01249999999993</v>
      </c>
      <c r="I52" s="89">
        <f t="shared" si="11"/>
        <v>-991.51499999999999</v>
      </c>
      <c r="J52" s="89">
        <f t="shared" si="11"/>
        <v>-1173.06</v>
      </c>
      <c r="K52" s="89">
        <f t="shared" si="11"/>
        <v>-1262.1699999999998</v>
      </c>
      <c r="L52" s="89">
        <f t="shared" si="11"/>
        <v>-1416.4499999999998</v>
      </c>
      <c r="M52" s="89">
        <f t="shared" si="11"/>
        <v>-1413.79</v>
      </c>
      <c r="N52" s="89">
        <f t="shared" si="11"/>
        <v>-1480.9549999999999</v>
      </c>
      <c r="O52" s="89">
        <f t="shared" si="11"/>
        <v>-1566.4074999999998</v>
      </c>
      <c r="P52" s="89">
        <f t="shared" si="11"/>
        <v>-1645.5425</v>
      </c>
      <c r="Q52" s="89">
        <f t="shared" si="11"/>
        <v>-1710.3799999999999</v>
      </c>
      <c r="R52" s="89">
        <f t="shared" si="11"/>
        <v>-1842.7149999999997</v>
      </c>
      <c r="S52" s="89">
        <f t="shared" si="11"/>
        <v>-1954.7674999999999</v>
      </c>
      <c r="T52" s="89">
        <f t="shared" si="11"/>
        <v>-2073.4699999999998</v>
      </c>
      <c r="U52" s="89">
        <f t="shared" si="11"/>
        <v>-2219.105</v>
      </c>
      <c r="V52" s="89">
        <f t="shared" si="11"/>
        <v>-2378.3724999999999</v>
      </c>
      <c r="W52" s="89">
        <f t="shared" si="11"/>
        <v>-2544.9549999999999</v>
      </c>
      <c r="X52" s="89">
        <f t="shared" si="11"/>
        <v>-2684.9375</v>
      </c>
      <c r="Y52" s="89">
        <f t="shared" si="11"/>
        <v>-2770.7224999999999</v>
      </c>
      <c r="Z52" s="8"/>
      <c r="AA52" s="606">
        <f t="shared" si="6"/>
        <v>-34070.942500000005</v>
      </c>
      <c r="AB52" s="607">
        <f t="shared" si="2"/>
        <v>-17035.471250000002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 ht="15.75">
      <c r="A54" s="18" t="s">
        <v>30</v>
      </c>
      <c r="B54" s="18"/>
      <c r="C54" s="18"/>
      <c r="D54" s="239"/>
      <c r="E54" s="239"/>
      <c r="F54" s="239">
        <f t="shared" ref="F54:Y54" si="12">SUM(F49:F52)</f>
        <v>2054.4225000000001</v>
      </c>
      <c r="G54" s="239">
        <f t="shared" si="12"/>
        <v>1688.8625000000002</v>
      </c>
      <c r="H54" s="239">
        <f t="shared" si="12"/>
        <v>1719.7375000000002</v>
      </c>
      <c r="I54" s="239">
        <f t="shared" si="12"/>
        <v>1841.3850000000002</v>
      </c>
      <c r="J54" s="239">
        <f t="shared" si="12"/>
        <v>2178.54</v>
      </c>
      <c r="K54" s="239">
        <f t="shared" si="12"/>
        <v>2344.0299999999997</v>
      </c>
      <c r="L54" s="239">
        <f t="shared" si="12"/>
        <v>2630.55</v>
      </c>
      <c r="M54" s="239">
        <f t="shared" si="12"/>
        <v>2625.61</v>
      </c>
      <c r="N54" s="239">
        <f t="shared" si="12"/>
        <v>2750.3450000000003</v>
      </c>
      <c r="O54" s="239">
        <f t="shared" si="12"/>
        <v>2909.0425</v>
      </c>
      <c r="P54" s="239">
        <f t="shared" si="12"/>
        <v>3056.0075000000002</v>
      </c>
      <c r="Q54" s="239">
        <f t="shared" si="12"/>
        <v>3176.42</v>
      </c>
      <c r="R54" s="239">
        <f t="shared" si="12"/>
        <v>3422.1849999999999</v>
      </c>
      <c r="S54" s="239">
        <f t="shared" si="12"/>
        <v>3630.2825000000003</v>
      </c>
      <c r="T54" s="239">
        <f t="shared" si="12"/>
        <v>3850.73</v>
      </c>
      <c r="U54" s="239">
        <f t="shared" si="12"/>
        <v>4121.1949999999997</v>
      </c>
      <c r="V54" s="239">
        <f t="shared" si="12"/>
        <v>4416.9775000000009</v>
      </c>
      <c r="W54" s="239">
        <f t="shared" si="12"/>
        <v>4726.3450000000003</v>
      </c>
      <c r="X54" s="239">
        <f t="shared" si="12"/>
        <v>4986.3125</v>
      </c>
      <c r="Y54" s="239">
        <f t="shared" si="12"/>
        <v>5145.6275000000005</v>
      </c>
      <c r="Z54" s="240"/>
      <c r="AA54" s="606">
        <f t="shared" si="6"/>
        <v>63274.607500000006</v>
      </c>
      <c r="AB54" s="607">
        <f t="shared" si="2"/>
        <v>31637.303750000003</v>
      </c>
    </row>
    <row r="55" spans="1:28">
      <c r="A55" s="5"/>
      <c r="B55" s="238">
        <f>SUM(H55:Y55)</f>
        <v>0</v>
      </c>
      <c r="C55" s="238"/>
      <c r="D55" s="5"/>
      <c r="E55" s="241"/>
      <c r="F55" s="241"/>
      <c r="G55" s="2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37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 ht="18.75">
      <c r="A58" s="19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2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16175</v>
      </c>
      <c r="G64" s="24">
        <f t="shared" si="14"/>
        <v>15420</v>
      </c>
      <c r="H64" s="20">
        <f t="shared" si="14"/>
        <v>15306</v>
      </c>
      <c r="I64" s="20">
        <f t="shared" si="14"/>
        <v>15316</v>
      </c>
      <c r="J64" s="20">
        <f t="shared" si="14"/>
        <v>15654</v>
      </c>
      <c r="K64" s="20">
        <f t="shared" si="14"/>
        <v>15739</v>
      </c>
      <c r="L64" s="20">
        <f t="shared" si="14"/>
        <v>15968</v>
      </c>
      <c r="M64" s="20">
        <f t="shared" si="14"/>
        <v>15696</v>
      </c>
      <c r="N64" s="20">
        <f t="shared" si="14"/>
        <v>15625</v>
      </c>
      <c r="O64" s="20">
        <f t="shared" si="14"/>
        <v>15590</v>
      </c>
      <c r="P64" s="20">
        <f t="shared" si="14"/>
        <v>15514</v>
      </c>
      <c r="Q64" s="20">
        <f t="shared" si="14"/>
        <v>15372</v>
      </c>
      <c r="R64" s="20">
        <f t="shared" si="14"/>
        <v>15446</v>
      </c>
      <c r="S64" s="20">
        <f t="shared" si="14"/>
        <v>15397</v>
      </c>
      <c r="T64" s="20">
        <f t="shared" si="14"/>
        <v>15341</v>
      </c>
      <c r="U64" s="20">
        <f t="shared" si="14"/>
        <v>15335</v>
      </c>
      <c r="V64" s="20">
        <f t="shared" si="14"/>
        <v>15335</v>
      </c>
      <c r="W64" s="20">
        <f t="shared" si="14"/>
        <v>15318</v>
      </c>
      <c r="X64" s="20">
        <f t="shared" si="14"/>
        <v>15179</v>
      </c>
      <c r="Y64" s="20">
        <f t="shared" si="14"/>
        <v>15437</v>
      </c>
      <c r="Z64" s="8"/>
      <c r="AA64" s="606">
        <f t="shared" si="6"/>
        <v>310163</v>
      </c>
      <c r="AB64" s="607">
        <f t="shared" si="2"/>
        <v>155081.5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>
      <c r="A66" s="15" t="s">
        <v>26</v>
      </c>
      <c r="B66" s="7"/>
      <c r="C66" s="7"/>
      <c r="D66" s="20"/>
      <c r="E66" s="20"/>
      <c r="F66" s="20">
        <f t="shared" ref="F66:Y66" si="15">-F46</f>
        <v>-5744</v>
      </c>
      <c r="G66" s="20">
        <f t="shared" si="15"/>
        <v>-5581</v>
      </c>
      <c r="H66" s="20">
        <f t="shared" si="15"/>
        <v>-5417</v>
      </c>
      <c r="I66" s="20">
        <f t="shared" si="15"/>
        <v>-5230</v>
      </c>
      <c r="J66" s="20">
        <f t="shared" si="15"/>
        <v>-5022</v>
      </c>
      <c r="K66" s="20">
        <f t="shared" si="15"/>
        <v>-4839</v>
      </c>
      <c r="L66" s="20">
        <f t="shared" si="15"/>
        <v>-4604</v>
      </c>
      <c r="M66" s="20">
        <f t="shared" si="15"/>
        <v>-4340</v>
      </c>
      <c r="N66" s="20">
        <f t="shared" si="15"/>
        <v>-4067</v>
      </c>
      <c r="O66" s="20">
        <f t="shared" si="15"/>
        <v>-3775</v>
      </c>
      <c r="P66" s="20">
        <f t="shared" si="15"/>
        <v>-3461</v>
      </c>
      <c r="Q66" s="20">
        <f t="shared" si="15"/>
        <v>-3124</v>
      </c>
      <c r="R66" s="20">
        <f t="shared" si="15"/>
        <v>-2800</v>
      </c>
      <c r="S66" s="20">
        <f t="shared" si="15"/>
        <v>-2414</v>
      </c>
      <c r="T66" s="20">
        <f t="shared" si="15"/>
        <v>-2001</v>
      </c>
      <c r="U66" s="20">
        <f t="shared" si="15"/>
        <v>-1557</v>
      </c>
      <c r="V66" s="20">
        <f t="shared" si="15"/>
        <v>-1078</v>
      </c>
      <c r="W66" s="20">
        <f t="shared" si="15"/>
        <v>-560</v>
      </c>
      <c r="X66" s="20">
        <f t="shared" si="15"/>
        <v>0</v>
      </c>
      <c r="Y66" s="20">
        <f t="shared" si="15"/>
        <v>0</v>
      </c>
      <c r="Z66" s="8"/>
      <c r="AA66" s="606">
        <f t="shared" si="6"/>
        <v>-65614</v>
      </c>
      <c r="AB66" s="607">
        <f t="shared" si="2"/>
        <v>-32807</v>
      </c>
    </row>
    <row r="67" spans="1:28" ht="15">
      <c r="A67" s="15" t="s">
        <v>123</v>
      </c>
      <c r="B67" s="7"/>
      <c r="C67" s="244"/>
      <c r="D67" s="100"/>
      <c r="E67" s="100"/>
      <c r="F67" s="100">
        <f>-ROUND([7]DEBT!G$24/1000,0)</f>
        <v>-2098</v>
      </c>
      <c r="G67" s="100">
        <f>-ROUND([7]DEBT!H$24/1000,0)</f>
        <v>-2100</v>
      </c>
      <c r="H67" s="100">
        <f>-ROUND([7]DEBT!I$24/1000,0)</f>
        <v>-2399</v>
      </c>
      <c r="I67" s="100">
        <f>-ROUND([7]DEBT!J$24/1000,0)</f>
        <v>-2666</v>
      </c>
      <c r="J67" s="100">
        <f>-ROUND([7]DEBT!K$24/1000,0)</f>
        <v>-2354</v>
      </c>
      <c r="K67" s="100">
        <f>-ROUND([7]DEBT!L$24/1000,0)</f>
        <v>-3015</v>
      </c>
      <c r="L67" s="100">
        <f>-ROUND([7]DEBT!M$24/1000,0)</f>
        <v>-3386</v>
      </c>
      <c r="M67" s="100">
        <f>-ROUND([7]DEBT!N$24/1000,0)</f>
        <v>-3505</v>
      </c>
      <c r="N67" s="100">
        <f>-ROUND([7]DEBT!O$24/1000,0)</f>
        <v>-3742</v>
      </c>
      <c r="O67" s="100">
        <f>-ROUND([7]DEBT!P$24/1000,0)</f>
        <v>-4029</v>
      </c>
      <c r="P67" s="100">
        <f>-ROUND([7]DEBT!Q$24/1000,0)</f>
        <v>-4314</v>
      </c>
      <c r="Q67" s="100">
        <f>-ROUND([7]DEBT!R$24/1000,0)</f>
        <v>-4160</v>
      </c>
      <c r="R67" s="100">
        <f>-ROUND([7]DEBT!S$24/1000,0)</f>
        <v>-4954</v>
      </c>
      <c r="S67" s="100">
        <f>-ROUND([7]DEBT!T$24/1000,0)</f>
        <v>-5296</v>
      </c>
      <c r="T67" s="100">
        <f>-ROUND([7]DEBT!U$24/1000,0)</f>
        <v>-5694</v>
      </c>
      <c r="U67" s="100">
        <f>-ROUND([7]DEBT!V$24/1000,0)</f>
        <v>-6151</v>
      </c>
      <c r="V67" s="100">
        <f>-ROUND([7]DEBT!W$24/1000,0)</f>
        <v>-6648</v>
      </c>
      <c r="W67" s="100">
        <f>-ROUND([7]DEBT!X$24/1000,0)</f>
        <v>-7181</v>
      </c>
      <c r="X67" s="100">
        <f>-ROUND([7]DEBT!Y$24/1000,0)</f>
        <v>0</v>
      </c>
      <c r="Y67" s="100">
        <f>-ROUND([7]DEBT!Z$24/1000,0)</f>
        <v>0</v>
      </c>
      <c r="Z67" s="8"/>
      <c r="AA67" s="606">
        <f t="shared" si="6"/>
        <v>-73692</v>
      </c>
      <c r="AB67" s="607">
        <f t="shared" si="2"/>
        <v>-36846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6">SUM(F64:F67)</f>
        <v>8333</v>
      </c>
      <c r="G69" s="95">
        <f t="shared" si="16"/>
        <v>7739</v>
      </c>
      <c r="H69" s="95">
        <f t="shared" si="16"/>
        <v>7490</v>
      </c>
      <c r="I69" s="95">
        <f t="shared" si="16"/>
        <v>7420</v>
      </c>
      <c r="J69" s="95">
        <f t="shared" si="16"/>
        <v>8278</v>
      </c>
      <c r="K69" s="95">
        <f t="shared" si="16"/>
        <v>7885</v>
      </c>
      <c r="L69" s="95">
        <f t="shared" si="16"/>
        <v>7978</v>
      </c>
      <c r="M69" s="95">
        <f t="shared" si="16"/>
        <v>7851</v>
      </c>
      <c r="N69" s="95">
        <f t="shared" si="16"/>
        <v>7816</v>
      </c>
      <c r="O69" s="95">
        <f t="shared" si="16"/>
        <v>7786</v>
      </c>
      <c r="P69" s="95">
        <f t="shared" si="16"/>
        <v>7739</v>
      </c>
      <c r="Q69" s="95">
        <f t="shared" si="16"/>
        <v>8088</v>
      </c>
      <c r="R69" s="95">
        <f t="shared" si="16"/>
        <v>7692</v>
      </c>
      <c r="S69" s="95">
        <f t="shared" si="16"/>
        <v>7687</v>
      </c>
      <c r="T69" s="95">
        <f t="shared" si="16"/>
        <v>7646</v>
      </c>
      <c r="U69" s="95">
        <f t="shared" si="16"/>
        <v>7627</v>
      </c>
      <c r="V69" s="95">
        <f t="shared" si="16"/>
        <v>7609</v>
      </c>
      <c r="W69" s="95">
        <f t="shared" si="16"/>
        <v>7577</v>
      </c>
      <c r="X69" s="95">
        <f t="shared" si="16"/>
        <v>15179</v>
      </c>
      <c r="Y69" s="95">
        <f t="shared" si="16"/>
        <v>15437</v>
      </c>
      <c r="Z69" s="21"/>
      <c r="AA69" s="606">
        <f t="shared" si="6"/>
        <v>170857</v>
      </c>
      <c r="AB69" s="607">
        <f t="shared" si="2"/>
        <v>85428.5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 t="shared" ref="F71:Y71" si="17">F89</f>
        <v>6879.0718504355445</v>
      </c>
      <c r="G71" s="100">
        <f t="shared" si="17"/>
        <v>13626.869460696873</v>
      </c>
      <c r="H71" s="100">
        <f t="shared" si="17"/>
        <v>6651.6296764181243</v>
      </c>
      <c r="I71" s="100">
        <f t="shared" si="17"/>
        <v>2402.6083058508739</v>
      </c>
      <c r="J71" s="100">
        <f t="shared" si="17"/>
        <v>2193.7633058508736</v>
      </c>
      <c r="K71" s="100">
        <f t="shared" si="17"/>
        <v>-1038.9983470745631</v>
      </c>
      <c r="L71" s="100">
        <f t="shared" si="17"/>
        <v>-4346.7299999999996</v>
      </c>
      <c r="M71" s="100">
        <f t="shared" si="17"/>
        <v>-4343.67</v>
      </c>
      <c r="N71" s="100">
        <f t="shared" si="17"/>
        <v>-4420.9349999999995</v>
      </c>
      <c r="O71" s="100">
        <f t="shared" si="17"/>
        <v>-4519.2374999999993</v>
      </c>
      <c r="P71" s="100">
        <f t="shared" si="17"/>
        <v>-4610.2725</v>
      </c>
      <c r="Q71" s="100">
        <f t="shared" si="17"/>
        <v>-4684.8599999999997</v>
      </c>
      <c r="R71" s="100">
        <f t="shared" si="17"/>
        <v>-4837.0950000000003</v>
      </c>
      <c r="S71" s="100">
        <f t="shared" si="17"/>
        <v>-4965.9974999999995</v>
      </c>
      <c r="T71" s="100">
        <f t="shared" si="17"/>
        <v>-5102.5499999999993</v>
      </c>
      <c r="U71" s="100">
        <f t="shared" si="17"/>
        <v>-5270.0849999999991</v>
      </c>
      <c r="V71" s="100">
        <f t="shared" si="17"/>
        <v>-5453.3024999999998</v>
      </c>
      <c r="W71" s="100">
        <f t="shared" si="17"/>
        <v>-5644.9349999999995</v>
      </c>
      <c r="X71" s="100">
        <f t="shared" si="17"/>
        <v>-5805.9674999999988</v>
      </c>
      <c r="Y71" s="100">
        <f t="shared" si="17"/>
        <v>-5904.6525000000001</v>
      </c>
      <c r="Z71" s="8"/>
      <c r="AA71" s="606">
        <f t="shared" si="6"/>
        <v>-39195.34574782227</v>
      </c>
      <c r="AB71" s="607">
        <f t="shared" si="2"/>
        <v>-19597.672873911135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 ht="15.75">
      <c r="A73" s="245" t="s">
        <v>35</v>
      </c>
      <c r="B73" s="18"/>
      <c r="C73" s="18"/>
      <c r="D73" s="246"/>
      <c r="E73" s="246"/>
      <c r="F73" s="246">
        <f t="shared" ref="F73:Y73" si="18">F69+F71</f>
        <v>15212.071850435545</v>
      </c>
      <c r="G73" s="246">
        <f t="shared" si="18"/>
        <v>21365.869460696871</v>
      </c>
      <c r="H73" s="246">
        <f t="shared" si="18"/>
        <v>14141.629676418124</v>
      </c>
      <c r="I73" s="246">
        <f t="shared" si="18"/>
        <v>9822.6083058508739</v>
      </c>
      <c r="J73" s="246">
        <f t="shared" si="18"/>
        <v>10471.763305850873</v>
      </c>
      <c r="K73" s="246">
        <f t="shared" si="18"/>
        <v>6846.0016529254372</v>
      </c>
      <c r="L73" s="246">
        <f t="shared" si="18"/>
        <v>3631.2700000000004</v>
      </c>
      <c r="M73" s="246">
        <f t="shared" si="18"/>
        <v>3507.33</v>
      </c>
      <c r="N73" s="246">
        <f t="shared" si="18"/>
        <v>3395.0650000000005</v>
      </c>
      <c r="O73" s="246">
        <f t="shared" si="18"/>
        <v>3266.7625000000007</v>
      </c>
      <c r="P73" s="246">
        <f t="shared" si="18"/>
        <v>3128.7275</v>
      </c>
      <c r="Q73" s="246">
        <f t="shared" si="18"/>
        <v>3403.1400000000003</v>
      </c>
      <c r="R73" s="246">
        <f t="shared" si="18"/>
        <v>2854.9049999999997</v>
      </c>
      <c r="S73" s="246">
        <f t="shared" si="18"/>
        <v>2721.0025000000005</v>
      </c>
      <c r="T73" s="246">
        <f t="shared" si="18"/>
        <v>2543.4500000000007</v>
      </c>
      <c r="U73" s="246">
        <f t="shared" si="18"/>
        <v>2356.9150000000009</v>
      </c>
      <c r="V73" s="246">
        <f t="shared" si="18"/>
        <v>2155.6975000000002</v>
      </c>
      <c r="W73" s="246">
        <f t="shared" si="18"/>
        <v>1932.0650000000005</v>
      </c>
      <c r="X73" s="246">
        <f t="shared" si="18"/>
        <v>9373.0325000000012</v>
      </c>
      <c r="Y73" s="246">
        <f t="shared" si="18"/>
        <v>9532.3474999999999</v>
      </c>
      <c r="Z73" s="240"/>
      <c r="AA73" s="606">
        <f t="shared" si="6"/>
        <v>131661.65425217772</v>
      </c>
      <c r="AB73" s="607">
        <f t="shared" si="2"/>
        <v>65830.827126088858</v>
      </c>
    </row>
    <row r="74" spans="1:28">
      <c r="A74" s="247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9">AA75*$C$60</f>
        <v>0</v>
      </c>
    </row>
    <row r="76" spans="1:28">
      <c r="A76" s="16" t="s">
        <v>365</v>
      </c>
      <c r="B76" s="26"/>
      <c r="C76" s="243">
        <f>$C$60</f>
        <v>0.5</v>
      </c>
      <c r="D76" s="28"/>
      <c r="E76" s="28"/>
      <c r="F76" s="28">
        <f t="shared" ref="F76:Y76" si="20">$C$76*F54</f>
        <v>1027.2112500000001</v>
      </c>
      <c r="G76" s="95">
        <f t="shared" si="20"/>
        <v>844.43125000000009</v>
      </c>
      <c r="H76" s="28">
        <f t="shared" si="20"/>
        <v>859.86875000000009</v>
      </c>
      <c r="I76" s="28">
        <f t="shared" si="20"/>
        <v>920.69250000000011</v>
      </c>
      <c r="J76" s="28">
        <f t="shared" si="20"/>
        <v>1089.27</v>
      </c>
      <c r="K76" s="28">
        <f t="shared" si="20"/>
        <v>1172.0149999999999</v>
      </c>
      <c r="L76" s="28">
        <f t="shared" si="20"/>
        <v>1315.2750000000001</v>
      </c>
      <c r="M76" s="28">
        <f t="shared" si="20"/>
        <v>1312.8050000000001</v>
      </c>
      <c r="N76" s="28">
        <f t="shared" si="20"/>
        <v>1375.1725000000001</v>
      </c>
      <c r="O76" s="28">
        <f t="shared" si="20"/>
        <v>1454.52125</v>
      </c>
      <c r="P76" s="28">
        <f t="shared" si="20"/>
        <v>1528.0037500000001</v>
      </c>
      <c r="Q76" s="28">
        <f t="shared" si="20"/>
        <v>1588.21</v>
      </c>
      <c r="R76" s="28">
        <f t="shared" si="20"/>
        <v>1711.0925</v>
      </c>
      <c r="S76" s="28">
        <f t="shared" si="20"/>
        <v>1815.1412500000001</v>
      </c>
      <c r="T76" s="28">
        <f t="shared" si="20"/>
        <v>1925.365</v>
      </c>
      <c r="U76" s="28">
        <f t="shared" si="20"/>
        <v>2060.5974999999999</v>
      </c>
      <c r="V76" s="28">
        <f t="shared" si="20"/>
        <v>2208.4887500000004</v>
      </c>
      <c r="W76" s="28">
        <f t="shared" si="20"/>
        <v>2363.1725000000001</v>
      </c>
      <c r="X76" s="28">
        <f t="shared" si="20"/>
        <v>2493.15625</v>
      </c>
      <c r="Y76" s="28">
        <f t="shared" si="20"/>
        <v>2572.8137500000003</v>
      </c>
      <c r="Z76" s="8"/>
      <c r="AA76" s="606">
        <f t="shared" si="6"/>
        <v>31637.303750000003</v>
      </c>
      <c r="AB76" s="607">
        <f>AA76</f>
        <v>31637.303750000003</v>
      </c>
    </row>
    <row r="77" spans="1:28">
      <c r="A77" s="16" t="s">
        <v>366</v>
      </c>
      <c r="B77" s="26"/>
      <c r="C77" s="243">
        <f>$C$60</f>
        <v>0.5</v>
      </c>
      <c r="D77" s="28"/>
      <c r="E77" s="28"/>
      <c r="F77" s="28">
        <f t="shared" ref="F77:Y77" si="21">$C$77*F73</f>
        <v>7606.0359252177723</v>
      </c>
      <c r="G77" s="95">
        <f t="shared" si="21"/>
        <v>10682.934730348436</v>
      </c>
      <c r="H77" s="28">
        <f t="shared" si="21"/>
        <v>7070.8148382090621</v>
      </c>
      <c r="I77" s="28">
        <f t="shared" si="21"/>
        <v>4911.3041529254369</v>
      </c>
      <c r="J77" s="28">
        <f t="shared" si="21"/>
        <v>5235.8816529254364</v>
      </c>
      <c r="K77" s="28">
        <f t="shared" si="21"/>
        <v>3423.0008264627186</v>
      </c>
      <c r="L77" s="28">
        <f t="shared" si="21"/>
        <v>1815.6350000000002</v>
      </c>
      <c r="M77" s="28">
        <f t="shared" si="21"/>
        <v>1753.665</v>
      </c>
      <c r="N77" s="28">
        <f t="shared" si="21"/>
        <v>1697.5325000000003</v>
      </c>
      <c r="O77" s="28">
        <f t="shared" si="21"/>
        <v>1633.3812500000004</v>
      </c>
      <c r="P77" s="28">
        <f t="shared" si="21"/>
        <v>1564.36375</v>
      </c>
      <c r="Q77" s="28">
        <f t="shared" si="21"/>
        <v>1701.5700000000002</v>
      </c>
      <c r="R77" s="28">
        <f t="shared" si="21"/>
        <v>1427.4524999999999</v>
      </c>
      <c r="S77" s="28">
        <f t="shared" si="21"/>
        <v>1360.5012500000003</v>
      </c>
      <c r="T77" s="28">
        <f t="shared" si="21"/>
        <v>1271.7250000000004</v>
      </c>
      <c r="U77" s="28">
        <f t="shared" si="21"/>
        <v>1178.4575000000004</v>
      </c>
      <c r="V77" s="28">
        <f t="shared" si="21"/>
        <v>1077.8487500000001</v>
      </c>
      <c r="W77" s="28">
        <f t="shared" si="21"/>
        <v>966.03250000000025</v>
      </c>
      <c r="X77" s="28">
        <f t="shared" si="21"/>
        <v>4686.5162500000006</v>
      </c>
      <c r="Y77" s="28">
        <f t="shared" si="21"/>
        <v>4766.1737499999999</v>
      </c>
      <c r="Z77" s="8"/>
      <c r="AA77" s="606">
        <f t="shared" si="6"/>
        <v>65830.827126088858</v>
      </c>
      <c r="AB77" s="607">
        <f>AA77</f>
        <v>65830.827126088858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9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9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9"/>
        <v>0</v>
      </c>
    </row>
    <row r="81" spans="1:28">
      <c r="AA81" s="606">
        <f t="shared" si="6"/>
        <v>0</v>
      </c>
      <c r="AB81" s="607">
        <f t="shared" si="19"/>
        <v>0</v>
      </c>
    </row>
    <row r="82" spans="1:28">
      <c r="AA82" s="606">
        <f t="shared" si="6"/>
        <v>0</v>
      </c>
      <c r="AB82" s="607">
        <f t="shared" si="19"/>
        <v>0</v>
      </c>
    </row>
    <row r="83" spans="1:28">
      <c r="AA83" s="606">
        <f t="shared" si="6"/>
        <v>0</v>
      </c>
      <c r="AB83" s="607">
        <f t="shared" si="19"/>
        <v>0</v>
      </c>
    </row>
    <row r="84" spans="1:28">
      <c r="AA84" s="606">
        <f t="shared" si="6"/>
        <v>0</v>
      </c>
      <c r="AB84" s="607">
        <f t="shared" si="19"/>
        <v>0</v>
      </c>
    </row>
    <row r="85" spans="1:28">
      <c r="AA85" s="606">
        <f t="shared" si="6"/>
        <v>0</v>
      </c>
      <c r="AB85" s="607">
        <f t="shared" si="19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2">G62</f>
        <v>2002</v>
      </c>
      <c r="H86" s="109">
        <f t="shared" si="22"/>
        <v>2003</v>
      </c>
      <c r="I86" s="109">
        <f t="shared" si="22"/>
        <v>2004</v>
      </c>
      <c r="J86" s="109">
        <f t="shared" si="22"/>
        <v>2005</v>
      </c>
      <c r="K86" s="109">
        <f t="shared" si="22"/>
        <v>2006</v>
      </c>
      <c r="L86" s="109">
        <f t="shared" si="22"/>
        <v>2007</v>
      </c>
      <c r="M86" s="109">
        <f t="shared" si="22"/>
        <v>2008</v>
      </c>
      <c r="N86" s="109">
        <f t="shared" si="22"/>
        <v>2009</v>
      </c>
      <c r="O86" s="109">
        <f t="shared" si="22"/>
        <v>2010</v>
      </c>
      <c r="P86" s="109">
        <f t="shared" si="22"/>
        <v>2011</v>
      </c>
      <c r="Q86" s="109">
        <f t="shared" si="22"/>
        <v>2012</v>
      </c>
      <c r="R86" s="109">
        <f t="shared" si="22"/>
        <v>2013</v>
      </c>
      <c r="S86" s="109">
        <f t="shared" si="22"/>
        <v>2014</v>
      </c>
      <c r="T86" s="109">
        <f t="shared" si="22"/>
        <v>2015</v>
      </c>
      <c r="U86" s="109">
        <f t="shared" si="22"/>
        <v>2016</v>
      </c>
      <c r="V86" s="109">
        <f t="shared" si="22"/>
        <v>2017</v>
      </c>
      <c r="W86" s="109">
        <f t="shared" si="22"/>
        <v>2018</v>
      </c>
      <c r="X86" s="109">
        <f t="shared" si="22"/>
        <v>2019</v>
      </c>
      <c r="Y86" s="109">
        <f t="shared" si="22"/>
        <v>2020</v>
      </c>
      <c r="AA86" s="606">
        <f t="shared" si="6"/>
        <v>40210</v>
      </c>
      <c r="AB86" s="607">
        <f t="shared" si="19"/>
        <v>20105</v>
      </c>
    </row>
    <row r="87" spans="1:28">
      <c r="AA87" s="606">
        <f t="shared" si="6"/>
        <v>0</v>
      </c>
      <c r="AB87" s="607">
        <f t="shared" si="19"/>
        <v>0</v>
      </c>
    </row>
    <row r="88" spans="1:28">
      <c r="A88" s="14" t="s">
        <v>34</v>
      </c>
      <c r="F88" s="97">
        <f>F69</f>
        <v>8333</v>
      </c>
      <c r="G88" s="97">
        <f t="shared" ref="G88:Y88" si="23">G69</f>
        <v>7739</v>
      </c>
      <c r="H88" s="97">
        <f t="shared" si="23"/>
        <v>7490</v>
      </c>
      <c r="I88" s="97">
        <f t="shared" si="23"/>
        <v>7420</v>
      </c>
      <c r="J88" s="97">
        <f t="shared" si="23"/>
        <v>8278</v>
      </c>
      <c r="K88" s="97">
        <f t="shared" si="23"/>
        <v>7885</v>
      </c>
      <c r="L88" s="97">
        <f t="shared" si="23"/>
        <v>7978</v>
      </c>
      <c r="M88" s="97">
        <f t="shared" si="23"/>
        <v>7851</v>
      </c>
      <c r="N88" s="97">
        <f t="shared" si="23"/>
        <v>7816</v>
      </c>
      <c r="O88" s="97">
        <f t="shared" si="23"/>
        <v>7786</v>
      </c>
      <c r="P88" s="97">
        <f t="shared" si="23"/>
        <v>7739</v>
      </c>
      <c r="Q88" s="97">
        <f t="shared" si="23"/>
        <v>8088</v>
      </c>
      <c r="R88" s="97">
        <f t="shared" si="23"/>
        <v>7692</v>
      </c>
      <c r="S88" s="97">
        <f t="shared" si="23"/>
        <v>7687</v>
      </c>
      <c r="T88" s="97">
        <f t="shared" si="23"/>
        <v>7646</v>
      </c>
      <c r="U88" s="97">
        <f t="shared" si="23"/>
        <v>7627</v>
      </c>
      <c r="V88" s="97">
        <f t="shared" si="23"/>
        <v>7609</v>
      </c>
      <c r="W88" s="97">
        <f t="shared" si="23"/>
        <v>7577</v>
      </c>
      <c r="X88" s="97">
        <f t="shared" si="23"/>
        <v>15179</v>
      </c>
      <c r="Y88" s="97">
        <f t="shared" si="23"/>
        <v>15437</v>
      </c>
      <c r="AA88" s="606">
        <f t="shared" si="6"/>
        <v>170857</v>
      </c>
      <c r="AB88" s="607">
        <f t="shared" si="19"/>
        <v>85428.5</v>
      </c>
    </row>
    <row r="89" spans="1:28">
      <c r="A89" s="10" t="s">
        <v>53</v>
      </c>
      <c r="F89" s="110">
        <f>F125+F126</f>
        <v>6879.0718504355445</v>
      </c>
      <c r="G89" s="110">
        <f t="shared" ref="G89:Y89" si="24">G125+G126</f>
        <v>13626.869460696873</v>
      </c>
      <c r="H89" s="110">
        <f t="shared" si="24"/>
        <v>6651.6296764181243</v>
      </c>
      <c r="I89" s="110">
        <f t="shared" si="24"/>
        <v>2402.6083058508739</v>
      </c>
      <c r="J89" s="110">
        <f t="shared" si="24"/>
        <v>2193.7633058508736</v>
      </c>
      <c r="K89" s="110">
        <f t="shared" si="24"/>
        <v>-1038.9983470745631</v>
      </c>
      <c r="L89" s="110">
        <f t="shared" si="24"/>
        <v>-4346.7299999999996</v>
      </c>
      <c r="M89" s="110">
        <f t="shared" si="24"/>
        <v>-4343.67</v>
      </c>
      <c r="N89" s="110">
        <f t="shared" si="24"/>
        <v>-4420.9349999999995</v>
      </c>
      <c r="O89" s="110">
        <f t="shared" si="24"/>
        <v>-4519.2374999999993</v>
      </c>
      <c r="P89" s="110">
        <f t="shared" si="24"/>
        <v>-4610.2725</v>
      </c>
      <c r="Q89" s="110">
        <f t="shared" si="24"/>
        <v>-4684.8599999999997</v>
      </c>
      <c r="R89" s="110">
        <f t="shared" si="24"/>
        <v>-4837.0950000000003</v>
      </c>
      <c r="S89" s="110">
        <f t="shared" si="24"/>
        <v>-4965.9974999999995</v>
      </c>
      <c r="T89" s="110">
        <f t="shared" si="24"/>
        <v>-5102.5499999999993</v>
      </c>
      <c r="U89" s="110">
        <f t="shared" si="24"/>
        <v>-5270.0849999999991</v>
      </c>
      <c r="V89" s="110">
        <f t="shared" si="24"/>
        <v>-5453.3024999999998</v>
      </c>
      <c r="W89" s="110">
        <f t="shared" si="24"/>
        <v>-5644.9349999999995</v>
      </c>
      <c r="X89" s="110">
        <f t="shared" si="24"/>
        <v>-5805.9674999999988</v>
      </c>
      <c r="Y89" s="110">
        <f t="shared" si="24"/>
        <v>-5904.6525000000001</v>
      </c>
      <c r="AA89" s="606">
        <f t="shared" si="6"/>
        <v>-39195.34574782227</v>
      </c>
      <c r="AB89" s="607">
        <f t="shared" si="19"/>
        <v>-19597.672873911135</v>
      </c>
    </row>
    <row r="90" spans="1:28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38592.5</v>
      </c>
      <c r="AA90" s="606">
        <f t="shared" si="6"/>
        <v>38592.5</v>
      </c>
      <c r="AB90" s="607">
        <f t="shared" si="19"/>
        <v>19296.25</v>
      </c>
    </row>
    <row r="91" spans="1:28">
      <c r="A91" s="10" t="s">
        <v>55</v>
      </c>
      <c r="E91" s="148">
        <v>-84172.897609811829</v>
      </c>
      <c r="F91" s="97">
        <f>F88+F89+F90</f>
        <v>15212.071850435545</v>
      </c>
      <c r="G91" s="97">
        <f t="shared" ref="G91:Y91" si="25">G88+G89+G90</f>
        <v>21365.869460696871</v>
      </c>
      <c r="H91" s="97">
        <f t="shared" si="25"/>
        <v>14141.629676418124</v>
      </c>
      <c r="I91" s="97">
        <f t="shared" si="25"/>
        <v>9822.6083058508739</v>
      </c>
      <c r="J91" s="97">
        <f t="shared" si="25"/>
        <v>10471.763305850873</v>
      </c>
      <c r="K91" s="97">
        <f t="shared" si="25"/>
        <v>6846.0016529254372</v>
      </c>
      <c r="L91" s="97">
        <f t="shared" si="25"/>
        <v>3631.2700000000004</v>
      </c>
      <c r="M91" s="97">
        <f t="shared" si="25"/>
        <v>3507.33</v>
      </c>
      <c r="N91" s="97">
        <f t="shared" si="25"/>
        <v>3395.0650000000005</v>
      </c>
      <c r="O91" s="97">
        <f t="shared" si="25"/>
        <v>3266.7625000000007</v>
      </c>
      <c r="P91" s="97">
        <f t="shared" si="25"/>
        <v>3128.7275</v>
      </c>
      <c r="Q91" s="97">
        <f t="shared" si="25"/>
        <v>3403.1400000000003</v>
      </c>
      <c r="R91" s="97">
        <f t="shared" si="25"/>
        <v>2854.9049999999997</v>
      </c>
      <c r="S91" s="97">
        <f t="shared" si="25"/>
        <v>2721.0025000000005</v>
      </c>
      <c r="T91" s="97">
        <f t="shared" si="25"/>
        <v>2543.4500000000007</v>
      </c>
      <c r="U91" s="97">
        <f t="shared" si="25"/>
        <v>2356.9150000000009</v>
      </c>
      <c r="V91" s="97">
        <f t="shared" si="25"/>
        <v>2155.6975000000002</v>
      </c>
      <c r="W91" s="97">
        <f t="shared" si="25"/>
        <v>1932.0650000000005</v>
      </c>
      <c r="X91" s="97">
        <f t="shared" si="25"/>
        <v>9373.0325000000012</v>
      </c>
      <c r="Y91" s="97">
        <f t="shared" si="25"/>
        <v>48124.847500000003</v>
      </c>
      <c r="AA91" s="606">
        <f t="shared" si="6"/>
        <v>170254.15425217774</v>
      </c>
      <c r="AB91" s="607">
        <f t="shared" si="19"/>
        <v>85127.077126088872</v>
      </c>
    </row>
    <row r="92" spans="1:28" ht="13.5" thickBot="1">
      <c r="AA92" s="606">
        <f t="shared" si="6"/>
        <v>0</v>
      </c>
      <c r="AB92" s="607">
        <f t="shared" si="19"/>
        <v>0</v>
      </c>
    </row>
    <row r="93" spans="1:28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9"/>
        <v>0</v>
      </c>
    </row>
    <row r="94" spans="1:28" ht="13.5" thickBot="1">
      <c r="A94" s="10" t="s">
        <v>57</v>
      </c>
      <c r="E94" s="123">
        <f>NPV(C95,E91:Y91)</f>
        <v>-1.6020457132146992E-10</v>
      </c>
      <c r="R94" s="115"/>
      <c r="U94" s="116" t="s">
        <v>58</v>
      </c>
      <c r="V94" s="98"/>
      <c r="W94" s="98"/>
      <c r="X94" s="98"/>
      <c r="Y94" s="117">
        <f>Y39</f>
        <v>15437</v>
      </c>
      <c r="AA94" s="606">
        <f t="shared" si="6"/>
        <v>15437</v>
      </c>
      <c r="AB94" s="607">
        <f t="shared" si="19"/>
        <v>7718.5</v>
      </c>
    </row>
    <row r="95" spans="1:28" ht="13.5" thickBot="1">
      <c r="A95" s="10" t="s">
        <v>59</v>
      </c>
      <c r="C95" s="248">
        <v>0.09</v>
      </c>
      <c r="R95" s="97"/>
      <c r="U95" s="118" t="s">
        <v>60</v>
      </c>
      <c r="V95" s="98"/>
      <c r="W95" s="98"/>
      <c r="X95" s="98"/>
      <c r="Y95" s="249">
        <v>0.5</v>
      </c>
      <c r="AA95" s="606">
        <f t="shared" si="6"/>
        <v>0.5</v>
      </c>
      <c r="AB95" s="607">
        <f t="shared" si="19"/>
        <v>0.25</v>
      </c>
    </row>
    <row r="96" spans="1:28">
      <c r="U96" s="118" t="s">
        <v>61</v>
      </c>
      <c r="V96" s="98"/>
      <c r="W96" s="98"/>
      <c r="X96" s="98"/>
      <c r="Y96" s="119">
        <f>Y94*Y95</f>
        <v>7718.5</v>
      </c>
      <c r="AA96" s="606">
        <f t="shared" si="6"/>
        <v>7718.5</v>
      </c>
      <c r="AB96" s="607">
        <f t="shared" si="19"/>
        <v>3859.25</v>
      </c>
    </row>
    <row r="97" spans="1:28">
      <c r="U97" s="118" t="s">
        <v>62</v>
      </c>
      <c r="V97" s="98"/>
      <c r="W97" s="98"/>
      <c r="X97" s="98"/>
      <c r="Y97" s="250">
        <v>5</v>
      </c>
      <c r="AA97" s="606">
        <f t="shared" si="6"/>
        <v>5</v>
      </c>
      <c r="AB97" s="607">
        <f t="shared" si="19"/>
        <v>2.5</v>
      </c>
    </row>
    <row r="98" spans="1:28" ht="13.5" thickBot="1">
      <c r="U98" s="120" t="s">
        <v>56</v>
      </c>
      <c r="V98" s="121"/>
      <c r="W98" s="121"/>
      <c r="X98" s="121"/>
      <c r="Y98" s="122">
        <f>Y96*Y97</f>
        <v>38592.5</v>
      </c>
      <c r="AA98" s="606">
        <f t="shared" si="6"/>
        <v>38592.5</v>
      </c>
      <c r="AB98" s="607">
        <f t="shared" si="19"/>
        <v>19296.25</v>
      </c>
    </row>
    <row r="99" spans="1:28">
      <c r="A99" s="108" t="s">
        <v>63</v>
      </c>
      <c r="AA99" s="606">
        <f t="shared" si="6"/>
        <v>0</v>
      </c>
      <c r="AB99" s="607">
        <f t="shared" si="19"/>
        <v>0</v>
      </c>
    </row>
    <row r="100" spans="1:28">
      <c r="A100" s="10" t="s">
        <v>64</v>
      </c>
      <c r="D100" s="123">
        <f>ROUND([7]DEBT!$F$51/1000,0)</f>
        <v>73691</v>
      </c>
      <c r="AA100" s="606">
        <f t="shared" si="6"/>
        <v>0</v>
      </c>
      <c r="AB100" s="607">
        <f t="shared" si="19"/>
        <v>0</v>
      </c>
    </row>
    <row r="101" spans="1:28" ht="15">
      <c r="A101" s="10" t="s">
        <v>65</v>
      </c>
      <c r="D101" s="111">
        <f>-E91</f>
        <v>84172.897609811829</v>
      </c>
      <c r="AA101" s="606">
        <f t="shared" si="6"/>
        <v>0</v>
      </c>
      <c r="AB101" s="607">
        <f t="shared" si="19"/>
        <v>0</v>
      </c>
    </row>
    <row r="102" spans="1:28">
      <c r="D102" s="123">
        <f>D100+D101</f>
        <v>157863.89760981183</v>
      </c>
      <c r="AA102" s="606">
        <f t="shared" si="6"/>
        <v>0</v>
      </c>
      <c r="AB102" s="607">
        <f t="shared" si="19"/>
        <v>0</v>
      </c>
    </row>
    <row r="103" spans="1:28">
      <c r="A103" s="10" t="s">
        <v>66</v>
      </c>
      <c r="D103" s="147">
        <v>0.9</v>
      </c>
      <c r="AA103" s="606">
        <f t="shared" si="6"/>
        <v>0</v>
      </c>
      <c r="AB103" s="607">
        <f t="shared" si="19"/>
        <v>0</v>
      </c>
    </row>
    <row r="104" spans="1:28">
      <c r="A104" s="10" t="s">
        <v>67</v>
      </c>
      <c r="D104" s="123">
        <f>D102*D103</f>
        <v>142077.50784883066</v>
      </c>
      <c r="AA104" s="606">
        <f t="shared" ref="AA104:AA151" si="26">SUM(F104:Y104)</f>
        <v>0</v>
      </c>
      <c r="AB104" s="607">
        <f t="shared" si="19"/>
        <v>0</v>
      </c>
    </row>
    <row r="105" spans="1:28">
      <c r="AA105" s="606">
        <f t="shared" si="26"/>
        <v>0</v>
      </c>
      <c r="AB105" s="607">
        <f t="shared" si="19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7">G106+1</f>
        <v>2003</v>
      </c>
      <c r="I106" s="109">
        <f t="shared" si="27"/>
        <v>2004</v>
      </c>
      <c r="J106" s="109">
        <f t="shared" si="27"/>
        <v>2005</v>
      </c>
      <c r="K106" s="109">
        <f t="shared" si="27"/>
        <v>2006</v>
      </c>
      <c r="L106" s="109">
        <f t="shared" si="27"/>
        <v>2007</v>
      </c>
      <c r="M106" s="109">
        <f t="shared" si="27"/>
        <v>2008</v>
      </c>
      <c r="N106" s="109">
        <f t="shared" si="27"/>
        <v>2009</v>
      </c>
      <c r="O106" s="109">
        <f t="shared" si="27"/>
        <v>2010</v>
      </c>
      <c r="P106" s="109">
        <f t="shared" si="27"/>
        <v>2011</v>
      </c>
      <c r="Q106" s="109">
        <f t="shared" si="27"/>
        <v>2012</v>
      </c>
      <c r="R106" s="109">
        <f t="shared" si="27"/>
        <v>2013</v>
      </c>
      <c r="S106" s="109">
        <f t="shared" si="27"/>
        <v>2014</v>
      </c>
      <c r="T106" s="109">
        <f t="shared" si="27"/>
        <v>2015</v>
      </c>
      <c r="U106" s="109">
        <f t="shared" si="27"/>
        <v>2016</v>
      </c>
      <c r="V106" s="109">
        <f t="shared" si="27"/>
        <v>2017</v>
      </c>
      <c r="W106" s="109">
        <f t="shared" si="27"/>
        <v>2018</v>
      </c>
      <c r="X106" s="109">
        <f t="shared" si="27"/>
        <v>2019</v>
      </c>
      <c r="Y106" s="109">
        <f t="shared" si="27"/>
        <v>2020</v>
      </c>
      <c r="AA106" s="606">
        <f t="shared" si="26"/>
        <v>40210</v>
      </c>
      <c r="AB106" s="607">
        <f t="shared" si="19"/>
        <v>20105</v>
      </c>
    </row>
    <row r="107" spans="1:28">
      <c r="A107" s="124" t="s">
        <v>68</v>
      </c>
      <c r="AA107" s="606">
        <f t="shared" si="26"/>
        <v>0</v>
      </c>
      <c r="AB107" s="607">
        <f t="shared" si="19"/>
        <v>0</v>
      </c>
    </row>
    <row r="108" spans="1:28">
      <c r="A108" s="10" t="s">
        <v>69</v>
      </c>
      <c r="B108" s="10">
        <v>20</v>
      </c>
      <c r="C108" s="10" t="s">
        <v>0</v>
      </c>
      <c r="D108" s="102">
        <f>D104</f>
        <v>142077.50784883066</v>
      </c>
      <c r="F108" s="125">
        <f>ROUND(D108/$B$108,0)</f>
        <v>7104</v>
      </c>
      <c r="G108" s="125">
        <f>F108</f>
        <v>7104</v>
      </c>
      <c r="H108" s="125">
        <f t="shared" ref="H108:Y109" si="28">G108</f>
        <v>7104</v>
      </c>
      <c r="I108" s="125">
        <f t="shared" si="28"/>
        <v>7104</v>
      </c>
      <c r="J108" s="125">
        <f t="shared" si="28"/>
        <v>7104</v>
      </c>
      <c r="K108" s="125">
        <f t="shared" si="28"/>
        <v>7104</v>
      </c>
      <c r="L108" s="125">
        <f t="shared" si="28"/>
        <v>7104</v>
      </c>
      <c r="M108" s="125">
        <f t="shared" si="28"/>
        <v>7104</v>
      </c>
      <c r="N108" s="125">
        <f t="shared" si="28"/>
        <v>7104</v>
      </c>
      <c r="O108" s="125">
        <f t="shared" si="28"/>
        <v>7104</v>
      </c>
      <c r="P108" s="125">
        <f t="shared" si="28"/>
        <v>7104</v>
      </c>
      <c r="Q108" s="125">
        <f t="shared" si="28"/>
        <v>7104</v>
      </c>
      <c r="R108" s="125">
        <f t="shared" si="28"/>
        <v>7104</v>
      </c>
      <c r="S108" s="125">
        <f t="shared" si="28"/>
        <v>7104</v>
      </c>
      <c r="T108" s="125">
        <f t="shared" si="28"/>
        <v>7104</v>
      </c>
      <c r="U108" s="125">
        <f t="shared" si="28"/>
        <v>7104</v>
      </c>
      <c r="V108" s="125">
        <f t="shared" si="28"/>
        <v>7104</v>
      </c>
      <c r="W108" s="125">
        <f t="shared" si="28"/>
        <v>7104</v>
      </c>
      <c r="X108" s="125">
        <f t="shared" si="28"/>
        <v>7104</v>
      </c>
      <c r="Y108" s="125">
        <f t="shared" si="28"/>
        <v>7104</v>
      </c>
      <c r="AA108" s="606">
        <f t="shared" si="26"/>
        <v>142080</v>
      </c>
      <c r="AB108" s="607">
        <f t="shared" si="19"/>
        <v>71040</v>
      </c>
    </row>
    <row r="109" spans="1:28">
      <c r="A109" s="199" t="s">
        <v>571</v>
      </c>
      <c r="D109" s="102">
        <f>D103*'FPLE_Valuation Summary'!V22*0.5</f>
        <v>10760.056226573262</v>
      </c>
      <c r="F109" s="125">
        <f>ROUND(D109/$B$108,0)</f>
        <v>538</v>
      </c>
      <c r="G109" s="125">
        <f>F109</f>
        <v>538</v>
      </c>
      <c r="H109" s="125">
        <f t="shared" si="28"/>
        <v>538</v>
      </c>
      <c r="I109" s="125">
        <f t="shared" si="28"/>
        <v>538</v>
      </c>
      <c r="J109" s="125">
        <f t="shared" si="28"/>
        <v>538</v>
      </c>
      <c r="K109" s="125">
        <f t="shared" si="28"/>
        <v>538</v>
      </c>
      <c r="L109" s="125">
        <f t="shared" si="28"/>
        <v>538</v>
      </c>
      <c r="M109" s="125">
        <f t="shared" si="28"/>
        <v>538</v>
      </c>
      <c r="N109" s="125">
        <f t="shared" si="28"/>
        <v>538</v>
      </c>
      <c r="O109" s="125">
        <f t="shared" si="28"/>
        <v>538</v>
      </c>
      <c r="P109" s="125">
        <f t="shared" si="28"/>
        <v>538</v>
      </c>
      <c r="Q109" s="125">
        <f t="shared" si="28"/>
        <v>538</v>
      </c>
      <c r="R109" s="125">
        <f t="shared" si="28"/>
        <v>538</v>
      </c>
      <c r="S109" s="125">
        <f t="shared" si="28"/>
        <v>538</v>
      </c>
      <c r="T109" s="125">
        <f t="shared" si="28"/>
        <v>538</v>
      </c>
      <c r="U109" s="125">
        <f t="shared" si="28"/>
        <v>538</v>
      </c>
      <c r="V109" s="125">
        <f t="shared" si="28"/>
        <v>538</v>
      </c>
      <c r="W109" s="125">
        <f t="shared" si="28"/>
        <v>538</v>
      </c>
      <c r="X109" s="125">
        <f t="shared" si="28"/>
        <v>538</v>
      </c>
      <c r="Y109" s="125">
        <f t="shared" si="28"/>
        <v>538</v>
      </c>
      <c r="AA109" s="606">
        <f t="shared" si="26"/>
        <v>10760</v>
      </c>
      <c r="AB109" s="607">
        <f t="shared" si="19"/>
        <v>5380</v>
      </c>
    </row>
    <row r="110" spans="1:28">
      <c r="AA110" s="606">
        <f t="shared" si="26"/>
        <v>0</v>
      </c>
      <c r="AB110" s="607">
        <f t="shared" si="19"/>
        <v>0</v>
      </c>
    </row>
    <row r="111" spans="1:28">
      <c r="A111" s="124" t="s">
        <v>70</v>
      </c>
      <c r="AA111" s="606">
        <f t="shared" si="26"/>
        <v>0</v>
      </c>
      <c r="AB111" s="607">
        <f t="shared" si="19"/>
        <v>0</v>
      </c>
    </row>
    <row r="112" spans="1:28">
      <c r="A112" s="126" t="s">
        <v>71</v>
      </c>
      <c r="D112" s="102">
        <f>D108</f>
        <v>142077.50784883066</v>
      </c>
      <c r="AA112" s="606">
        <f t="shared" si="26"/>
        <v>0</v>
      </c>
      <c r="AB112" s="607">
        <f t="shared" si="19"/>
        <v>0</v>
      </c>
    </row>
    <row r="113" spans="1:28">
      <c r="A113" s="10" t="s">
        <v>72</v>
      </c>
      <c r="F113" s="251">
        <v>0.2</v>
      </c>
      <c r="G113" s="251">
        <v>0.32</v>
      </c>
      <c r="H113" s="251">
        <v>0.192</v>
      </c>
      <c r="I113" s="251">
        <v>0.1152</v>
      </c>
      <c r="J113" s="251">
        <v>0.1152</v>
      </c>
      <c r="K113" s="251">
        <v>5.7599999999999998E-2</v>
      </c>
      <c r="L113" s="251">
        <v>0</v>
      </c>
      <c r="AA113" s="606">
        <f t="shared" si="26"/>
        <v>0.99999999999999989</v>
      </c>
      <c r="AB113" s="607">
        <f t="shared" si="19"/>
        <v>0.49999999999999994</v>
      </c>
    </row>
    <row r="114" spans="1:28">
      <c r="A114" s="10" t="s">
        <v>70</v>
      </c>
      <c r="F114" s="125">
        <f t="shared" ref="F114:L114" si="29">$D$112*F113</f>
        <v>28415.501569766133</v>
      </c>
      <c r="G114" s="125">
        <f t="shared" si="29"/>
        <v>45464.802511625814</v>
      </c>
      <c r="H114" s="125">
        <f t="shared" si="29"/>
        <v>27278.881506975489</v>
      </c>
      <c r="I114" s="125">
        <f t="shared" si="29"/>
        <v>16367.328904185291</v>
      </c>
      <c r="J114" s="125">
        <f t="shared" si="29"/>
        <v>16367.328904185291</v>
      </c>
      <c r="K114" s="125">
        <f t="shared" si="29"/>
        <v>8183.6644520926457</v>
      </c>
      <c r="L114" s="125">
        <f t="shared" si="29"/>
        <v>0</v>
      </c>
      <c r="AA114" s="606">
        <f t="shared" si="26"/>
        <v>142077.50784883066</v>
      </c>
      <c r="AB114" s="607">
        <f t="shared" si="19"/>
        <v>71038.75392441533</v>
      </c>
    </row>
    <row r="115" spans="1:28">
      <c r="A115" s="199" t="s">
        <v>571</v>
      </c>
      <c r="D115" s="102">
        <f>D109</f>
        <v>10760.056226573262</v>
      </c>
      <c r="F115" s="125">
        <f>$D$115*F113</f>
        <v>2152.0112453146526</v>
      </c>
      <c r="G115" s="125">
        <f t="shared" ref="G115:L115" si="30">$D$115*G113</f>
        <v>3443.2179925034438</v>
      </c>
      <c r="H115" s="125">
        <f t="shared" si="30"/>
        <v>2065.9307955020663</v>
      </c>
      <c r="I115" s="125">
        <f t="shared" si="30"/>
        <v>1239.5584773012397</v>
      </c>
      <c r="J115" s="125">
        <f t="shared" si="30"/>
        <v>1239.5584773012397</v>
      </c>
      <c r="K115" s="125">
        <f t="shared" si="30"/>
        <v>619.77923865061985</v>
      </c>
      <c r="L115" s="125">
        <f t="shared" si="30"/>
        <v>0</v>
      </c>
      <c r="AA115" s="606">
        <f t="shared" si="26"/>
        <v>10760.056226573262</v>
      </c>
      <c r="AB115" s="607">
        <f t="shared" si="19"/>
        <v>5380.0281132866312</v>
      </c>
    </row>
    <row r="116" spans="1:28">
      <c r="AA116" s="606">
        <f t="shared" si="26"/>
        <v>0</v>
      </c>
      <c r="AB116" s="607">
        <f t="shared" si="19"/>
        <v>0</v>
      </c>
    </row>
    <row r="117" spans="1:28">
      <c r="AA117" s="606">
        <f t="shared" si="26"/>
        <v>0</v>
      </c>
      <c r="AB117" s="607">
        <f t="shared" si="19"/>
        <v>0</v>
      </c>
    </row>
    <row r="118" spans="1:28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6"/>
        <v>40210</v>
      </c>
      <c r="AB118" s="607">
        <f t="shared" si="19"/>
        <v>20105</v>
      </c>
    </row>
    <row r="119" spans="1:28">
      <c r="A119" s="108" t="s">
        <v>73</v>
      </c>
      <c r="AA119" s="606">
        <f t="shared" si="26"/>
        <v>0</v>
      </c>
      <c r="AB119" s="607">
        <f t="shared" si="19"/>
        <v>0</v>
      </c>
    </row>
    <row r="120" spans="1:28">
      <c r="A120" s="127" t="str">
        <f>A64</f>
        <v>EBITDA</v>
      </c>
      <c r="F120" s="125">
        <f>F39</f>
        <v>16175</v>
      </c>
      <c r="G120" s="125">
        <f t="shared" ref="G120:Y120" si="32">G39</f>
        <v>15420</v>
      </c>
      <c r="H120" s="125">
        <f t="shared" si="32"/>
        <v>15306</v>
      </c>
      <c r="I120" s="125">
        <f t="shared" si="32"/>
        <v>15316</v>
      </c>
      <c r="J120" s="125">
        <f t="shared" si="32"/>
        <v>15654</v>
      </c>
      <c r="K120" s="125">
        <f t="shared" si="32"/>
        <v>15739</v>
      </c>
      <c r="L120" s="125">
        <f t="shared" si="32"/>
        <v>15968</v>
      </c>
      <c r="M120" s="125">
        <f t="shared" si="32"/>
        <v>15696</v>
      </c>
      <c r="N120" s="125">
        <f t="shared" si="32"/>
        <v>15625</v>
      </c>
      <c r="O120" s="125">
        <f t="shared" si="32"/>
        <v>15590</v>
      </c>
      <c r="P120" s="125">
        <f t="shared" si="32"/>
        <v>15514</v>
      </c>
      <c r="Q120" s="125">
        <f t="shared" si="32"/>
        <v>15372</v>
      </c>
      <c r="R120" s="125">
        <f t="shared" si="32"/>
        <v>15446</v>
      </c>
      <c r="S120" s="125">
        <f t="shared" si="32"/>
        <v>15397</v>
      </c>
      <c r="T120" s="125">
        <f t="shared" si="32"/>
        <v>15341</v>
      </c>
      <c r="U120" s="125">
        <f t="shared" si="32"/>
        <v>15335</v>
      </c>
      <c r="V120" s="125">
        <f t="shared" si="32"/>
        <v>15335</v>
      </c>
      <c r="W120" s="125">
        <f t="shared" si="32"/>
        <v>15318</v>
      </c>
      <c r="X120" s="125">
        <f t="shared" si="32"/>
        <v>15179</v>
      </c>
      <c r="Y120" s="125">
        <f t="shared" si="32"/>
        <v>15437</v>
      </c>
      <c r="AA120" s="606">
        <f t="shared" si="26"/>
        <v>310163</v>
      </c>
      <c r="AB120" s="607">
        <f t="shared" si="19"/>
        <v>155081.5</v>
      </c>
    </row>
    <row r="121" spans="1:28">
      <c r="A121" s="10" t="s">
        <v>74</v>
      </c>
      <c r="F121" s="125">
        <f>-F114</f>
        <v>-28415.501569766133</v>
      </c>
      <c r="G121" s="125">
        <f t="shared" ref="G121:Y121" si="33">-G114</f>
        <v>-45464.802511625814</v>
      </c>
      <c r="H121" s="125">
        <f t="shared" si="33"/>
        <v>-27278.881506975489</v>
      </c>
      <c r="I121" s="125">
        <f t="shared" si="33"/>
        <v>-16367.328904185291</v>
      </c>
      <c r="J121" s="125">
        <f t="shared" si="33"/>
        <v>-16367.328904185291</v>
      </c>
      <c r="K121" s="125">
        <f t="shared" si="33"/>
        <v>-8183.6644520926457</v>
      </c>
      <c r="L121" s="125">
        <f t="shared" si="33"/>
        <v>0</v>
      </c>
      <c r="M121" s="125">
        <f t="shared" si="33"/>
        <v>0</v>
      </c>
      <c r="N121" s="125">
        <f t="shared" si="33"/>
        <v>0</v>
      </c>
      <c r="O121" s="125">
        <f t="shared" si="33"/>
        <v>0</v>
      </c>
      <c r="P121" s="125">
        <f t="shared" si="33"/>
        <v>0</v>
      </c>
      <c r="Q121" s="125">
        <f t="shared" si="33"/>
        <v>0</v>
      </c>
      <c r="R121" s="125">
        <f t="shared" si="33"/>
        <v>0</v>
      </c>
      <c r="S121" s="125">
        <f t="shared" si="33"/>
        <v>0</v>
      </c>
      <c r="T121" s="125">
        <f t="shared" si="33"/>
        <v>0</v>
      </c>
      <c r="U121" s="125">
        <f t="shared" si="33"/>
        <v>0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6"/>
        <v>-142077.50784883066</v>
      </c>
      <c r="AB121" s="607">
        <f t="shared" si="19"/>
        <v>-71038.75392441533</v>
      </c>
    </row>
    <row r="122" spans="1:28">
      <c r="A122" s="10" t="s">
        <v>75</v>
      </c>
      <c r="F122" s="128">
        <f>-F46</f>
        <v>-5744</v>
      </c>
      <c r="G122" s="128">
        <f t="shared" ref="G122:Y122" si="34">-G46</f>
        <v>-5581</v>
      </c>
      <c r="H122" s="128">
        <f t="shared" si="34"/>
        <v>-5417</v>
      </c>
      <c r="I122" s="128">
        <f t="shared" si="34"/>
        <v>-5230</v>
      </c>
      <c r="J122" s="128">
        <f t="shared" si="34"/>
        <v>-5022</v>
      </c>
      <c r="K122" s="128">
        <f t="shared" si="34"/>
        <v>-4839</v>
      </c>
      <c r="L122" s="128">
        <f t="shared" si="34"/>
        <v>-4604</v>
      </c>
      <c r="M122" s="128">
        <f t="shared" si="34"/>
        <v>-4340</v>
      </c>
      <c r="N122" s="128">
        <f t="shared" si="34"/>
        <v>-4067</v>
      </c>
      <c r="O122" s="128">
        <f t="shared" si="34"/>
        <v>-3775</v>
      </c>
      <c r="P122" s="128">
        <f t="shared" si="34"/>
        <v>-3461</v>
      </c>
      <c r="Q122" s="128">
        <f t="shared" si="34"/>
        <v>-3124</v>
      </c>
      <c r="R122" s="128">
        <f t="shared" si="34"/>
        <v>-2800</v>
      </c>
      <c r="S122" s="128">
        <f t="shared" si="34"/>
        <v>-2414</v>
      </c>
      <c r="T122" s="128">
        <f t="shared" si="34"/>
        <v>-2001</v>
      </c>
      <c r="U122" s="128">
        <f t="shared" si="34"/>
        <v>-1557</v>
      </c>
      <c r="V122" s="128">
        <f t="shared" si="34"/>
        <v>-1078</v>
      </c>
      <c r="W122" s="128">
        <f t="shared" si="34"/>
        <v>-560</v>
      </c>
      <c r="X122" s="128">
        <f t="shared" si="34"/>
        <v>0</v>
      </c>
      <c r="Y122" s="128">
        <f t="shared" si="34"/>
        <v>0</v>
      </c>
      <c r="AA122" s="606">
        <f t="shared" si="26"/>
        <v>-65614</v>
      </c>
      <c r="AB122" s="607">
        <f t="shared" si="19"/>
        <v>-32807</v>
      </c>
    </row>
    <row r="123" spans="1:28">
      <c r="A123" s="10" t="s">
        <v>76</v>
      </c>
      <c r="F123" s="125">
        <f>SUM(F120:F122)</f>
        <v>-17984.501569766133</v>
      </c>
      <c r="G123" s="125">
        <f t="shared" ref="G123:Y123" si="35">SUM(G120:G122)</f>
        <v>-35625.802511625814</v>
      </c>
      <c r="H123" s="125">
        <f t="shared" si="35"/>
        <v>-17389.881506975489</v>
      </c>
      <c r="I123" s="125">
        <f t="shared" si="35"/>
        <v>-6281.3289041852913</v>
      </c>
      <c r="J123" s="125">
        <f t="shared" si="35"/>
        <v>-5735.3289041852913</v>
      </c>
      <c r="K123" s="125">
        <f t="shared" si="35"/>
        <v>2716.3355479073543</v>
      </c>
      <c r="L123" s="125">
        <f t="shared" si="35"/>
        <v>11364</v>
      </c>
      <c r="M123" s="125">
        <f t="shared" si="35"/>
        <v>11356</v>
      </c>
      <c r="N123" s="125">
        <f t="shared" si="35"/>
        <v>11558</v>
      </c>
      <c r="O123" s="125">
        <f t="shared" si="35"/>
        <v>11815</v>
      </c>
      <c r="P123" s="125">
        <f t="shared" si="35"/>
        <v>12053</v>
      </c>
      <c r="Q123" s="125">
        <f t="shared" si="35"/>
        <v>12248</v>
      </c>
      <c r="R123" s="125">
        <f t="shared" si="35"/>
        <v>12646</v>
      </c>
      <c r="S123" s="125">
        <f t="shared" si="35"/>
        <v>12983</v>
      </c>
      <c r="T123" s="125">
        <f t="shared" si="35"/>
        <v>13340</v>
      </c>
      <c r="U123" s="125">
        <f t="shared" si="35"/>
        <v>13778</v>
      </c>
      <c r="V123" s="125">
        <f t="shared" si="35"/>
        <v>14257</v>
      </c>
      <c r="W123" s="125">
        <f t="shared" si="35"/>
        <v>14758</v>
      </c>
      <c r="X123" s="125">
        <f t="shared" si="35"/>
        <v>15179</v>
      </c>
      <c r="Y123" s="125">
        <f t="shared" si="35"/>
        <v>15437</v>
      </c>
      <c r="AA123" s="606">
        <f t="shared" si="26"/>
        <v>102471.49215116932</v>
      </c>
      <c r="AB123" s="607">
        <f t="shared" si="19"/>
        <v>51235.746075584662</v>
      </c>
    </row>
    <row r="124" spans="1:28">
      <c r="AA124" s="606">
        <f t="shared" si="26"/>
        <v>0</v>
      </c>
      <c r="AB124" s="607">
        <f t="shared" si="19"/>
        <v>0</v>
      </c>
    </row>
    <row r="125" spans="1:28">
      <c r="A125" s="10" t="s">
        <v>124</v>
      </c>
      <c r="C125" s="129">
        <f>C51</f>
        <v>0.05</v>
      </c>
      <c r="F125" s="125">
        <f>-F123*$C$125</f>
        <v>899.22507848830674</v>
      </c>
      <c r="G125" s="125">
        <f t="shared" ref="G125:Y125" si="36">-G123*$C$125</f>
        <v>1781.2901255812908</v>
      </c>
      <c r="H125" s="125">
        <f t="shared" si="36"/>
        <v>869.49407534877446</v>
      </c>
      <c r="I125" s="125">
        <f t="shared" si="36"/>
        <v>314.0664452092646</v>
      </c>
      <c r="J125" s="125">
        <f t="shared" si="36"/>
        <v>286.76644520926459</v>
      </c>
      <c r="K125" s="125">
        <f t="shared" si="36"/>
        <v>-135.81677739536772</v>
      </c>
      <c r="L125" s="125">
        <f t="shared" si="36"/>
        <v>-568.20000000000005</v>
      </c>
      <c r="M125" s="125">
        <f t="shared" si="36"/>
        <v>-567.80000000000007</v>
      </c>
      <c r="N125" s="125">
        <f t="shared" si="36"/>
        <v>-577.9</v>
      </c>
      <c r="O125" s="125">
        <f t="shared" si="36"/>
        <v>-590.75</v>
      </c>
      <c r="P125" s="125">
        <f t="shared" si="36"/>
        <v>-602.65</v>
      </c>
      <c r="Q125" s="125">
        <f t="shared" si="36"/>
        <v>-612.4</v>
      </c>
      <c r="R125" s="125">
        <f t="shared" si="36"/>
        <v>-632.30000000000007</v>
      </c>
      <c r="S125" s="125">
        <f t="shared" si="36"/>
        <v>-649.15000000000009</v>
      </c>
      <c r="T125" s="125">
        <f t="shared" si="36"/>
        <v>-667</v>
      </c>
      <c r="U125" s="125">
        <f t="shared" si="36"/>
        <v>-688.90000000000009</v>
      </c>
      <c r="V125" s="125">
        <f t="shared" si="36"/>
        <v>-712.85</v>
      </c>
      <c r="W125" s="125">
        <f t="shared" si="36"/>
        <v>-737.90000000000009</v>
      </c>
      <c r="X125" s="125">
        <f t="shared" si="36"/>
        <v>-758.95</v>
      </c>
      <c r="Y125" s="125">
        <f t="shared" si="36"/>
        <v>-771.85</v>
      </c>
      <c r="AA125" s="606">
        <f t="shared" si="26"/>
        <v>-5123.5746075584675</v>
      </c>
      <c r="AB125" s="607">
        <f t="shared" si="19"/>
        <v>-2561.7873037792338</v>
      </c>
    </row>
    <row r="126" spans="1:28">
      <c r="A126" s="10" t="s">
        <v>77</v>
      </c>
      <c r="C126" s="129">
        <f>C52</f>
        <v>0.35</v>
      </c>
      <c r="F126" s="125">
        <f>-(F123+F125)*$C$126</f>
        <v>5979.8467719472383</v>
      </c>
      <c r="G126" s="125">
        <f t="shared" ref="G126:Y126" si="37">-(G123+G125)*$C$126</f>
        <v>11845.579335115583</v>
      </c>
      <c r="H126" s="125">
        <f t="shared" si="37"/>
        <v>5782.1356010693498</v>
      </c>
      <c r="I126" s="125">
        <f t="shared" si="37"/>
        <v>2088.5418606416092</v>
      </c>
      <c r="J126" s="125">
        <f t="shared" si="37"/>
        <v>1906.9968606416091</v>
      </c>
      <c r="K126" s="125">
        <f t="shared" si="37"/>
        <v>-903.18156967919526</v>
      </c>
      <c r="L126" s="125">
        <f t="shared" si="37"/>
        <v>-3778.5299999999993</v>
      </c>
      <c r="M126" s="125">
        <f t="shared" si="37"/>
        <v>-3775.87</v>
      </c>
      <c r="N126" s="125">
        <f t="shared" si="37"/>
        <v>-3843.0349999999999</v>
      </c>
      <c r="O126" s="125">
        <f t="shared" si="37"/>
        <v>-3928.4874999999997</v>
      </c>
      <c r="P126" s="125">
        <f t="shared" si="37"/>
        <v>-4007.6224999999999</v>
      </c>
      <c r="Q126" s="125">
        <f t="shared" si="37"/>
        <v>-4072.46</v>
      </c>
      <c r="R126" s="125">
        <f t="shared" si="37"/>
        <v>-4204.7950000000001</v>
      </c>
      <c r="S126" s="125">
        <f t="shared" si="37"/>
        <v>-4316.8474999999999</v>
      </c>
      <c r="T126" s="125">
        <f t="shared" si="37"/>
        <v>-4435.5499999999993</v>
      </c>
      <c r="U126" s="125">
        <f t="shared" si="37"/>
        <v>-4581.1849999999995</v>
      </c>
      <c r="V126" s="125">
        <f t="shared" si="37"/>
        <v>-4740.4524999999994</v>
      </c>
      <c r="W126" s="125">
        <f t="shared" si="37"/>
        <v>-4907.0349999999999</v>
      </c>
      <c r="X126" s="125">
        <f t="shared" si="37"/>
        <v>-5047.017499999999</v>
      </c>
      <c r="Y126" s="125">
        <f t="shared" si="37"/>
        <v>-5132.8024999999998</v>
      </c>
      <c r="AA126" s="606">
        <f t="shared" si="26"/>
        <v>-34071.771140263801</v>
      </c>
      <c r="AB126" s="607">
        <f t="shared" si="19"/>
        <v>-17035.885570131901</v>
      </c>
    </row>
    <row r="127" spans="1:28">
      <c r="AA127" s="606">
        <f t="shared" si="26"/>
        <v>0</v>
      </c>
      <c r="AB127" s="607">
        <f t="shared" si="19"/>
        <v>0</v>
      </c>
    </row>
    <row r="128" spans="1:28">
      <c r="AA128" s="606">
        <f t="shared" si="26"/>
        <v>0</v>
      </c>
      <c r="AB128" s="607">
        <f t="shared" si="19"/>
        <v>0</v>
      </c>
    </row>
    <row r="129" spans="1:28">
      <c r="AA129" s="606">
        <f t="shared" si="26"/>
        <v>0</v>
      </c>
      <c r="AB129" s="607">
        <f t="shared" si="19"/>
        <v>0</v>
      </c>
    </row>
    <row r="130" spans="1:28">
      <c r="AA130" s="606">
        <f t="shared" si="26"/>
        <v>0</v>
      </c>
      <c r="AB130" s="607">
        <f t="shared" si="19"/>
        <v>0</v>
      </c>
    </row>
    <row r="131" spans="1:28">
      <c r="AA131" s="606">
        <f t="shared" si="26"/>
        <v>0</v>
      </c>
      <c r="AB131" s="607">
        <f t="shared" si="19"/>
        <v>0</v>
      </c>
    </row>
    <row r="132" spans="1:28">
      <c r="AA132" s="606">
        <f t="shared" si="26"/>
        <v>0</v>
      </c>
      <c r="AB132" s="607">
        <f t="shared" si="19"/>
        <v>0</v>
      </c>
    </row>
    <row r="133" spans="1:28">
      <c r="AA133" s="606">
        <f t="shared" si="26"/>
        <v>0</v>
      </c>
      <c r="AB133" s="607">
        <f t="shared" si="19"/>
        <v>0</v>
      </c>
    </row>
    <row r="134" spans="1:28" ht="13.5" thickBot="1">
      <c r="A134" s="124" t="s">
        <v>125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6"/>
        <v>40210</v>
      </c>
      <c r="AB134" s="607">
        <f>AA134</f>
        <v>40210</v>
      </c>
    </row>
    <row r="135" spans="1:28">
      <c r="AA135" s="606">
        <f t="shared" si="26"/>
        <v>0</v>
      </c>
      <c r="AB135" s="607">
        <f t="shared" ref="AB135:AB151" si="39">AA135</f>
        <v>0</v>
      </c>
    </row>
    <row r="136" spans="1:28">
      <c r="A136" s="10" t="s">
        <v>14</v>
      </c>
      <c r="F136" s="258">
        <f>+[7]NOTE!G13/1000</f>
        <v>3237.2652592548211</v>
      </c>
      <c r="G136" s="258">
        <f>+[7]NOTE!H13/1000</f>
        <v>3085.8800038730751</v>
      </c>
      <c r="H136" s="258">
        <f>+[7]NOTE!I13/1000</f>
        <v>2919.3562229531544</v>
      </c>
      <c r="I136" s="258">
        <f>+[7]NOTE!J13/1000</f>
        <v>2736.1800639412418</v>
      </c>
      <c r="J136" s="258">
        <f>+[7]NOTE!K13/1000</f>
        <v>2534.6862890281373</v>
      </c>
      <c r="K136" s="258">
        <f>+[7]NOTE!L13/1000</f>
        <v>2313.0431366237231</v>
      </c>
      <c r="L136" s="258">
        <f>+[7]NOTE!M13/1000</f>
        <v>2069.2356689788667</v>
      </c>
      <c r="M136" s="258">
        <f>+[7]NOTE!N13/1000</f>
        <v>1801.0474545695251</v>
      </c>
      <c r="N136" s="258">
        <f>+[7]NOTE!O13/1000</f>
        <v>1506.0404187192494</v>
      </c>
      <c r="O136" s="258">
        <f>+[7]NOTE!P13/1000</f>
        <v>1181.5326792839458</v>
      </c>
      <c r="P136" s="258">
        <f>+[7]NOTE!Q13/1000</f>
        <v>824.57416590511218</v>
      </c>
      <c r="Q136" s="258">
        <f>+[7]NOTE!R13/1000</f>
        <v>431.91980118839513</v>
      </c>
      <c r="R136" s="258">
        <f>+[7]NOTE!S13/1000</f>
        <v>0</v>
      </c>
      <c r="S136" s="258">
        <f>+[7]NOTE!T13/1000</f>
        <v>0</v>
      </c>
      <c r="T136" s="258">
        <f>+[7]NOTE!U13/1000</f>
        <v>0</v>
      </c>
      <c r="U136" s="258">
        <f>+[7]NOTE!V13/1000</f>
        <v>0</v>
      </c>
      <c r="V136" s="258">
        <f>+[7]NOTE!W13/1000</f>
        <v>0</v>
      </c>
      <c r="W136" s="258">
        <f>+[7]NOTE!X13/1000</f>
        <v>0</v>
      </c>
      <c r="X136" s="258">
        <f>+[7]NOTE!Y13/1000</f>
        <v>0</v>
      </c>
      <c r="Y136" s="258">
        <f>+[7]NOTE!Z13/1000</f>
        <v>0</v>
      </c>
      <c r="AA136" s="606">
        <f t="shared" si="26"/>
        <v>24640.761164319247</v>
      </c>
      <c r="AB136" s="607">
        <f t="shared" si="39"/>
        <v>24640.761164319247</v>
      </c>
    </row>
    <row r="137" spans="1:28">
      <c r="A137" s="10" t="s">
        <v>78</v>
      </c>
      <c r="F137" s="128">
        <f>F34</f>
        <v>1468</v>
      </c>
      <c r="G137" s="128">
        <f t="shared" ref="G137:Y137" si="40">G34</f>
        <v>1475</v>
      </c>
      <c r="H137" s="128">
        <f t="shared" si="40"/>
        <v>1481</v>
      </c>
      <c r="I137" s="128">
        <f t="shared" si="40"/>
        <v>1488</v>
      </c>
      <c r="J137" s="128">
        <f t="shared" si="40"/>
        <v>1495</v>
      </c>
      <c r="K137" s="128">
        <f t="shared" si="40"/>
        <v>1502</v>
      </c>
      <c r="L137" s="128">
        <f t="shared" si="40"/>
        <v>1509</v>
      </c>
      <c r="M137" s="128">
        <f t="shared" si="40"/>
        <v>1517</v>
      </c>
      <c r="N137" s="128">
        <f t="shared" si="40"/>
        <v>1524</v>
      </c>
      <c r="O137" s="128">
        <f t="shared" si="40"/>
        <v>1532</v>
      </c>
      <c r="P137" s="128">
        <f t="shared" si="40"/>
        <v>1540</v>
      </c>
      <c r="Q137" s="128">
        <f t="shared" si="40"/>
        <v>1548</v>
      </c>
      <c r="R137" s="128">
        <f t="shared" si="40"/>
        <v>1556</v>
      </c>
      <c r="S137" s="128">
        <f t="shared" si="40"/>
        <v>1565</v>
      </c>
      <c r="T137" s="128">
        <f t="shared" si="40"/>
        <v>1574</v>
      </c>
      <c r="U137" s="128">
        <f t="shared" si="40"/>
        <v>1583</v>
      </c>
      <c r="V137" s="128">
        <f t="shared" si="40"/>
        <v>1593</v>
      </c>
      <c r="W137" s="128">
        <f t="shared" si="40"/>
        <v>1603</v>
      </c>
      <c r="X137" s="128">
        <f t="shared" si="40"/>
        <v>1613</v>
      </c>
      <c r="Y137" s="128">
        <f t="shared" si="40"/>
        <v>1623</v>
      </c>
      <c r="AA137" s="606">
        <f t="shared" si="26"/>
        <v>30789</v>
      </c>
      <c r="AB137" s="607">
        <f t="shared" si="39"/>
        <v>30789</v>
      </c>
    </row>
    <row r="138" spans="1:28">
      <c r="A138" s="10" t="s">
        <v>79</v>
      </c>
      <c r="F138" s="125">
        <f>F136+F137</f>
        <v>4705.2652592548211</v>
      </c>
      <c r="G138" s="125">
        <f t="shared" ref="G138:Y138" si="41">G136+G137</f>
        <v>4560.8800038730751</v>
      </c>
      <c r="H138" s="125">
        <f t="shared" si="41"/>
        <v>4400.3562229531544</v>
      </c>
      <c r="I138" s="125">
        <f t="shared" si="41"/>
        <v>4224.1800639412413</v>
      </c>
      <c r="J138" s="125">
        <f t="shared" si="41"/>
        <v>4029.6862890281373</v>
      </c>
      <c r="K138" s="125">
        <f t="shared" si="41"/>
        <v>3815.0431366237231</v>
      </c>
      <c r="L138" s="125">
        <f t="shared" si="41"/>
        <v>3578.2356689788667</v>
      </c>
      <c r="M138" s="125">
        <f t="shared" si="41"/>
        <v>3318.0474545695251</v>
      </c>
      <c r="N138" s="125">
        <f t="shared" si="41"/>
        <v>3030.0404187192494</v>
      </c>
      <c r="O138" s="125">
        <f t="shared" si="41"/>
        <v>2713.532679283946</v>
      </c>
      <c r="P138" s="125">
        <f t="shared" si="41"/>
        <v>2364.5741659051123</v>
      </c>
      <c r="Q138" s="125">
        <f t="shared" si="41"/>
        <v>1979.919801188395</v>
      </c>
      <c r="R138" s="125">
        <f t="shared" si="41"/>
        <v>1556</v>
      </c>
      <c r="S138" s="125">
        <f t="shared" si="41"/>
        <v>1565</v>
      </c>
      <c r="T138" s="125">
        <f t="shared" si="41"/>
        <v>1574</v>
      </c>
      <c r="U138" s="125">
        <f t="shared" si="41"/>
        <v>1583</v>
      </c>
      <c r="V138" s="125">
        <f t="shared" si="41"/>
        <v>1593</v>
      </c>
      <c r="W138" s="125">
        <f t="shared" si="41"/>
        <v>1603</v>
      </c>
      <c r="X138" s="125">
        <f t="shared" si="41"/>
        <v>1613</v>
      </c>
      <c r="Y138" s="125">
        <f t="shared" si="41"/>
        <v>1623</v>
      </c>
      <c r="AA138" s="606">
        <f t="shared" si="26"/>
        <v>55429.761164319243</v>
      </c>
      <c r="AB138" s="607">
        <f t="shared" si="39"/>
        <v>55429.761164319243</v>
      </c>
    </row>
    <row r="139" spans="1:28">
      <c r="A139" s="10" t="s">
        <v>80</v>
      </c>
      <c r="C139" s="129">
        <f>C125</f>
        <v>0.05</v>
      </c>
      <c r="F139" s="125">
        <f>F138*$C$139</f>
        <v>235.26326296274107</v>
      </c>
      <c r="G139" s="125">
        <f t="shared" ref="G139:Y139" si="42">G138*$C$139</f>
        <v>228.04400019365377</v>
      </c>
      <c r="H139" s="125">
        <f t="shared" si="42"/>
        <v>220.01781114765774</v>
      </c>
      <c r="I139" s="125">
        <f t="shared" si="42"/>
        <v>211.20900319706209</v>
      </c>
      <c r="J139" s="125">
        <f t="shared" si="42"/>
        <v>201.48431445140687</v>
      </c>
      <c r="K139" s="125">
        <f t="shared" si="42"/>
        <v>190.75215683118617</v>
      </c>
      <c r="L139" s="125">
        <f t="shared" si="42"/>
        <v>178.91178344894334</v>
      </c>
      <c r="M139" s="125">
        <f t="shared" si="42"/>
        <v>165.90237272847628</v>
      </c>
      <c r="N139" s="125">
        <f t="shared" si="42"/>
        <v>151.50202093596246</v>
      </c>
      <c r="O139" s="125">
        <f t="shared" si="42"/>
        <v>135.67663396419729</v>
      </c>
      <c r="P139" s="125">
        <f t="shared" si="42"/>
        <v>118.22870829525561</v>
      </c>
      <c r="Q139" s="125">
        <f t="shared" si="42"/>
        <v>98.995990059419753</v>
      </c>
      <c r="R139" s="125">
        <f t="shared" si="42"/>
        <v>77.800000000000011</v>
      </c>
      <c r="S139" s="125">
        <f t="shared" si="42"/>
        <v>78.25</v>
      </c>
      <c r="T139" s="125">
        <f t="shared" si="42"/>
        <v>78.7</v>
      </c>
      <c r="U139" s="125">
        <f t="shared" si="42"/>
        <v>79.150000000000006</v>
      </c>
      <c r="V139" s="125">
        <f t="shared" si="42"/>
        <v>79.650000000000006</v>
      </c>
      <c r="W139" s="125">
        <f t="shared" si="42"/>
        <v>80.150000000000006</v>
      </c>
      <c r="X139" s="125">
        <f t="shared" si="42"/>
        <v>80.650000000000006</v>
      </c>
      <c r="Y139" s="125">
        <f t="shared" si="42"/>
        <v>81.150000000000006</v>
      </c>
      <c r="AA139" s="606">
        <f t="shared" si="26"/>
        <v>2771.4880582159631</v>
      </c>
      <c r="AB139" s="607">
        <f t="shared" si="39"/>
        <v>2771.4880582159631</v>
      </c>
    </row>
    <row r="140" spans="1:28">
      <c r="A140" s="10" t="s">
        <v>81</v>
      </c>
      <c r="C140" s="129">
        <f>C126</f>
        <v>0.35</v>
      </c>
      <c r="F140" s="128">
        <f>(F138-F139)*$C$140</f>
        <v>1564.5006987022277</v>
      </c>
      <c r="G140" s="128">
        <f t="shared" ref="G140:Y140" si="43">(G138-G139)*$C$140</f>
        <v>1516.4926012877972</v>
      </c>
      <c r="H140" s="128">
        <f t="shared" si="43"/>
        <v>1463.1184441319238</v>
      </c>
      <c r="I140" s="128">
        <f t="shared" si="43"/>
        <v>1404.5398712604626</v>
      </c>
      <c r="J140" s="128">
        <f t="shared" si="43"/>
        <v>1339.8706911018555</v>
      </c>
      <c r="K140" s="128">
        <f t="shared" si="43"/>
        <v>1268.5018429273878</v>
      </c>
      <c r="L140" s="128">
        <f t="shared" si="43"/>
        <v>1189.7633599354731</v>
      </c>
      <c r="M140" s="128">
        <f t="shared" si="43"/>
        <v>1103.2507786443671</v>
      </c>
      <c r="N140" s="128">
        <f t="shared" si="43"/>
        <v>1007.4884392241504</v>
      </c>
      <c r="O140" s="128">
        <f t="shared" si="43"/>
        <v>902.24961586191205</v>
      </c>
      <c r="P140" s="128">
        <f t="shared" si="43"/>
        <v>786.22091016344973</v>
      </c>
      <c r="Q140" s="128">
        <f t="shared" si="43"/>
        <v>658.32333389514133</v>
      </c>
      <c r="R140" s="128">
        <f t="shared" si="43"/>
        <v>517.37</v>
      </c>
      <c r="S140" s="128">
        <f t="shared" si="43"/>
        <v>520.36249999999995</v>
      </c>
      <c r="T140" s="128">
        <f t="shared" si="43"/>
        <v>523.3549999999999</v>
      </c>
      <c r="U140" s="128">
        <f t="shared" si="43"/>
        <v>526.34749999999997</v>
      </c>
      <c r="V140" s="128">
        <f t="shared" si="43"/>
        <v>529.6724999999999</v>
      </c>
      <c r="W140" s="128">
        <f t="shared" si="43"/>
        <v>532.99749999999995</v>
      </c>
      <c r="X140" s="128">
        <f t="shared" si="43"/>
        <v>536.32249999999999</v>
      </c>
      <c r="Y140" s="128">
        <f t="shared" si="43"/>
        <v>539.64749999999992</v>
      </c>
      <c r="AA140" s="606">
        <f t="shared" si="26"/>
        <v>18430.395587136147</v>
      </c>
      <c r="AB140" s="607">
        <f t="shared" si="39"/>
        <v>18430.395587136147</v>
      </c>
    </row>
    <row r="141" spans="1:28">
      <c r="A141" s="10" t="s">
        <v>82</v>
      </c>
      <c r="F141" s="125">
        <f>F138-F139-F140</f>
        <v>2905.5012975898517</v>
      </c>
      <c r="G141" s="125">
        <f t="shared" ref="G141:Y141" si="44">G138-G139-G140</f>
        <v>2816.3434023916238</v>
      </c>
      <c r="H141" s="125">
        <f t="shared" si="44"/>
        <v>2717.2199676735727</v>
      </c>
      <c r="I141" s="125">
        <f t="shared" si="44"/>
        <v>2608.4311894837165</v>
      </c>
      <c r="J141" s="125">
        <f t="shared" si="44"/>
        <v>2488.3312834748749</v>
      </c>
      <c r="K141" s="125">
        <f t="shared" si="44"/>
        <v>2355.789136865149</v>
      </c>
      <c r="L141" s="125">
        <f t="shared" si="44"/>
        <v>2209.5605255944502</v>
      </c>
      <c r="M141" s="125">
        <f t="shared" si="44"/>
        <v>2048.8943031966819</v>
      </c>
      <c r="N141" s="125">
        <f t="shared" si="44"/>
        <v>1871.0499585591367</v>
      </c>
      <c r="O141" s="125">
        <f t="shared" si="44"/>
        <v>1675.6064294578368</v>
      </c>
      <c r="P141" s="125">
        <f t="shared" si="44"/>
        <v>1460.1245474464067</v>
      </c>
      <c r="Q141" s="125">
        <f t="shared" si="44"/>
        <v>1222.600477233834</v>
      </c>
      <c r="R141" s="125">
        <f t="shared" si="44"/>
        <v>960.83</v>
      </c>
      <c r="S141" s="125">
        <f t="shared" si="44"/>
        <v>966.38750000000005</v>
      </c>
      <c r="T141" s="125">
        <f t="shared" si="44"/>
        <v>971.94500000000005</v>
      </c>
      <c r="U141" s="125">
        <f t="shared" si="44"/>
        <v>977.50249999999994</v>
      </c>
      <c r="V141" s="125">
        <f t="shared" si="44"/>
        <v>983.67750000000001</v>
      </c>
      <c r="W141" s="125">
        <f t="shared" si="44"/>
        <v>989.85249999999996</v>
      </c>
      <c r="X141" s="125">
        <f t="shared" si="44"/>
        <v>996.02749999999992</v>
      </c>
      <c r="Y141" s="125">
        <f t="shared" si="44"/>
        <v>1002.2025</v>
      </c>
      <c r="AA141" s="606">
        <f t="shared" si="26"/>
        <v>34227.877518967136</v>
      </c>
      <c r="AB141" s="607">
        <f t="shared" si="39"/>
        <v>34227.877518967136</v>
      </c>
    </row>
    <row r="142" spans="1:28">
      <c r="AA142" s="606">
        <f t="shared" si="26"/>
        <v>0</v>
      </c>
      <c r="AB142" s="607">
        <f t="shared" si="39"/>
        <v>0</v>
      </c>
    </row>
    <row r="143" spans="1:28">
      <c r="A143" s="127" t="str">
        <f>A76</f>
        <v>Net Income to FPLE</v>
      </c>
      <c r="F143" s="130">
        <f>F76</f>
        <v>1027.2112500000001</v>
      </c>
      <c r="G143" s="130">
        <f t="shared" ref="G143:Y143" si="45">G76</f>
        <v>844.43125000000009</v>
      </c>
      <c r="H143" s="130">
        <f t="shared" si="45"/>
        <v>859.86875000000009</v>
      </c>
      <c r="I143" s="130">
        <f t="shared" si="45"/>
        <v>920.69250000000011</v>
      </c>
      <c r="J143" s="130">
        <f t="shared" si="45"/>
        <v>1089.27</v>
      </c>
      <c r="K143" s="130">
        <f t="shared" si="45"/>
        <v>1172.0149999999999</v>
      </c>
      <c r="L143" s="130">
        <f t="shared" si="45"/>
        <v>1315.2750000000001</v>
      </c>
      <c r="M143" s="130">
        <f t="shared" si="45"/>
        <v>1312.8050000000001</v>
      </c>
      <c r="N143" s="130">
        <f t="shared" si="45"/>
        <v>1375.1725000000001</v>
      </c>
      <c r="O143" s="130">
        <f t="shared" si="45"/>
        <v>1454.52125</v>
      </c>
      <c r="P143" s="130">
        <f t="shared" si="45"/>
        <v>1528.0037500000001</v>
      </c>
      <c r="Q143" s="130">
        <f t="shared" si="45"/>
        <v>1588.21</v>
      </c>
      <c r="R143" s="130">
        <f t="shared" si="45"/>
        <v>1711.0925</v>
      </c>
      <c r="S143" s="130">
        <f t="shared" si="45"/>
        <v>1815.1412500000001</v>
      </c>
      <c r="T143" s="130">
        <f t="shared" si="45"/>
        <v>1925.365</v>
      </c>
      <c r="U143" s="130">
        <f t="shared" si="45"/>
        <v>2060.5974999999999</v>
      </c>
      <c r="V143" s="130">
        <f t="shared" si="45"/>
        <v>2208.4887500000004</v>
      </c>
      <c r="W143" s="130">
        <f t="shared" si="45"/>
        <v>2363.1725000000001</v>
      </c>
      <c r="X143" s="130">
        <f t="shared" si="45"/>
        <v>2493.15625</v>
      </c>
      <c r="Y143" s="130">
        <f t="shared" si="45"/>
        <v>2572.8137500000003</v>
      </c>
      <c r="AA143" s="606">
        <f t="shared" si="26"/>
        <v>31637.303750000003</v>
      </c>
      <c r="AB143" s="607">
        <f t="shared" si="39"/>
        <v>31637.303750000003</v>
      </c>
    </row>
    <row r="144" spans="1:28">
      <c r="A144" s="124" t="s">
        <v>126</v>
      </c>
      <c r="F144" s="123">
        <f>F141+F143</f>
        <v>3932.712547589852</v>
      </c>
      <c r="G144" s="123">
        <f t="shared" ref="G144:Y144" si="46">G141+G143</f>
        <v>3660.7746523916239</v>
      </c>
      <c r="H144" s="123">
        <f t="shared" si="46"/>
        <v>3577.0887176735728</v>
      </c>
      <c r="I144" s="123">
        <f t="shared" si="46"/>
        <v>3529.1236894837166</v>
      </c>
      <c r="J144" s="123">
        <f t="shared" si="46"/>
        <v>3577.6012834748749</v>
      </c>
      <c r="K144" s="123">
        <f t="shared" si="46"/>
        <v>3527.8041368651488</v>
      </c>
      <c r="L144" s="123">
        <f t="shared" si="46"/>
        <v>3524.8355255944502</v>
      </c>
      <c r="M144" s="123">
        <f t="shared" si="46"/>
        <v>3361.6993031966822</v>
      </c>
      <c r="N144" s="123">
        <f t="shared" si="46"/>
        <v>3246.2224585591366</v>
      </c>
      <c r="O144" s="123">
        <f t="shared" si="46"/>
        <v>3130.1276794578371</v>
      </c>
      <c r="P144" s="123">
        <f t="shared" si="46"/>
        <v>2988.1282974464066</v>
      </c>
      <c r="Q144" s="123">
        <f t="shared" si="46"/>
        <v>2810.8104772338338</v>
      </c>
      <c r="R144" s="123">
        <f t="shared" si="46"/>
        <v>2671.9225000000001</v>
      </c>
      <c r="S144" s="123">
        <f t="shared" si="46"/>
        <v>2781.5287500000004</v>
      </c>
      <c r="T144" s="123">
        <f t="shared" si="46"/>
        <v>2897.31</v>
      </c>
      <c r="U144" s="123">
        <f t="shared" si="46"/>
        <v>3038.1</v>
      </c>
      <c r="V144" s="123">
        <f t="shared" si="46"/>
        <v>3192.1662500000002</v>
      </c>
      <c r="W144" s="123">
        <f t="shared" si="46"/>
        <v>3353.0250000000001</v>
      </c>
      <c r="X144" s="123">
        <f t="shared" si="46"/>
        <v>3489.1837500000001</v>
      </c>
      <c r="Y144" s="123">
        <f t="shared" si="46"/>
        <v>3575.0162500000001</v>
      </c>
      <c r="AA144" s="606">
        <f t="shared" si="26"/>
        <v>65865.181268967135</v>
      </c>
      <c r="AB144" s="607">
        <f t="shared" si="39"/>
        <v>65865.181268967135</v>
      </c>
    </row>
    <row r="145" spans="1:28">
      <c r="AA145" s="606">
        <f t="shared" si="26"/>
        <v>0</v>
      </c>
      <c r="AB145" s="607">
        <f t="shared" si="39"/>
        <v>0</v>
      </c>
    </row>
    <row r="146" spans="1:28">
      <c r="AA146" s="606">
        <f t="shared" si="26"/>
        <v>0</v>
      </c>
      <c r="AB146" s="607">
        <f t="shared" si="39"/>
        <v>0</v>
      </c>
    </row>
    <row r="147" spans="1:28">
      <c r="AA147" s="606">
        <f t="shared" si="26"/>
        <v>0</v>
      </c>
      <c r="AB147" s="607">
        <f t="shared" si="39"/>
        <v>0</v>
      </c>
    </row>
    <row r="148" spans="1:28">
      <c r="A148" s="131" t="s">
        <v>134</v>
      </c>
      <c r="AA148" s="606">
        <f t="shared" si="26"/>
        <v>0</v>
      </c>
      <c r="AB148" s="607">
        <f t="shared" si="39"/>
        <v>0</v>
      </c>
    </row>
    <row r="149" spans="1:28">
      <c r="A149" s="259" t="s">
        <v>133</v>
      </c>
      <c r="F149" s="165">
        <f>+F137*(1-($C$139+$C$140*(1-$C$139)))</f>
        <v>906.49000000000012</v>
      </c>
      <c r="G149" s="165">
        <f t="shared" ref="G149:Y149" si="47">+G137*(1-($C$139+$C$140*(1-$C$139)))</f>
        <v>910.81250000000011</v>
      </c>
      <c r="H149" s="165">
        <f t="shared" si="47"/>
        <v>914.51750000000004</v>
      </c>
      <c r="I149" s="165">
        <f t="shared" si="47"/>
        <v>918.84</v>
      </c>
      <c r="J149" s="165">
        <f t="shared" si="47"/>
        <v>923.16250000000002</v>
      </c>
      <c r="K149" s="165">
        <f t="shared" si="47"/>
        <v>927.48500000000013</v>
      </c>
      <c r="L149" s="165">
        <f t="shared" si="47"/>
        <v>931.80750000000012</v>
      </c>
      <c r="M149" s="165">
        <f t="shared" si="47"/>
        <v>936.74750000000006</v>
      </c>
      <c r="N149" s="165">
        <f t="shared" si="47"/>
        <v>941.07</v>
      </c>
      <c r="O149" s="165">
        <f t="shared" si="47"/>
        <v>946.0100000000001</v>
      </c>
      <c r="P149" s="165">
        <f t="shared" si="47"/>
        <v>950.95</v>
      </c>
      <c r="Q149" s="165">
        <f t="shared" si="47"/>
        <v>955.8900000000001</v>
      </c>
      <c r="R149" s="165">
        <f t="shared" si="47"/>
        <v>960.83</v>
      </c>
      <c r="S149" s="165">
        <f t="shared" si="47"/>
        <v>966.38750000000005</v>
      </c>
      <c r="T149" s="165">
        <f t="shared" si="47"/>
        <v>971.94500000000005</v>
      </c>
      <c r="U149" s="165">
        <f t="shared" si="47"/>
        <v>977.50250000000005</v>
      </c>
      <c r="V149" s="165">
        <f t="shared" si="47"/>
        <v>983.67750000000012</v>
      </c>
      <c r="W149" s="165">
        <f t="shared" si="47"/>
        <v>989.85250000000008</v>
      </c>
      <c r="X149" s="165">
        <f t="shared" si="47"/>
        <v>996.02750000000003</v>
      </c>
      <c r="Y149" s="165">
        <f t="shared" si="47"/>
        <v>1002.2025000000001</v>
      </c>
      <c r="AA149" s="606">
        <f t="shared" si="26"/>
        <v>19012.2075</v>
      </c>
      <c r="AB149" s="607">
        <f t="shared" si="39"/>
        <v>19012.2075</v>
      </c>
    </row>
    <row r="150" spans="1:28">
      <c r="A150" s="199" t="s">
        <v>138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6"/>
        <v>0</v>
      </c>
      <c r="AB150" s="607">
        <f t="shared" si="39"/>
        <v>0</v>
      </c>
    </row>
    <row r="151" spans="1:28">
      <c r="F151" s="261">
        <f>F149+F150</f>
        <v>906.49000000000012</v>
      </c>
      <c r="G151" s="261">
        <f t="shared" ref="G151:Y151" si="48">G149+G150</f>
        <v>910.81250000000011</v>
      </c>
      <c r="H151" s="261">
        <f t="shared" si="48"/>
        <v>914.51750000000004</v>
      </c>
      <c r="I151" s="261">
        <f t="shared" si="48"/>
        <v>918.84</v>
      </c>
      <c r="J151" s="261">
        <f t="shared" si="48"/>
        <v>923.16250000000002</v>
      </c>
      <c r="K151" s="261">
        <f t="shared" si="48"/>
        <v>927.48500000000013</v>
      </c>
      <c r="L151" s="261">
        <f t="shared" si="48"/>
        <v>931.80750000000012</v>
      </c>
      <c r="M151" s="261">
        <f t="shared" si="48"/>
        <v>936.74750000000006</v>
      </c>
      <c r="N151" s="261">
        <f t="shared" si="48"/>
        <v>941.07</v>
      </c>
      <c r="O151" s="261">
        <f t="shared" si="48"/>
        <v>946.0100000000001</v>
      </c>
      <c r="P151" s="261">
        <f t="shared" si="48"/>
        <v>950.95</v>
      </c>
      <c r="Q151" s="261">
        <f t="shared" si="48"/>
        <v>955.8900000000001</v>
      </c>
      <c r="R151" s="261">
        <f t="shared" si="48"/>
        <v>960.83</v>
      </c>
      <c r="S151" s="261">
        <f t="shared" si="48"/>
        <v>966.38750000000005</v>
      </c>
      <c r="T151" s="261">
        <f t="shared" si="48"/>
        <v>971.94500000000005</v>
      </c>
      <c r="U151" s="261">
        <f t="shared" si="48"/>
        <v>977.50250000000005</v>
      </c>
      <c r="V151" s="261">
        <f t="shared" si="48"/>
        <v>983.67750000000012</v>
      </c>
      <c r="W151" s="261">
        <f t="shared" si="48"/>
        <v>989.85250000000008</v>
      </c>
      <c r="X151" s="261">
        <f t="shared" si="48"/>
        <v>996.02750000000003</v>
      </c>
      <c r="Y151" s="261">
        <f t="shared" si="48"/>
        <v>1002.2025000000001</v>
      </c>
      <c r="AA151" s="606">
        <f t="shared" si="26"/>
        <v>19012.2075</v>
      </c>
      <c r="AB151" s="607">
        <f t="shared" si="39"/>
        <v>19012.2075</v>
      </c>
    </row>
    <row r="154" spans="1:28" ht="13.5" thickBot="1">
      <c r="A154" s="10" t="s">
        <v>57</v>
      </c>
      <c r="C154" s="125">
        <f>NPV(C155,F151:Y151)</f>
        <v>8554.8239714269785</v>
      </c>
    </row>
    <row r="155" spans="1:28" ht="13.5" thickBot="1">
      <c r="A155" s="10" t="s">
        <v>59</v>
      </c>
      <c r="C155" s="248">
        <v>0.09</v>
      </c>
    </row>
    <row r="157" spans="1:28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42086.448804905915</v>
      </c>
    </row>
    <row r="160" spans="1:28">
      <c r="A160" s="134" t="s">
        <v>85</v>
      </c>
      <c r="B160" s="135"/>
      <c r="C160" s="135"/>
      <c r="D160" s="508">
        <f>+[7]NOTE!$F$15/1000</f>
        <v>32372.652592548209</v>
      </c>
      <c r="F160" s="138"/>
    </row>
    <row r="161" spans="1:17">
      <c r="A161" s="134" t="s">
        <v>86</v>
      </c>
      <c r="B161" s="135"/>
      <c r="C161" s="135"/>
      <c r="D161" s="139">
        <f>+C154</f>
        <v>8554.8239714269785</v>
      </c>
    </row>
    <row r="162" spans="1:17" ht="13.5" thickBot="1">
      <c r="A162" s="140" t="s">
        <v>87</v>
      </c>
      <c r="B162" s="109"/>
      <c r="C162" s="109"/>
      <c r="D162" s="264">
        <f>SUM(D159:D161)</f>
        <v>83013.9253688811</v>
      </c>
    </row>
    <row r="165" spans="1:17">
      <c r="A165" s="105" t="s">
        <v>759</v>
      </c>
      <c r="F165" s="125">
        <v>1513852.5538174617</v>
      </c>
      <c r="G165" s="125">
        <v>1665237.8091992079</v>
      </c>
      <c r="H165" s="125">
        <v>1831761.5901191286</v>
      </c>
      <c r="I165" s="125">
        <v>2014937.7491310411</v>
      </c>
      <c r="J165" s="125">
        <v>2216431.5240441454</v>
      </c>
      <c r="K165" s="125">
        <v>2438074.6764485599</v>
      </c>
      <c r="L165" s="125">
        <v>2681882.1440934162</v>
      </c>
      <c r="M165" s="125">
        <v>2950070.3585027577</v>
      </c>
      <c r="N165" s="125">
        <v>3245077.3943530335</v>
      </c>
      <c r="O165" s="125">
        <v>3569585.133788337</v>
      </c>
      <c r="P165" s="125">
        <v>3926543.6471671704</v>
      </c>
      <c r="Q165" s="125">
        <v>4319198.0118839508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.7109375" style="8" bestFit="1" customWidth="1"/>
    <col min="28" max="28" width="12.28515625" style="8" bestFit="1" customWidth="1"/>
    <col min="29" max="16384" width="9.140625" style="8"/>
  </cols>
  <sheetData>
    <row r="2" spans="1:28" ht="18.75">
      <c r="A2" s="270" t="s">
        <v>112</v>
      </c>
      <c r="B2" s="592"/>
      <c r="C2" s="592"/>
      <c r="D2" s="594"/>
      <c r="E2" s="594"/>
      <c r="F2" s="594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>
        <f>SUM([5]Consolidated!I9:I12)</f>
        <v>302233.3604046281</v>
      </c>
      <c r="F10" s="104">
        <f>SUM([5]Consolidated!J9:J12)</f>
        <v>314916.49473066704</v>
      </c>
      <c r="G10" s="104">
        <f>SUM([5]Consolidated!K9:K12)</f>
        <v>316970.11403177981</v>
      </c>
      <c r="H10" s="104">
        <f>SUM([5]Consolidated!L9:L12)</f>
        <v>336236.0187294425</v>
      </c>
      <c r="I10" s="104">
        <f>SUM([5]Consolidated!M9:M12)</f>
        <v>349315.9266856953</v>
      </c>
      <c r="J10" s="104">
        <f>SUM([5]Consolidated!N9:N12)</f>
        <v>353926.79540736775</v>
      </c>
      <c r="K10" s="104">
        <f>SUM([5]Consolidated!O9:O12)</f>
        <v>365865.54162458621</v>
      </c>
      <c r="L10" s="104">
        <f>SUM([5]Consolidated!P9:P12)</f>
        <v>377103.94714052376</v>
      </c>
      <c r="M10" s="104">
        <f>SUM([5]Consolidated!Q9:Q12)</f>
        <v>368868.76231711509</v>
      </c>
      <c r="N10" s="104">
        <f>SUM([5]Consolidated!R9:R12)</f>
        <v>392158.16932915279</v>
      </c>
      <c r="O10" s="104">
        <f>SUM([5]Consolidated!S9:S12)</f>
        <v>409581.30865645502</v>
      </c>
      <c r="P10" s="104">
        <f>SUM([5]Consolidated!T9:T12)</f>
        <v>329711.26035156078</v>
      </c>
      <c r="Q10" s="104">
        <f>SUM([5]Consolidated!U9:U12)</f>
        <v>130704.46261061951</v>
      </c>
      <c r="R10" s="104">
        <f>SUM([5]Consolidated!V9:V12)</f>
        <v>132812.68959512364</v>
      </c>
      <c r="S10" s="104">
        <f>SUM([5]Consolidated!W9:W12)</f>
        <v>126021.62004267666</v>
      </c>
      <c r="T10" s="104">
        <f>SUM([5]Consolidated!X9:X12)</f>
        <v>139860.78233060151</v>
      </c>
      <c r="U10" s="104">
        <f>SUM([5]Consolidated!Y9:Y12)</f>
        <v>101639.22935478346</v>
      </c>
      <c r="V10" s="104">
        <f>SUM([5]Consolidated!Z9:Z12)</f>
        <v>10767.966111013224</v>
      </c>
      <c r="W10" s="104">
        <f>SUM([5]Consolidated!AA9:AA12)</f>
        <v>11066.591925859262</v>
      </c>
      <c r="X10" s="104">
        <f>SUM([5]Consolidated!AB9:AB12)</f>
        <v>11256.870743366841</v>
      </c>
      <c r="Y10" s="104">
        <f>SUM([5]Consolidated!AC9:AC12)</f>
        <v>10729.351448036938</v>
      </c>
      <c r="Z10" s="22"/>
      <c r="AA10" s="606">
        <f t="shared" ref="AA10:AA38" si="1">SUM(F10:Y10)</f>
        <v>4589513.9031664282</v>
      </c>
      <c r="AB10" s="607">
        <f>AA10*$C$60</f>
        <v>2294756.9515832141</v>
      </c>
    </row>
    <row r="11" spans="1:28">
      <c r="A11" s="4" t="s">
        <v>9</v>
      </c>
      <c r="B11" s="12"/>
      <c r="C11" s="12"/>
      <c r="D11" s="90"/>
      <c r="E11" s="141">
        <v>0</v>
      </c>
      <c r="F11" s="141">
        <v>0</v>
      </c>
      <c r="G11" s="141">
        <v>0</v>
      </c>
      <c r="H11" s="141">
        <v>0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111</v>
      </c>
      <c r="B12" s="12"/>
      <c r="C12" s="12"/>
      <c r="D12" s="90"/>
      <c r="E12" s="104">
        <f>+[5]Consolidated!I14-[5]Consolidated!I37</f>
        <v>4668.3</v>
      </c>
      <c r="F12" s="104">
        <f>+[5]Consolidated!J14-[5]Consolidated!J37</f>
        <v>4668.3</v>
      </c>
      <c r="G12" s="104">
        <f>+[5]Consolidated!K14-[5]Consolidated!K37</f>
        <v>4668.3</v>
      </c>
      <c r="H12" s="104">
        <f>+[5]Consolidated!L14-[5]Consolidated!L37</f>
        <v>4736.3223776223776</v>
      </c>
      <c r="I12" s="104">
        <f>+[5]Consolidated!M14-[5]Consolidated!M37</f>
        <v>4804.3447552447542</v>
      </c>
      <c r="J12" s="104">
        <f>+[5]Consolidated!N14-[5]Consolidated!N37</f>
        <v>5225.300988017726</v>
      </c>
      <c r="K12" s="104">
        <f>+[5]Consolidated!O14-[5]Consolidated!O37</f>
        <v>5355.4469811608888</v>
      </c>
      <c r="L12" s="104">
        <f>+[5]Consolidated!P14-[5]Consolidated!P37</f>
        <v>5427.5013909270074</v>
      </c>
      <c r="M12" s="104">
        <f>+[5]Consolidated!Q14-[5]Consolidated!Q37</f>
        <v>4496.4011930869583</v>
      </c>
      <c r="N12" s="104">
        <f>+[5]Consolidated!R14-[5]Consolidated!R37</f>
        <v>5280.1214285742944</v>
      </c>
      <c r="O12" s="104">
        <f>+[5]Consolidated!S14-[5]Consolidated!S37</f>
        <v>5369.87891800744</v>
      </c>
      <c r="P12" s="104">
        <f>+[5]Consolidated!T14-[5]Consolidated!T37</f>
        <v>4664.5577818079109</v>
      </c>
      <c r="Q12" s="104">
        <f>+[5]Consolidated!U14-[5]Consolidated!U37</f>
        <v>2805.6845003909089</v>
      </c>
      <c r="R12" s="104">
        <f>+[5]Consolidated!V14-[5]Consolidated!V37</f>
        <v>2843.1260331045937</v>
      </c>
      <c r="S12" s="104">
        <f>+[5]Consolidated!W14-[5]Consolidated!W37</f>
        <v>2432.1825535888306</v>
      </c>
      <c r="T12" s="104">
        <f>+[5]Consolidated!X14-[5]Consolidated!X37</f>
        <v>2376.1158984125218</v>
      </c>
      <c r="U12" s="104">
        <f>+[5]Consolidated!Y14-[5]Consolidated!Y37</f>
        <v>2427.2423263392484</v>
      </c>
      <c r="V12" s="104">
        <f>+[5]Consolidated!Z14-[5]Consolidated!Z37</f>
        <v>2924.2354701240592</v>
      </c>
      <c r="W12" s="104">
        <f>+[5]Consolidated!AA14-[5]Consolidated!AA37</f>
        <v>3278.6673362487836</v>
      </c>
      <c r="X12" s="104">
        <f>+[5]Consolidated!AB14-[5]Consolidated!AB37</f>
        <v>3322.0574573095373</v>
      </c>
      <c r="Y12" s="104">
        <f>+[5]Consolidated!AC14-[5]Consolidated!AC37</f>
        <v>2836.2402842010297</v>
      </c>
      <c r="Z12" s="22"/>
      <c r="AA12" s="606">
        <f t="shared" si="1"/>
        <v>79942.027674168872</v>
      </c>
      <c r="AB12" s="607">
        <f t="shared" si="2"/>
        <v>39971.013837084436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04">
        <f>+[5]Consolidated!I13</f>
        <v>987.85244808199741</v>
      </c>
      <c r="F16" s="104">
        <f>+[5]Consolidated!J13</f>
        <v>976.63914504199829</v>
      </c>
      <c r="G16" s="104">
        <f>+[5]Consolidated!K13</f>
        <v>976.63914504199829</v>
      </c>
      <c r="H16" s="104">
        <f>+[5]Consolidated!L13</f>
        <v>976.63914504199829</v>
      </c>
      <c r="I16" s="104">
        <f>+[5]Consolidated!M13</f>
        <v>987.85244808199741</v>
      </c>
      <c r="J16" s="104">
        <f>+[5]Consolidated!N13</f>
        <v>14352.913746422539</v>
      </c>
      <c r="K16" s="104">
        <f>+[5]Consolidated!O13</f>
        <v>15861.039030146152</v>
      </c>
      <c r="L16" s="104">
        <f>+[5]Consolidated!P13</f>
        <v>17281.214211465132</v>
      </c>
      <c r="M16" s="104">
        <f>+[5]Consolidated!Q13</f>
        <v>16414.390964814011</v>
      </c>
      <c r="N16" s="104">
        <f>+[5]Consolidated!R13</f>
        <v>19507.644677541</v>
      </c>
      <c r="O16" s="104">
        <f>+[5]Consolidated!S13</f>
        <v>23752.456076372448</v>
      </c>
      <c r="P16" s="104">
        <f>+[5]Consolidated!T13</f>
        <v>81229.344789200404</v>
      </c>
      <c r="Q16" s="104">
        <f>+[5]Consolidated!U13</f>
        <v>207482.35791926598</v>
      </c>
      <c r="R16" s="104">
        <f>+[5]Consolidated!V13</f>
        <v>214984.64174684658</v>
      </c>
      <c r="S16" s="104">
        <f>+[5]Consolidated!W13</f>
        <v>210622.91863766633</v>
      </c>
      <c r="T16" s="104">
        <f>+[5]Consolidated!X13</f>
        <v>217143.0672455419</v>
      </c>
      <c r="U16" s="104">
        <f>+[5]Consolidated!Y13</f>
        <v>268117.06085008261</v>
      </c>
      <c r="V16" s="104">
        <f>+[5]Consolidated!Z13</f>
        <v>355545.36208538146</v>
      </c>
      <c r="W16" s="104">
        <f>+[5]Consolidated!AA13</f>
        <v>366878.94316448935</v>
      </c>
      <c r="X16" s="104">
        <f>+[5]Consolidated!AB13</f>
        <v>377465.45355150447</v>
      </c>
      <c r="Y16" s="104">
        <f>+[5]Consolidated!AC13</f>
        <v>366013.98885314201</v>
      </c>
      <c r="Z16" s="22"/>
      <c r="AA16" s="606">
        <f t="shared" si="1"/>
        <v>2776570.5674330904</v>
      </c>
      <c r="AB16" s="607">
        <f t="shared" si="2"/>
        <v>1388285.2837165452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>
        <f>-[5]Consolidated!I53</f>
        <v>1942.8594447047665</v>
      </c>
      <c r="F19" s="107">
        <f>-[5]Consolidated!J53</f>
        <v>1645.5984374584996</v>
      </c>
      <c r="G19" s="107">
        <f>-[5]Consolidated!K53</f>
        <v>1922.7405428471066</v>
      </c>
      <c r="H19" s="107">
        <f>-[5]Consolidated!L53</f>
        <v>2585.3992053122402</v>
      </c>
      <c r="I19" s="107">
        <f>-[5]Consolidated!M53</f>
        <v>3271.5010494036214</v>
      </c>
      <c r="J19" s="107">
        <f>-[5]Consolidated!N53</f>
        <v>1657.8415723612891</v>
      </c>
      <c r="K19" s="107">
        <f>-[5]Consolidated!O53</f>
        <v>1592.6922795756493</v>
      </c>
      <c r="L19" s="107">
        <f>-[5]Consolidated!P53</f>
        <v>1703.5788210396117</v>
      </c>
      <c r="M19" s="107">
        <f>-[5]Consolidated!Q53</f>
        <v>1794.9093760631633</v>
      </c>
      <c r="N19" s="107">
        <f>-[5]Consolidated!R53</f>
        <v>1721.3177413018525</v>
      </c>
      <c r="O19" s="107">
        <f>-[5]Consolidated!S53</f>
        <v>1637.3169666435674</v>
      </c>
      <c r="P19" s="107">
        <f>-[5]Consolidated!T53</f>
        <v>1544.335921012351</v>
      </c>
      <c r="Q19" s="107">
        <f>-[5]Consolidated!U53</f>
        <v>1544.335921012351</v>
      </c>
      <c r="R19" s="107">
        <f>-[5]Consolidated!V53</f>
        <v>1544.335921012351</v>
      </c>
      <c r="S19" s="107">
        <f>-[5]Consolidated!W53</f>
        <v>1544.335921012351</v>
      </c>
      <c r="T19" s="107">
        <f>-[5]Consolidated!X53</f>
        <v>1544.335921012351</v>
      </c>
      <c r="U19" s="107">
        <f>-[5]Consolidated!Y53</f>
        <v>1544.335921012351</v>
      </c>
      <c r="V19" s="107">
        <f>-[5]Consolidated!Z53</f>
        <v>1544.335921012351</v>
      </c>
      <c r="W19" s="107">
        <f>-[5]Consolidated!AA53</f>
        <v>1544.335921012351</v>
      </c>
      <c r="X19" s="107">
        <f>-[5]Consolidated!AB53</f>
        <v>1544.335921012351</v>
      </c>
      <c r="Y19" s="107">
        <f>-[5]Consolidated!AC53</f>
        <v>1544.335921012351</v>
      </c>
      <c r="Z19" s="22"/>
      <c r="AA19" s="606">
        <f t="shared" si="1"/>
        <v>34976.255202130124</v>
      </c>
      <c r="AB19" s="607">
        <f t="shared" si="2"/>
        <v>17488.127601065062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309832.37229741487</v>
      </c>
      <c r="F20" s="90">
        <f t="shared" si="3"/>
        <v>322207.03231316752</v>
      </c>
      <c r="G20" s="90">
        <f t="shared" si="3"/>
        <v>324537.79371966887</v>
      </c>
      <c r="H20" s="90">
        <f t="shared" si="3"/>
        <v>344534.3794574191</v>
      </c>
      <c r="I20" s="90">
        <f t="shared" si="3"/>
        <v>358379.62493842567</v>
      </c>
      <c r="J20" s="90">
        <f t="shared" si="3"/>
        <v>375162.85171416932</v>
      </c>
      <c r="K20" s="90">
        <f t="shared" si="3"/>
        <v>388674.71991546889</v>
      </c>
      <c r="L20" s="90">
        <f t="shared" si="3"/>
        <v>401516.2415639555</v>
      </c>
      <c r="M20" s="90">
        <f t="shared" si="3"/>
        <v>391574.46385107917</v>
      </c>
      <c r="N20" s="90">
        <f t="shared" si="3"/>
        <v>418667.25317656994</v>
      </c>
      <c r="O20" s="90">
        <f t="shared" si="3"/>
        <v>440340.96061747847</v>
      </c>
      <c r="P20" s="90">
        <f t="shared" si="3"/>
        <v>417149.49884358142</v>
      </c>
      <c r="Q20" s="90">
        <f t="shared" si="3"/>
        <v>342536.8409512887</v>
      </c>
      <c r="R20" s="90">
        <f t="shared" si="3"/>
        <v>352184.79329608718</v>
      </c>
      <c r="S20" s="90">
        <f t="shared" si="3"/>
        <v>340621.05715494417</v>
      </c>
      <c r="T20" s="90">
        <f t="shared" si="3"/>
        <v>360924.3013955683</v>
      </c>
      <c r="U20" s="90">
        <f t="shared" si="3"/>
        <v>373727.86845221766</v>
      </c>
      <c r="V20" s="90">
        <f t="shared" si="3"/>
        <v>370781.89958753111</v>
      </c>
      <c r="W20" s="90">
        <f t="shared" si="3"/>
        <v>382768.53834760975</v>
      </c>
      <c r="X20" s="90">
        <f t="shared" si="3"/>
        <v>393588.7176731932</v>
      </c>
      <c r="Y20" s="90">
        <f t="shared" si="3"/>
        <v>381123.9165063923</v>
      </c>
      <c r="Z20" s="22"/>
      <c r="AA20" s="606">
        <f t="shared" si="1"/>
        <v>7481002.753475816</v>
      </c>
      <c r="AB20" s="607">
        <f t="shared" si="2"/>
        <v>3740501.376737908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+[5]Consolidated!I44</f>
        <v>155286.21353992261</v>
      </c>
      <c r="F24" s="104">
        <f>+[5]Consolidated!J44</f>
        <v>166091.69520595839</v>
      </c>
      <c r="G24" s="104">
        <f>+[5]Consolidated!K44</f>
        <v>168146.04673022713</v>
      </c>
      <c r="H24" s="104">
        <f>+[5]Consolidated!L44</f>
        <v>175829.73567250033</v>
      </c>
      <c r="I24" s="104">
        <f>+[5]Consolidated!M44</f>
        <v>182565.60298938959</v>
      </c>
      <c r="J24" s="104">
        <f>+[5]Consolidated!N44</f>
        <v>194415.43664376522</v>
      </c>
      <c r="K24" s="104">
        <f>+[5]Consolidated!O44</f>
        <v>200161.92376496486</v>
      </c>
      <c r="L24" s="104">
        <f>+[5]Consolidated!P44</f>
        <v>205460.25827592687</v>
      </c>
      <c r="M24" s="104">
        <f>+[5]Consolidated!Q44</f>
        <v>202990.23589075694</v>
      </c>
      <c r="N24" s="104">
        <f>+[5]Consolidated!R44</f>
        <v>211093.89396288863</v>
      </c>
      <c r="O24" s="104">
        <f>+[5]Consolidated!S44</f>
        <v>219580.53784101713</v>
      </c>
      <c r="P24" s="104">
        <f>+[5]Consolidated!T44</f>
        <v>228413.11209704261</v>
      </c>
      <c r="Q24" s="104">
        <f>+[5]Consolidated!U44</f>
        <v>234697.94246263383</v>
      </c>
      <c r="R24" s="104">
        <f>+[5]Consolidated!V44</f>
        <v>241680.53684279841</v>
      </c>
      <c r="S24" s="104">
        <f>+[5]Consolidated!W44</f>
        <v>185259.07963948304</v>
      </c>
      <c r="T24" s="104">
        <f>+[5]Consolidated!X44</f>
        <v>192087.56300983607</v>
      </c>
      <c r="U24" s="104">
        <f>+[5]Consolidated!Y44</f>
        <v>200509.15722203994</v>
      </c>
      <c r="V24" s="104">
        <f>+[5]Consolidated!Z44</f>
        <v>206490.50737960127</v>
      </c>
      <c r="W24" s="104">
        <f>+[5]Consolidated!AA44</f>
        <v>211778.09603085346</v>
      </c>
      <c r="X24" s="104">
        <f>+[5]Consolidated!AB44</f>
        <v>216955.92696881731</v>
      </c>
      <c r="Y24" s="104">
        <f>+[5]Consolidated!AC44</f>
        <v>214512.13006369994</v>
      </c>
      <c r="AA24" s="606">
        <f t="shared" si="1"/>
        <v>4058719.4186942009</v>
      </c>
      <c r="AB24" s="607">
        <f t="shared" si="2"/>
        <v>2029359.7093471005</v>
      </c>
    </row>
    <row r="25" spans="1:28">
      <c r="A25" s="4" t="s">
        <v>1</v>
      </c>
      <c r="D25" s="90"/>
      <c r="E25" s="104">
        <f>+[5]Consolidated!I22+[5]Consolidated!I28+[5]Consolidated!I26+[5]Consolidated!I32</f>
        <v>7317.6164907363927</v>
      </c>
      <c r="F25" s="104">
        <f>+[5]Consolidated!J22+[5]Consolidated!J28+[5]Consolidated!J26+[5]Consolidated!J32</f>
        <v>7423.72401136396</v>
      </c>
      <c r="G25" s="104">
        <f>+[5]Consolidated!K22+[5]Consolidated!K28+[5]Consolidated!K26+[5]Consolidated!K32</f>
        <v>7801.4121848187788</v>
      </c>
      <c r="H25" s="104">
        <f>+[5]Consolidated!L22+[5]Consolidated!L28+[5]Consolidated!L26+[5]Consolidated!L32</f>
        <v>7863.639509055427</v>
      </c>
      <c r="I25" s="104">
        <f>+[5]Consolidated!M22+[5]Consolidated!M28+[5]Consolidated!M26+[5]Consolidated!M32</f>
        <v>8163.6721470371513</v>
      </c>
      <c r="J25" s="104">
        <f>+[5]Consolidated!N22+[5]Consolidated!N28+[5]Consolidated!N26+[5]Consolidated!N32</f>
        <v>9275.8366024823899</v>
      </c>
      <c r="K25" s="104">
        <f>+[5]Consolidated!O22+[5]Consolidated!O28+[5]Consolidated!O26+[5]Consolidated!O32</f>
        <v>9535.3801907494126</v>
      </c>
      <c r="L25" s="104">
        <f>+[5]Consolidated!P22+[5]Consolidated!P28+[5]Consolidated!P26+[5]Consolidated!P32</f>
        <v>9801.2834558996456</v>
      </c>
      <c r="M25" s="104">
        <f>+[5]Consolidated!Q22+[5]Consolidated!Q28+[5]Consolidated!Q26+[5]Consolidated!Q32</f>
        <v>10073.718109208938</v>
      </c>
      <c r="N25" s="104">
        <f>+[5]Consolidated!R22+[5]Consolidated!R28+[5]Consolidated!R26+[5]Consolidated!R32</f>
        <v>10352.860498157577</v>
      </c>
      <c r="O25" s="104">
        <f>+[5]Consolidated!S22+[5]Consolidated!S28+[5]Consolidated!S26+[5]Consolidated!S32</f>
        <v>10638.89173160783</v>
      </c>
      <c r="P25" s="104">
        <f>+[5]Consolidated!T22+[5]Consolidated!T28+[5]Consolidated!T26+[5]Consolidated!T32</f>
        <v>10941.964700092849</v>
      </c>
      <c r="Q25" s="104">
        <f>+[5]Consolidated!U22+[5]Consolidated!U28+[5]Consolidated!U26+[5]Consolidated!U32</f>
        <v>11252.85171169545</v>
      </c>
      <c r="R25" s="104">
        <f>+[5]Consolidated!V22+[5]Consolidated!V28+[5]Consolidated!V26+[5]Consolidated!V32</f>
        <v>11571.771559622921</v>
      </c>
      <c r="S25" s="104">
        <f>+[5]Consolidated!W22+[5]Consolidated!W28+[5]Consolidated!W26+[5]Consolidated!W32</f>
        <v>11898.949163292365</v>
      </c>
      <c r="T25" s="104">
        <f>+[5]Consolidated!X22+[5]Consolidated!X28+[5]Consolidated!X26+[5]Consolidated!X32</f>
        <v>12234.615739864552</v>
      </c>
      <c r="U25" s="104">
        <f>+[5]Consolidated!Y22+[5]Consolidated!Y28+[5]Consolidated!Y26+[5]Consolidated!Y32</f>
        <v>12579.008980580758</v>
      </c>
      <c r="V25" s="104">
        <f>+[5]Consolidated!Z22+[5]Consolidated!Z28+[5]Consolidated!Z26+[5]Consolidated!Z32</f>
        <v>12932.37323203702</v>
      </c>
      <c r="W25" s="104">
        <f>+[5]Consolidated!AA22+[5]Consolidated!AA28+[5]Consolidated!AA26+[5]Consolidated!AA32</f>
        <v>13294.959682534056</v>
      </c>
      <c r="X25" s="104">
        <f>+[5]Consolidated!AB22+[5]Consolidated!AB28+[5]Consolidated!AB26+[5]Consolidated!AB32</f>
        <v>13667.02655364501</v>
      </c>
      <c r="Y25" s="104">
        <f>+[5]Consolidated!AC22+[5]Consolidated!AC28+[5]Consolidated!AC26+[5]Consolidated!AC32</f>
        <v>14048.839297147071</v>
      </c>
      <c r="AA25" s="606">
        <f t="shared" si="1"/>
        <v>215352.77906089314</v>
      </c>
      <c r="AB25" s="607">
        <f t="shared" si="2"/>
        <v>107676.38953044657</v>
      </c>
    </row>
    <row r="26" spans="1:28">
      <c r="A26" s="4" t="s">
        <v>18</v>
      </c>
      <c r="D26" s="90"/>
      <c r="E26" s="104">
        <f>+[5]Consolidated!I25+[5]Consolidated!I31</f>
        <v>1874.45</v>
      </c>
      <c r="F26" s="104">
        <f>+[5]Consolidated!J25+[5]Consolidated!J31</f>
        <v>1926.9345999999998</v>
      </c>
      <c r="G26" s="104">
        <f>+[5]Consolidated!K25+[5]Consolidated!K31</f>
        <v>1980.8887688000002</v>
      </c>
      <c r="H26" s="104">
        <f>+[5]Consolidated!L25+[5]Consolidated!L31</f>
        <v>2036.3536543264004</v>
      </c>
      <c r="I26" s="104">
        <f>+[5]Consolidated!M25+[5]Consolidated!M31</f>
        <v>2093.3715566475389</v>
      </c>
      <c r="J26" s="104">
        <f>+[5]Consolidated!N25+[5]Consolidated!N31</f>
        <v>5067.0771679147392</v>
      </c>
      <c r="K26" s="104">
        <f>+[5]Consolidated!O25+[5]Consolidated!O31</f>
        <v>5149.9085448775386</v>
      </c>
      <c r="L26" s="104">
        <f>+[5]Consolidated!P25+[5]Consolidated!P31</f>
        <v>5202.9348065091735</v>
      </c>
      <c r="M26" s="104">
        <f>+[5]Consolidated!Q25+[5]Consolidated!Q31</f>
        <v>5077.4787301134947</v>
      </c>
      <c r="N26" s="104">
        <f>+[5]Consolidated!R25+[5]Consolidated!R31</f>
        <v>5360.2100271482468</v>
      </c>
      <c r="O26" s="104">
        <f>+[5]Consolidated!S25+[5]Consolidated!S31</f>
        <v>5340.8545305512216</v>
      </c>
      <c r="P26" s="104">
        <f>+[5]Consolidated!T25+[5]Consolidated!T31</f>
        <v>5495.1059067360329</v>
      </c>
      <c r="Q26" s="104">
        <f>+[5]Consolidated!U25+[5]Consolidated!U31</f>
        <v>5589.8428204032898</v>
      </c>
      <c r="R26" s="104">
        <f>+[5]Consolidated!V25+[5]Consolidated!V31</f>
        <v>5655.1093065039568</v>
      </c>
      <c r="S26" s="104">
        <f>+[5]Consolidated!W25+[5]Consolidated!W31</f>
        <v>5542.237811198831</v>
      </c>
      <c r="T26" s="104">
        <f>+[5]Consolidated!X25+[5]Consolidated!X31</f>
        <v>5837.9080001038146</v>
      </c>
      <c r="U26" s="104">
        <f>+[5]Consolidated!Y25+[5]Consolidated!Y31</f>
        <v>5566.4593890297801</v>
      </c>
      <c r="V26" s="104">
        <f>+[5]Consolidated!Z25+[5]Consolidated!Z31</f>
        <v>5032.0784030634004</v>
      </c>
      <c r="W26" s="104">
        <f>+[5]Consolidated!AA25+[5]Consolidated!AA31</f>
        <v>5127.8803728659568</v>
      </c>
      <c r="X26" s="104">
        <f>+[5]Consolidated!AB25+[5]Consolidated!AB31</f>
        <v>5214.7139800939749</v>
      </c>
      <c r="Y26" s="104">
        <f>+[5]Consolidated!AC25+[5]Consolidated!AC31</f>
        <v>5240.2661755516529</v>
      </c>
      <c r="AA26" s="606">
        <f t="shared" si="1"/>
        <v>93537.614552439045</v>
      </c>
      <c r="AB26" s="607">
        <f t="shared" si="2"/>
        <v>46768.807276219522</v>
      </c>
    </row>
    <row r="27" spans="1:28">
      <c r="A27" s="4" t="s">
        <v>46</v>
      </c>
      <c r="D27" s="90"/>
      <c r="E27" s="104">
        <f>+[5]Consolidated!I24-[5]Consolidated!I135</f>
        <v>1972</v>
      </c>
      <c r="F27" s="104">
        <f>+[5]Consolidated!J24-[5]Consolidated!J135</f>
        <v>1719</v>
      </c>
      <c r="G27" s="104">
        <f>+[5]Consolidated!K24-[5]Consolidated!K135</f>
        <v>9441</v>
      </c>
      <c r="H27" s="104">
        <f>+[5]Consolidated!L24-[5]Consolidated!L135</f>
        <v>3084.9999999999991</v>
      </c>
      <c r="I27" s="104">
        <f>+[5]Consolidated!M24-[5]Consolidated!M135</f>
        <v>2732.9999999999991</v>
      </c>
      <c r="J27" s="104">
        <f>+[5]Consolidated!N24-[5]Consolidated!N135</f>
        <v>4279.552981315348</v>
      </c>
      <c r="K27" s="104">
        <f>+[5]Consolidated!O24-[5]Consolidated!O135</f>
        <v>3427.5668642177898</v>
      </c>
      <c r="L27" s="104">
        <f>+[5]Consolidated!P24-[5]Consolidated!P135</f>
        <v>1507.2426500115321</v>
      </c>
      <c r="M27" s="104">
        <f>+[5]Consolidated!Q24-[5]Consolidated!Q135</f>
        <v>8146.1430967268225</v>
      </c>
      <c r="N27" s="104">
        <f>+[5]Consolidated!R24-[5]Consolidated!R135</f>
        <v>5393.6492467584194</v>
      </c>
      <c r="O27" s="104">
        <f>+[5]Consolidated!S24-[5]Consolidated!S135</f>
        <v>5014.5841707135833</v>
      </c>
      <c r="P27" s="104">
        <f>+[5]Consolidated!T24-[5]Consolidated!T135</f>
        <v>3932.0957160063135</v>
      </c>
      <c r="Q27" s="104">
        <f>+[5]Consolidated!U24-[5]Consolidated!U135</f>
        <v>3644.0934706714906</v>
      </c>
      <c r="R27" s="104">
        <f>+[5]Consolidated!V24-[5]Consolidated!V135</f>
        <v>1916.2015941980953</v>
      </c>
      <c r="S27" s="104">
        <f>+[5]Consolidated!W24-[5]Consolidated!W135</f>
        <v>12253.825626969641</v>
      </c>
      <c r="T27" s="104">
        <f>+[5]Consolidated!X24-[5]Consolidated!X135</f>
        <v>6877.2298721198249</v>
      </c>
      <c r="U27" s="104">
        <f>+[5]Consolidated!Y24-[5]Consolidated!Y135</f>
        <v>4387.0779518430654</v>
      </c>
      <c r="V27" s="104">
        <f>+[5]Consolidated!Z24-[5]Consolidated!Z135</f>
        <v>6682.3387039861082</v>
      </c>
      <c r="W27" s="104">
        <f>+[5]Consolidated!AA24-[5]Consolidated!AA135</f>
        <v>3329.1293761858665</v>
      </c>
      <c r="X27" s="104">
        <f>+[5]Consolidated!AB24-[5]Consolidated!AB135</f>
        <v>1495.2179489492742</v>
      </c>
      <c r="Y27" s="104">
        <f>+[5]Consolidated!AC24-[5]Consolidated!AC135</f>
        <v>7894.3707906448008</v>
      </c>
      <c r="AA27" s="606">
        <f t="shared" si="1"/>
        <v>97158.32006131798</v>
      </c>
      <c r="AB27" s="607">
        <f t="shared" si="2"/>
        <v>48579.16003065899</v>
      </c>
    </row>
    <row r="28" spans="1:28">
      <c r="A28" s="4" t="s">
        <v>3</v>
      </c>
      <c r="D28" s="90"/>
      <c r="E28" s="104">
        <f>+[5]Consolidated!I33</f>
        <v>816</v>
      </c>
      <c r="F28" s="104">
        <f>+[5]Consolidated!J33</f>
        <v>833.95199999999988</v>
      </c>
      <c r="G28" s="104">
        <f>+[5]Consolidated!K33</f>
        <v>853.96684800000003</v>
      </c>
      <c r="H28" s="104">
        <f>+[5]Consolidated!L33</f>
        <v>874.46205235200023</v>
      </c>
      <c r="I28" s="104">
        <f>+[5]Consolidated!M33</f>
        <v>894.5746795560957</v>
      </c>
      <c r="J28" s="104">
        <f>+[5]Consolidated!N33</f>
        <v>1977.6797333027475</v>
      </c>
      <c r="K28" s="104">
        <f>+[5]Consolidated!O33</f>
        <v>2031.0770861019216</v>
      </c>
      <c r="L28" s="104">
        <f>+[5]Consolidated!P33</f>
        <v>2085.9161674266734</v>
      </c>
      <c r="M28" s="104">
        <f>+[5]Consolidated!Q33</f>
        <v>2142.2359039471935</v>
      </c>
      <c r="N28" s="104">
        <f>+[5]Consolidated!R33</f>
        <v>2200.0762733537672</v>
      </c>
      <c r="O28" s="104">
        <f>+[5]Consolidated!S33</f>
        <v>2259.4783327343189</v>
      </c>
      <c r="P28" s="104">
        <f>+[5]Consolidated!T33</f>
        <v>2322.7437260508796</v>
      </c>
      <c r="Q28" s="104">
        <f>+[5]Consolidated!U33</f>
        <v>2387.7805503803047</v>
      </c>
      <c r="R28" s="104">
        <f>+[5]Consolidated!V33</f>
        <v>2454.6384057909531</v>
      </c>
      <c r="S28" s="104">
        <f>+[5]Consolidated!W33</f>
        <v>2523.3682811530998</v>
      </c>
      <c r="T28" s="104">
        <f>+[5]Consolidated!X33</f>
        <v>2594.0225930253869</v>
      </c>
      <c r="U28" s="104">
        <f>+[5]Consolidated!Y33</f>
        <v>2666.6552256300979</v>
      </c>
      <c r="V28" s="104">
        <f>+[5]Consolidated!Z33</f>
        <v>2741.3215719477407</v>
      </c>
      <c r="W28" s="104">
        <f>+[5]Consolidated!AA33</f>
        <v>2847.0348918608229</v>
      </c>
      <c r="X28" s="104">
        <f>+[5]Consolidated!AB33</f>
        <v>2929.847868832926</v>
      </c>
      <c r="Y28" s="104">
        <f>+[5]Consolidated!AC33</f>
        <v>3013.8596091602481</v>
      </c>
      <c r="AA28" s="606">
        <f t="shared" si="1"/>
        <v>42634.691800607172</v>
      </c>
      <c r="AB28" s="607">
        <f t="shared" si="2"/>
        <v>21317.345900303586</v>
      </c>
    </row>
    <row r="29" spans="1:28">
      <c r="A29" s="4" t="s">
        <v>4</v>
      </c>
      <c r="D29" s="90"/>
      <c r="E29" s="104">
        <f>+[5]Consolidated!I34+[5]Consolidated!I35+[5]Consolidated!I36</f>
        <v>1492.5520000000001</v>
      </c>
      <c r="F29" s="104">
        <f>+[5]Consolidated!J34+[5]Consolidated!J35+[5]Consolidated!J36</f>
        <v>1511.0887767999998</v>
      </c>
      <c r="G29" s="104">
        <f>+[5]Consolidated!K34+[5]Consolidated!K35+[5]Consolidated!K36</f>
        <v>1534.0917305471999</v>
      </c>
      <c r="H29" s="104">
        <f>+[5]Consolidated!L34+[5]Consolidated!L35+[5]Consolidated!L36</f>
        <v>1558.699139447245</v>
      </c>
      <c r="I29" s="104">
        <f>+[5]Consolidated!M34+[5]Consolidated!M35+[5]Consolidated!M36</f>
        <v>1596.5345245968533</v>
      </c>
      <c r="J29" s="104">
        <f>+[5]Consolidated!N34+[5]Consolidated!N35+[5]Consolidated!N36</f>
        <v>1814.5755236171094</v>
      </c>
      <c r="K29" s="104">
        <f>+[5]Consolidated!O34+[5]Consolidated!O35+[5]Consolidated!O36</f>
        <v>1863.569062754771</v>
      </c>
      <c r="L29" s="104">
        <f>+[5]Consolidated!P34+[5]Consolidated!P35+[5]Consolidated!P36</f>
        <v>1913.8854274491498</v>
      </c>
      <c r="M29" s="104">
        <f>+[5]Consolidated!Q34+[5]Consolidated!Q35+[5]Consolidated!Q36</f>
        <v>1965.5603339902766</v>
      </c>
      <c r="N29" s="104">
        <f>+[5]Consolidated!R34+[5]Consolidated!R35+[5]Consolidated!R36</f>
        <v>2018.630463008014</v>
      </c>
      <c r="O29" s="104">
        <f>+[5]Consolidated!S34+[5]Consolidated!S35+[5]Consolidated!S36</f>
        <v>2073.13348550923</v>
      </c>
      <c r="P29" s="104">
        <f>+[5]Consolidated!T34+[5]Consolidated!T35+[5]Consolidated!T36</f>
        <v>2131.1812231034887</v>
      </c>
      <c r="Q29" s="104">
        <f>+[5]Consolidated!U34+[5]Consolidated!U35+[5]Consolidated!U36</f>
        <v>2190.8542973503863</v>
      </c>
      <c r="R29" s="104">
        <f>+[5]Consolidated!V34+[5]Consolidated!V35+[5]Consolidated!V36</f>
        <v>2252.1982176761976</v>
      </c>
      <c r="S29" s="104">
        <f>+[5]Consolidated!W34+[5]Consolidated!W35+[5]Consolidated!W36</f>
        <v>2315.259767771131</v>
      </c>
      <c r="T29" s="104">
        <f>+[5]Consolidated!X34+[5]Consolidated!X35+[5]Consolidated!X36</f>
        <v>2380.0870412687227</v>
      </c>
      <c r="U29" s="104">
        <f>+[5]Consolidated!Y34+[5]Consolidated!Y35+[5]Consolidated!Y36</f>
        <v>2446.7294784242467</v>
      </c>
      <c r="V29" s="104">
        <f>+[5]Consolidated!Z34+[5]Consolidated!Z35+[5]Consolidated!Z36</f>
        <v>2515.2379038201261</v>
      </c>
      <c r="W29" s="104">
        <f>+[5]Consolidated!AA34+[5]Consolidated!AA35+[5]Consolidated!AA36</f>
        <v>2585.6645651270892</v>
      </c>
      <c r="X29" s="104">
        <f>+[5]Consolidated!AB34+[5]Consolidated!AB35+[5]Consolidated!AB36</f>
        <v>2658.0631729506476</v>
      </c>
      <c r="Y29" s="104">
        <f>+[5]Consolidated!AC34+[5]Consolidated!AC35+[5]Consolidated!AC36</f>
        <v>2732.4889417932663</v>
      </c>
      <c r="AA29" s="606">
        <f t="shared" si="1"/>
        <v>42057.533077005151</v>
      </c>
      <c r="AB29" s="607">
        <f t="shared" si="2"/>
        <v>21028.766538502576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+[5]Consolidated!I39</f>
        <v>4028.0374999999995</v>
      </c>
      <c r="F31" s="104">
        <f>+[5]Consolidated!J39</f>
        <v>4107.0884374999987</v>
      </c>
      <c r="G31" s="104">
        <f>+[5]Consolidated!K39</f>
        <v>4188.1156484374978</v>
      </c>
      <c r="H31" s="104">
        <f>+[5]Consolidated!L39</f>
        <v>4271.1685396484372</v>
      </c>
      <c r="I31" s="104">
        <f>+[5]Consolidated!M39</f>
        <v>4356.2977531396464</v>
      </c>
      <c r="J31" s="104">
        <f>+[5]Consolidated!N39</f>
        <v>5214.609986689803</v>
      </c>
      <c r="K31" s="104">
        <f>+[5]Consolidated!O39</f>
        <v>5316.6281235070628</v>
      </c>
      <c r="L31" s="104">
        <f>+[5]Consolidated!P39</f>
        <v>5416.6988611357028</v>
      </c>
      <c r="M31" s="104">
        <f>+[5]Consolidated!Q39</f>
        <v>5514.3045894028273</v>
      </c>
      <c r="N31" s="104">
        <f>+[5]Consolidated!R39</f>
        <v>5608.8769031423535</v>
      </c>
      <c r="O31" s="104">
        <f>+[5]Consolidated!S39</f>
        <v>5699.7925934278719</v>
      </c>
      <c r="P31" s="104">
        <f>+[5]Consolidated!T39</f>
        <v>5795.9793509724295</v>
      </c>
      <c r="Q31" s="104">
        <f>+[5]Consolidated!U39</f>
        <v>5887.4144623912571</v>
      </c>
      <c r="R31" s="104">
        <f>+[5]Consolidated!V39</f>
        <v>5973.2495631507527</v>
      </c>
      <c r="S31" s="104">
        <f>+[5]Consolidated!W39</f>
        <v>6052.5553008445722</v>
      </c>
      <c r="T31" s="104">
        <f>+[5]Consolidated!X39</f>
        <v>6124.3148741092273</v>
      </c>
      <c r="U31" s="104">
        <f>+[5]Consolidated!Y39</f>
        <v>6187.4170989360764</v>
      </c>
      <c r="V31" s="104">
        <f>+[5]Consolidated!Z39</f>
        <v>6240.6489695411565</v>
      </c>
      <c r="W31" s="104">
        <f>+[5]Consolidated!AA39</f>
        <v>6282.6876787488</v>
      </c>
      <c r="X31" s="104">
        <f>+[5]Consolidated!AB39</f>
        <v>6312.0920604948797</v>
      </c>
      <c r="Y31" s="104">
        <f>+[5]Consolidated!AC39</f>
        <v>6327.2934145515155</v>
      </c>
      <c r="AA31" s="606">
        <f t="shared" si="1"/>
        <v>110877.23420977186</v>
      </c>
      <c r="AB31" s="607">
        <f t="shared" si="2"/>
        <v>55438.617104885932</v>
      </c>
    </row>
    <row r="32" spans="1:28">
      <c r="A32" s="4" t="s">
        <v>38</v>
      </c>
      <c r="D32" s="90"/>
      <c r="E32" s="104">
        <f>+[5]Consolidated!I56</f>
        <v>26.367000000000001</v>
      </c>
      <c r="F32" s="104">
        <f>+[5]Consolidated!J56</f>
        <v>39.303330000000003</v>
      </c>
      <c r="G32" s="104">
        <f>+[5]Consolidated!K56</f>
        <v>38.248649999999998</v>
      </c>
      <c r="H32" s="104">
        <f>+[5]Consolidated!L56</f>
        <v>37.19397</v>
      </c>
      <c r="I32" s="104">
        <f>+[5]Consolidated!M56</f>
        <v>36.139290000000003</v>
      </c>
      <c r="J32" s="104">
        <f>+[5]Consolidated!N56</f>
        <v>41.552774999999997</v>
      </c>
      <c r="K32" s="104">
        <f>+[5]Consolidated!O56</f>
        <v>52.907085000000002</v>
      </c>
      <c r="L32" s="104">
        <f>+[5]Consolidated!P56</f>
        <v>50.270384999999997</v>
      </c>
      <c r="M32" s="104">
        <f>+[5]Consolidated!Q56</f>
        <v>54.101850000000006</v>
      </c>
      <c r="N32" s="104">
        <f>+[5]Consolidated!R56</f>
        <v>63.874140000000004</v>
      </c>
      <c r="O32" s="104">
        <f>+[5]Consolidated!S56</f>
        <v>104.932575</v>
      </c>
      <c r="P32" s="104">
        <f>+[5]Consolidated!T56</f>
        <v>0</v>
      </c>
      <c r="Q32" s="104">
        <f>+[5]Consolidated!U56</f>
        <v>0</v>
      </c>
      <c r="R32" s="104">
        <f>+[5]Consolidated!V56</f>
        <v>0</v>
      </c>
      <c r="S32" s="104">
        <f>+[5]Consolidated!W56</f>
        <v>0</v>
      </c>
      <c r="T32" s="104">
        <f>+[5]Consolidated!X56</f>
        <v>0</v>
      </c>
      <c r="U32" s="104">
        <f>+[5]Consolidated!Y56</f>
        <v>0</v>
      </c>
      <c r="V32" s="104">
        <f>+[5]Consolidated!Z56</f>
        <v>0</v>
      </c>
      <c r="W32" s="104">
        <f>+[5]Consolidated!AA56</f>
        <v>0</v>
      </c>
      <c r="X32" s="104">
        <f>+[5]Consolidated!AB56</f>
        <v>0</v>
      </c>
      <c r="Y32" s="104">
        <f>+[5]Consolidated!AC56</f>
        <v>0</v>
      </c>
      <c r="AA32" s="606">
        <f t="shared" si="1"/>
        <v>518.52404999999999</v>
      </c>
      <c r="AB32" s="607">
        <f t="shared" si="2"/>
        <v>259.26202499999999</v>
      </c>
    </row>
    <row r="33" spans="1:28">
      <c r="A33" s="4" t="s">
        <v>19</v>
      </c>
      <c r="D33" s="90"/>
      <c r="E33" s="104">
        <f>+[5]Consolidated!I40</f>
        <v>1530</v>
      </c>
      <c r="F33" s="104">
        <f>+[5]Consolidated!J40</f>
        <v>1563.6599999999999</v>
      </c>
      <c r="G33" s="104">
        <f>+[5]Consolidated!K40</f>
        <v>1601.1878400000001</v>
      </c>
      <c r="H33" s="104">
        <f>+[5]Consolidated!L40</f>
        <v>1639.6163481600001</v>
      </c>
      <c r="I33" s="104">
        <f>+[5]Consolidated!M40</f>
        <v>1677.3275241676802</v>
      </c>
      <c r="J33" s="104">
        <f>+[5]Consolidated!N40</f>
        <v>1814.575523617109</v>
      </c>
      <c r="K33" s="104">
        <f>+[5]Consolidated!O40</f>
        <v>1863.5690627547708</v>
      </c>
      <c r="L33" s="104">
        <f>+[5]Consolidated!P40</f>
        <v>1913.8854274491496</v>
      </c>
      <c r="M33" s="104">
        <f>+[5]Consolidated!Q40</f>
        <v>1965.5603339902764</v>
      </c>
      <c r="N33" s="104">
        <f>+[5]Consolidated!R40</f>
        <v>2018.6304630080137</v>
      </c>
      <c r="O33" s="104">
        <f>+[5]Consolidated!S40</f>
        <v>2073.13348550923</v>
      </c>
      <c r="P33" s="104">
        <f>+[5]Consolidated!T40</f>
        <v>2131.1812231034887</v>
      </c>
      <c r="Q33" s="104">
        <f>+[5]Consolidated!U40</f>
        <v>2190.8542973503863</v>
      </c>
      <c r="R33" s="104">
        <f>+[5]Consolidated!V40</f>
        <v>2252.1982176761971</v>
      </c>
      <c r="S33" s="104">
        <f>+[5]Consolidated!W40</f>
        <v>2315.2597677711306</v>
      </c>
      <c r="T33" s="104">
        <f>+[5]Consolidated!X40</f>
        <v>2380.0870412687223</v>
      </c>
      <c r="U33" s="104">
        <f>+[5]Consolidated!Y40</f>
        <v>2446.7294784242467</v>
      </c>
      <c r="V33" s="104">
        <f>+[5]Consolidated!Z40</f>
        <v>2515.2379038201257</v>
      </c>
      <c r="W33" s="104">
        <f>+[5]Consolidated!AA40</f>
        <v>2585.6645651270892</v>
      </c>
      <c r="X33" s="104">
        <f>+[5]Consolidated!AB40</f>
        <v>2658.0631729506476</v>
      </c>
      <c r="Y33" s="104">
        <f>+[5]Consolidated!AC40</f>
        <v>2732.4889417932659</v>
      </c>
      <c r="AA33" s="606">
        <f t="shared" si="1"/>
        <v>42338.910617941532</v>
      </c>
      <c r="AB33" s="607">
        <f t="shared" si="2"/>
        <v>21169.455308970766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>
        <f>+[5]Consolidated!I30</f>
        <v>1530</v>
      </c>
      <c r="F35" s="107">
        <f>+[5]Consolidated!J30</f>
        <v>1563.6600000000005</v>
      </c>
      <c r="G35" s="107">
        <f>+[5]Consolidated!K30</f>
        <v>1601.1878399999996</v>
      </c>
      <c r="H35" s="107">
        <f>+[5]Consolidated!L30</f>
        <v>1639.6163481600004</v>
      </c>
      <c r="I35" s="107">
        <f>+[5]Consolidated!M30</f>
        <v>1677.3275241676799</v>
      </c>
      <c r="J35" s="107">
        <f>+[5]Consolidated!N30</f>
        <v>1814.575523617109</v>
      </c>
      <c r="K35" s="107">
        <f>+[5]Consolidated!O30</f>
        <v>1863.5690627547708</v>
      </c>
      <c r="L35" s="107">
        <f>+[5]Consolidated!P30</f>
        <v>1913.8854274491496</v>
      </c>
      <c r="M35" s="107">
        <f>+[5]Consolidated!Q30</f>
        <v>1965.5603339902764</v>
      </c>
      <c r="N35" s="107">
        <f>+[5]Consolidated!R30</f>
        <v>2018.6304630080137</v>
      </c>
      <c r="O35" s="107">
        <f>+[5]Consolidated!S30</f>
        <v>2073.13348550923</v>
      </c>
      <c r="P35" s="107">
        <f>+[5]Consolidated!T30</f>
        <v>2131.1812231034887</v>
      </c>
      <c r="Q35" s="107">
        <f>+[5]Consolidated!U30</f>
        <v>2190.8542973503863</v>
      </c>
      <c r="R35" s="107">
        <f>+[5]Consolidated!V30</f>
        <v>2252.1982176761971</v>
      </c>
      <c r="S35" s="107">
        <f>+[5]Consolidated!W30</f>
        <v>2315.2597677711306</v>
      </c>
      <c r="T35" s="107">
        <f>+[5]Consolidated!X30</f>
        <v>2380.0870412687223</v>
      </c>
      <c r="U35" s="107">
        <f>+[5]Consolidated!Y30</f>
        <v>2446.7294784242467</v>
      </c>
      <c r="V35" s="107">
        <f>+[5]Consolidated!Z30</f>
        <v>2515.2379038201257</v>
      </c>
      <c r="W35" s="107">
        <f>+[5]Consolidated!AA30</f>
        <v>2585.6645651270892</v>
      </c>
      <c r="X35" s="107">
        <f>+[5]Consolidated!AB30</f>
        <v>2658.0631729506476</v>
      </c>
      <c r="Y35" s="107">
        <f>+[5]Consolidated!AC30</f>
        <v>2732.4889417932659</v>
      </c>
      <c r="AA35" s="606">
        <f t="shared" si="1"/>
        <v>42338.910617941532</v>
      </c>
      <c r="AB35" s="607">
        <f t="shared" si="2"/>
        <v>21169.455308970766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175873.23653065902</v>
      </c>
      <c r="F36" s="90">
        <f t="shared" si="4"/>
        <v>186780.10636162234</v>
      </c>
      <c r="G36" s="90">
        <f t="shared" si="4"/>
        <v>197186.1462408306</v>
      </c>
      <c r="H36" s="90">
        <f t="shared" si="4"/>
        <v>198835.48523364982</v>
      </c>
      <c r="I36" s="90">
        <f t="shared" si="4"/>
        <v>205793.84798870221</v>
      </c>
      <c r="J36" s="90">
        <f t="shared" si="4"/>
        <v>225715.47246132154</v>
      </c>
      <c r="K36" s="90">
        <f t="shared" si="4"/>
        <v>231266.09884768291</v>
      </c>
      <c r="L36" s="90">
        <f t="shared" si="4"/>
        <v>235266.26088425709</v>
      </c>
      <c r="M36" s="90">
        <f t="shared" si="4"/>
        <v>239894.89917212713</v>
      </c>
      <c r="N36" s="90">
        <f t="shared" si="4"/>
        <v>246129.33244047302</v>
      </c>
      <c r="O36" s="90">
        <f t="shared" si="4"/>
        <v>254858.47223157965</v>
      </c>
      <c r="P36" s="90">
        <f t="shared" si="4"/>
        <v>263294.54516621161</v>
      </c>
      <c r="Q36" s="90">
        <f t="shared" si="4"/>
        <v>270032.48837022675</v>
      </c>
      <c r="R36" s="90">
        <f t="shared" si="4"/>
        <v>276008.10192509368</v>
      </c>
      <c r="S36" s="90">
        <f t="shared" si="4"/>
        <v>230475.79512625487</v>
      </c>
      <c r="T36" s="90">
        <f t="shared" si="4"/>
        <v>232895.91521286507</v>
      </c>
      <c r="U36" s="90">
        <f t="shared" si="4"/>
        <v>239235.96430333241</v>
      </c>
      <c r="V36" s="90">
        <f t="shared" si="4"/>
        <v>247664.98197163708</v>
      </c>
      <c r="W36" s="90">
        <f t="shared" si="4"/>
        <v>250416.78172843019</v>
      </c>
      <c r="X36" s="90">
        <f t="shared" si="4"/>
        <v>254549.01489968531</v>
      </c>
      <c r="Y36" s="90">
        <f t="shared" si="4"/>
        <v>259234.22617613504</v>
      </c>
      <c r="AA36" s="606">
        <f t="shared" si="1"/>
        <v>4745533.9367421176</v>
      </c>
      <c r="AB36" s="607">
        <f t="shared" si="2"/>
        <v>2372766.9683710588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133959.13576675585</v>
      </c>
      <c r="F39" s="93">
        <f t="shared" si="5"/>
        <v>135426.92595154518</v>
      </c>
      <c r="G39" s="93">
        <f t="shared" si="5"/>
        <v>127351.64747883828</v>
      </c>
      <c r="H39" s="93">
        <f t="shared" si="5"/>
        <v>145698.89422376928</v>
      </c>
      <c r="I39" s="93">
        <f t="shared" si="5"/>
        <v>152585.77694972345</v>
      </c>
      <c r="J39" s="93">
        <f t="shared" si="5"/>
        <v>149447.37925284778</v>
      </c>
      <c r="K39" s="93">
        <f t="shared" si="5"/>
        <v>157408.62106778598</v>
      </c>
      <c r="L39" s="93">
        <f t="shared" si="5"/>
        <v>166249.9806796984</v>
      </c>
      <c r="M39" s="93">
        <f t="shared" si="5"/>
        <v>151679.56467895204</v>
      </c>
      <c r="N39" s="93">
        <f t="shared" si="5"/>
        <v>172537.92073609692</v>
      </c>
      <c r="O39" s="93">
        <f t="shared" si="5"/>
        <v>185482.48838589882</v>
      </c>
      <c r="P39" s="93">
        <f t="shared" si="5"/>
        <v>153854.95367736981</v>
      </c>
      <c r="Q39" s="93">
        <f t="shared" si="5"/>
        <v>72504.352581061947</v>
      </c>
      <c r="R39" s="93">
        <f t="shared" si="5"/>
        <v>76176.691370993503</v>
      </c>
      <c r="S39" s="93">
        <f t="shared" si="5"/>
        <v>110145.26202868929</v>
      </c>
      <c r="T39" s="93">
        <f t="shared" si="5"/>
        <v>128028.38618270322</v>
      </c>
      <c r="U39" s="93">
        <f t="shared" si="5"/>
        <v>134491.90414888525</v>
      </c>
      <c r="V39" s="93">
        <f t="shared" si="5"/>
        <v>123116.91761589402</v>
      </c>
      <c r="W39" s="93">
        <f t="shared" si="5"/>
        <v>132351.75661917956</v>
      </c>
      <c r="X39" s="93">
        <f t="shared" si="5"/>
        <v>139039.70277350789</v>
      </c>
      <c r="Y39" s="93">
        <f t="shared" si="5"/>
        <v>121889.69033025726</v>
      </c>
      <c r="AA39" s="606">
        <f>SUM(F39:Y39)</f>
        <v>2735468.8167336979</v>
      </c>
      <c r="AB39" s="607">
        <f t="shared" si="2"/>
        <v>1367734.4083668489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35120</v>
      </c>
      <c r="G41" s="90">
        <f t="shared" si="7"/>
        <v>35120</v>
      </c>
      <c r="H41" s="90">
        <f t="shared" si="7"/>
        <v>35120</v>
      </c>
      <c r="I41" s="90">
        <f t="shared" si="7"/>
        <v>35120</v>
      </c>
      <c r="J41" s="90">
        <f t="shared" si="7"/>
        <v>35120</v>
      </c>
      <c r="K41" s="90">
        <f t="shared" si="7"/>
        <v>35120</v>
      </c>
      <c r="L41" s="90">
        <f t="shared" si="7"/>
        <v>35120</v>
      </c>
      <c r="M41" s="90">
        <f t="shared" si="7"/>
        <v>35120</v>
      </c>
      <c r="N41" s="90">
        <f t="shared" si="7"/>
        <v>35120</v>
      </c>
      <c r="O41" s="90">
        <f t="shared" si="7"/>
        <v>35120</v>
      </c>
      <c r="P41" s="90">
        <f t="shared" si="7"/>
        <v>35120</v>
      </c>
      <c r="Q41" s="90">
        <f t="shared" si="7"/>
        <v>35120</v>
      </c>
      <c r="R41" s="90">
        <f t="shared" si="7"/>
        <v>35120</v>
      </c>
      <c r="S41" s="90">
        <f t="shared" si="7"/>
        <v>35120</v>
      </c>
      <c r="T41" s="90">
        <f t="shared" si="7"/>
        <v>35120</v>
      </c>
      <c r="U41" s="90">
        <f t="shared" si="7"/>
        <v>35120</v>
      </c>
      <c r="V41" s="90">
        <f t="shared" si="7"/>
        <v>35120</v>
      </c>
      <c r="W41" s="90">
        <f t="shared" si="7"/>
        <v>35120</v>
      </c>
      <c r="X41" s="90">
        <f t="shared" si="7"/>
        <v>35120</v>
      </c>
      <c r="Y41" s="90">
        <f t="shared" si="7"/>
        <v>35120</v>
      </c>
      <c r="AA41" s="606">
        <f t="shared" si="6"/>
        <v>702400</v>
      </c>
      <c r="AB41" s="607">
        <f t="shared" si="2"/>
        <v>351200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100306.92595154518</v>
      </c>
      <c r="G44" s="93">
        <f t="shared" si="8"/>
        <v>92231.647478838277</v>
      </c>
      <c r="H44" s="93">
        <f t="shared" si="8"/>
        <v>110578.89422376928</v>
      </c>
      <c r="I44" s="93">
        <f t="shared" si="8"/>
        <v>117465.77694972345</v>
      </c>
      <c r="J44" s="93">
        <f t="shared" si="8"/>
        <v>114327.37925284778</v>
      </c>
      <c r="K44" s="93">
        <f t="shared" si="8"/>
        <v>122288.62106778598</v>
      </c>
      <c r="L44" s="93">
        <f t="shared" si="8"/>
        <v>131129.9806796984</v>
      </c>
      <c r="M44" s="93">
        <f t="shared" si="8"/>
        <v>116559.56467895204</v>
      </c>
      <c r="N44" s="93">
        <f t="shared" si="8"/>
        <v>137417.92073609692</v>
      </c>
      <c r="O44" s="93">
        <f t="shared" si="8"/>
        <v>150362.48838589882</v>
      </c>
      <c r="P44" s="93">
        <f t="shared" si="8"/>
        <v>118734.95367736981</v>
      </c>
      <c r="Q44" s="93">
        <f t="shared" si="8"/>
        <v>37384.352581061947</v>
      </c>
      <c r="R44" s="93">
        <f t="shared" si="8"/>
        <v>41056.691370993503</v>
      </c>
      <c r="S44" s="93">
        <f t="shared" si="8"/>
        <v>75025.262028689292</v>
      </c>
      <c r="T44" s="93">
        <f t="shared" si="8"/>
        <v>92908.386182703223</v>
      </c>
      <c r="U44" s="93">
        <f t="shared" si="8"/>
        <v>99371.904148885253</v>
      </c>
      <c r="V44" s="93">
        <f t="shared" si="8"/>
        <v>87996.917615894024</v>
      </c>
      <c r="W44" s="93">
        <f t="shared" si="8"/>
        <v>97231.756619179563</v>
      </c>
      <c r="X44" s="93">
        <f t="shared" si="8"/>
        <v>103919.70277350789</v>
      </c>
      <c r="Y44" s="93">
        <f t="shared" si="8"/>
        <v>86769.690330257261</v>
      </c>
      <c r="AA44" s="606">
        <f t="shared" si="6"/>
        <v>2033068.8167336981</v>
      </c>
      <c r="AB44" s="607">
        <f t="shared" si="2"/>
        <v>1016534.4083668491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04">
        <f>+[5]Consolidated!J52+[5]Consolidated!J58</f>
        <v>56878.023600000008</v>
      </c>
      <c r="G46" s="104">
        <f>+[5]Consolidated!K52+[5]Consolidated!K58</f>
        <v>54797.8338</v>
      </c>
      <c r="H46" s="104">
        <f>+[5]Consolidated!L52+[5]Consolidated!L58</f>
        <v>51962.703000000001</v>
      </c>
      <c r="I46" s="104">
        <f>+[5]Consolidated!M52+[5]Consolidated!M58</f>
        <v>49039.7454</v>
      </c>
      <c r="J46" s="104">
        <f>+[5]Consolidated!N52+[5]Consolidated!N58</f>
        <v>45245.260975000005</v>
      </c>
      <c r="K46" s="104">
        <f>+[5]Consolidated!O52+[5]Consolidated!O58</f>
        <v>40057.913775000001</v>
      </c>
      <c r="L46" s="104">
        <f>+[5]Consolidated!P52+[5]Consolidated!P58</f>
        <v>33889.205174999996</v>
      </c>
      <c r="M46" s="104">
        <f>+[5]Consolidated!Q52+[5]Consolidated!Q58</f>
        <v>27090.052374999999</v>
      </c>
      <c r="N46" s="104">
        <f>+[5]Consolidated!R52+[5]Consolidated!R58</f>
        <v>20114.721574999996</v>
      </c>
      <c r="O46" s="104">
        <f>+[5]Consolidated!S52+[5]Consolidated!S58</f>
        <v>12234.497975</v>
      </c>
      <c r="P46" s="104">
        <f>+[5]Consolidated!T52+[5]Consolidated!T58</f>
        <v>3955.0499999999997</v>
      </c>
      <c r="Q46" s="104">
        <f>+[5]Consolidated!U52+[5]Consolidated!U58</f>
        <v>0</v>
      </c>
      <c r="R46" s="104">
        <f>+[5]Consolidated!V52+[5]Consolidated!V58</f>
        <v>0</v>
      </c>
      <c r="S46" s="104">
        <f>+[5]Consolidated!W52+[5]Consolidated!W58</f>
        <v>0</v>
      </c>
      <c r="T46" s="104">
        <f>+[5]Consolidated!X52+[5]Consolidated!X58</f>
        <v>0</v>
      </c>
      <c r="U46" s="104">
        <f>+[5]Consolidated!Y52+[5]Consolidated!Y58</f>
        <v>0</v>
      </c>
      <c r="V46" s="104">
        <f>+[5]Consolidated!Z52+[5]Consolidated!Z58</f>
        <v>0</v>
      </c>
      <c r="W46" s="104">
        <f>+[5]Consolidated!AA52+[5]Consolidated!AA58</f>
        <v>0</v>
      </c>
      <c r="X46" s="104">
        <f>+[5]Consolidated!AB52+[5]Consolidated!AB58</f>
        <v>0</v>
      </c>
      <c r="Y46" s="104">
        <f>+[5]Consolidated!AC52+[5]Consolidated!AC58</f>
        <v>0</v>
      </c>
      <c r="AA46" s="606">
        <f t="shared" si="6"/>
        <v>395265.00765000004</v>
      </c>
      <c r="AB46" s="607">
        <f t="shared" si="2"/>
        <v>197632.50382500002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43428.902351545177</v>
      </c>
      <c r="G49" s="93">
        <f t="shared" si="9"/>
        <v>37433.813678838276</v>
      </c>
      <c r="H49" s="93">
        <f t="shared" si="9"/>
        <v>58616.191223769281</v>
      </c>
      <c r="I49" s="93">
        <f t="shared" si="9"/>
        <v>68426.031549723455</v>
      </c>
      <c r="J49" s="93">
        <f t="shared" si="9"/>
        <v>69082.118277847767</v>
      </c>
      <c r="K49" s="93">
        <f t="shared" si="9"/>
        <v>82230.707292785984</v>
      </c>
      <c r="L49" s="93">
        <f t="shared" si="9"/>
        <v>97240.775504698409</v>
      </c>
      <c r="M49" s="93">
        <f t="shared" si="9"/>
        <v>89469.51230395204</v>
      </c>
      <c r="N49" s="93">
        <f t="shared" si="9"/>
        <v>117303.19916109691</v>
      </c>
      <c r="O49" s="93">
        <f t="shared" si="9"/>
        <v>138127.99041089881</v>
      </c>
      <c r="P49" s="93">
        <f t="shared" si="9"/>
        <v>114779.9036773698</v>
      </c>
      <c r="Q49" s="93">
        <f t="shared" si="9"/>
        <v>37384.352581061947</v>
      </c>
      <c r="R49" s="93">
        <f t="shared" si="9"/>
        <v>41056.691370993503</v>
      </c>
      <c r="S49" s="93">
        <f t="shared" si="9"/>
        <v>75025.262028689292</v>
      </c>
      <c r="T49" s="93">
        <f t="shared" si="9"/>
        <v>92908.386182703223</v>
      </c>
      <c r="U49" s="93">
        <f t="shared" si="9"/>
        <v>99371.904148885253</v>
      </c>
      <c r="V49" s="93">
        <f t="shared" si="9"/>
        <v>87996.917615894024</v>
      </c>
      <c r="W49" s="93">
        <f t="shared" si="9"/>
        <v>97231.756619179563</v>
      </c>
      <c r="X49" s="93">
        <f t="shared" si="9"/>
        <v>103919.70277350789</v>
      </c>
      <c r="Y49" s="93">
        <f t="shared" si="9"/>
        <v>86769.690330257261</v>
      </c>
      <c r="AA49" s="606">
        <f t="shared" si="6"/>
        <v>1637803.8090836981</v>
      </c>
      <c r="AB49" s="607">
        <f t="shared" si="2"/>
        <v>818901.90454184904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0.09</v>
      </c>
      <c r="D51" s="90"/>
      <c r="E51" s="90"/>
      <c r="F51" s="90">
        <f t="shared" ref="F51:Y51" si="10">F49*-$C$51</f>
        <v>-3908.6012116390657</v>
      </c>
      <c r="G51" s="55">
        <f t="shared" si="10"/>
        <v>-3369.0432310954448</v>
      </c>
      <c r="H51" s="90">
        <f t="shared" si="10"/>
        <v>-5275.457210139235</v>
      </c>
      <c r="I51" s="90">
        <f t="shared" si="10"/>
        <v>-6158.3428394751108</v>
      </c>
      <c r="J51" s="90">
        <f t="shared" si="10"/>
        <v>-6217.3906450062987</v>
      </c>
      <c r="K51" s="90">
        <f t="shared" si="10"/>
        <v>-7400.7636563507385</v>
      </c>
      <c r="L51" s="90">
        <f t="shared" si="10"/>
        <v>-8751.6697954228566</v>
      </c>
      <c r="M51" s="90">
        <f t="shared" si="10"/>
        <v>-8052.2561073556835</v>
      </c>
      <c r="N51" s="90">
        <f t="shared" si="10"/>
        <v>-10557.287924498722</v>
      </c>
      <c r="O51" s="90">
        <f t="shared" si="10"/>
        <v>-12431.519136980893</v>
      </c>
      <c r="P51" s="90">
        <f t="shared" si="10"/>
        <v>-10330.191330963282</v>
      </c>
      <c r="Q51" s="90">
        <f t="shared" si="10"/>
        <v>-3364.5917322955752</v>
      </c>
      <c r="R51" s="90">
        <f t="shared" si="10"/>
        <v>-3695.102223389415</v>
      </c>
      <c r="S51" s="90">
        <f t="shared" si="10"/>
        <v>-6752.2735825820364</v>
      </c>
      <c r="T51" s="90">
        <f t="shared" si="10"/>
        <v>-8361.7547564432898</v>
      </c>
      <c r="U51" s="90">
        <f t="shared" si="10"/>
        <v>-8943.4713733996723</v>
      </c>
      <c r="V51" s="90">
        <f t="shared" si="10"/>
        <v>-7919.7225854304615</v>
      </c>
      <c r="W51" s="90">
        <f t="shared" si="10"/>
        <v>-8750.8580957261602</v>
      </c>
      <c r="X51" s="90">
        <f t="shared" si="10"/>
        <v>-9352.7732496157096</v>
      </c>
      <c r="Y51" s="90">
        <f t="shared" si="10"/>
        <v>-7809.2721297231528</v>
      </c>
      <c r="AA51" s="606">
        <f t="shared" si="6"/>
        <v>-147402.34281753283</v>
      </c>
      <c r="AB51" s="607">
        <f t="shared" si="2"/>
        <v>-73701.171408766415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-13832.10539896714</v>
      </c>
      <c r="G52" s="89">
        <f t="shared" si="11"/>
        <v>-11922.669656709992</v>
      </c>
      <c r="H52" s="89">
        <f t="shared" si="11"/>
        <v>-18669.256904770515</v>
      </c>
      <c r="I52" s="89">
        <f t="shared" si="11"/>
        <v>-21793.691048586919</v>
      </c>
      <c r="J52" s="89">
        <f t="shared" si="11"/>
        <v>-22002.654671494511</v>
      </c>
      <c r="K52" s="89">
        <f t="shared" si="11"/>
        <v>-26190.480272752335</v>
      </c>
      <c r="L52" s="89">
        <f t="shared" si="11"/>
        <v>-30971.186998246441</v>
      </c>
      <c r="M52" s="89">
        <f t="shared" si="11"/>
        <v>-28496.039668808724</v>
      </c>
      <c r="N52" s="89">
        <f t="shared" si="11"/>
        <v>-37361.068932809365</v>
      </c>
      <c r="O52" s="89">
        <f t="shared" si="11"/>
        <v>-43993.764945871269</v>
      </c>
      <c r="P52" s="89">
        <f t="shared" si="11"/>
        <v>-36557.399321242279</v>
      </c>
      <c r="Q52" s="89">
        <f t="shared" si="11"/>
        <v>-11906.91629706823</v>
      </c>
      <c r="R52" s="89">
        <f t="shared" si="11"/>
        <v>-13076.556201661429</v>
      </c>
      <c r="S52" s="89">
        <f t="shared" si="11"/>
        <v>-23895.545956137536</v>
      </c>
      <c r="T52" s="89">
        <f t="shared" si="11"/>
        <v>-29591.320999190975</v>
      </c>
      <c r="U52" s="89">
        <f t="shared" si="11"/>
        <v>-31649.95147141995</v>
      </c>
      <c r="V52" s="89">
        <f t="shared" si="11"/>
        <v>-28027.018260662247</v>
      </c>
      <c r="W52" s="89">
        <f t="shared" si="11"/>
        <v>-30968.314483208691</v>
      </c>
      <c r="X52" s="89">
        <f t="shared" si="11"/>
        <v>-33098.425333362262</v>
      </c>
      <c r="Y52" s="89">
        <f t="shared" si="11"/>
        <v>-27636.14637018694</v>
      </c>
      <c r="AA52" s="606">
        <f t="shared" si="6"/>
        <v>-521640.51319315773</v>
      </c>
      <c r="AB52" s="607">
        <f t="shared" si="2"/>
        <v>-260820.25659657887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25688.195740938972</v>
      </c>
      <c r="G54" s="93">
        <f t="shared" si="12"/>
        <v>22142.100791032841</v>
      </c>
      <c r="H54" s="93">
        <f t="shared" si="12"/>
        <v>34671.47710885953</v>
      </c>
      <c r="I54" s="93">
        <f t="shared" si="12"/>
        <v>40473.997661661429</v>
      </c>
      <c r="J54" s="93">
        <f t="shared" si="12"/>
        <v>40862.072961346959</v>
      </c>
      <c r="K54" s="93">
        <f t="shared" si="12"/>
        <v>48639.463363682909</v>
      </c>
      <c r="L54" s="93">
        <f t="shared" si="12"/>
        <v>57517.91871102911</v>
      </c>
      <c r="M54" s="93">
        <f t="shared" si="12"/>
        <v>52921.216527787634</v>
      </c>
      <c r="N54" s="93">
        <f t="shared" si="12"/>
        <v>69384.842303788813</v>
      </c>
      <c r="O54" s="93">
        <f t="shared" si="12"/>
        <v>81702.706328046654</v>
      </c>
      <c r="P54" s="93">
        <f t="shared" si="12"/>
        <v>67892.313025164243</v>
      </c>
      <c r="Q54" s="93">
        <f t="shared" si="12"/>
        <v>22112.844551698145</v>
      </c>
      <c r="R54" s="93">
        <f t="shared" si="12"/>
        <v>24285.032945942658</v>
      </c>
      <c r="S54" s="93">
        <f t="shared" si="12"/>
        <v>44377.442489969719</v>
      </c>
      <c r="T54" s="93">
        <f t="shared" si="12"/>
        <v>54955.310427068958</v>
      </c>
      <c r="U54" s="93">
        <f t="shared" si="12"/>
        <v>58778.48130406563</v>
      </c>
      <c r="V54" s="93">
        <f t="shared" si="12"/>
        <v>52050.176769801321</v>
      </c>
      <c r="W54" s="93">
        <f t="shared" si="12"/>
        <v>57512.584040244714</v>
      </c>
      <c r="X54" s="93">
        <f t="shared" si="12"/>
        <v>61468.504190529915</v>
      </c>
      <c r="Y54" s="93">
        <f t="shared" si="12"/>
        <v>51324.271830347177</v>
      </c>
      <c r="AA54" s="606">
        <f t="shared" si="6"/>
        <v>968760.9530730074</v>
      </c>
      <c r="AB54" s="607">
        <f t="shared" si="2"/>
        <v>484380.4765365037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113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135426.92595154518</v>
      </c>
      <c r="G64" s="24">
        <f t="shared" si="14"/>
        <v>127351.64747883828</v>
      </c>
      <c r="H64" s="20">
        <f t="shared" si="14"/>
        <v>145698.89422376928</v>
      </c>
      <c r="I64" s="20">
        <f t="shared" si="14"/>
        <v>152585.77694972345</v>
      </c>
      <c r="J64" s="20">
        <f t="shared" si="14"/>
        <v>149447.37925284778</v>
      </c>
      <c r="K64" s="20">
        <f t="shared" si="14"/>
        <v>157408.62106778598</v>
      </c>
      <c r="L64" s="20">
        <f t="shared" si="14"/>
        <v>166249.9806796984</v>
      </c>
      <c r="M64" s="20">
        <f t="shared" si="14"/>
        <v>151679.56467895204</v>
      </c>
      <c r="N64" s="20">
        <f t="shared" si="14"/>
        <v>172537.92073609692</v>
      </c>
      <c r="O64" s="20">
        <f t="shared" si="14"/>
        <v>185482.48838589882</v>
      </c>
      <c r="P64" s="20">
        <f t="shared" si="14"/>
        <v>153854.95367736981</v>
      </c>
      <c r="Q64" s="20">
        <f t="shared" si="14"/>
        <v>72504.352581061947</v>
      </c>
      <c r="R64" s="20">
        <f t="shared" si="14"/>
        <v>76176.691370993503</v>
      </c>
      <c r="S64" s="20">
        <f t="shared" si="14"/>
        <v>110145.26202868929</v>
      </c>
      <c r="T64" s="20">
        <f t="shared" si="14"/>
        <v>128028.38618270322</v>
      </c>
      <c r="U64" s="20">
        <f t="shared" si="14"/>
        <v>134491.90414888525</v>
      </c>
      <c r="V64" s="20">
        <f t="shared" si="14"/>
        <v>123116.91761589402</v>
      </c>
      <c r="W64" s="20">
        <f t="shared" si="14"/>
        <v>132351.75661917956</v>
      </c>
      <c r="X64" s="20">
        <f t="shared" si="14"/>
        <v>139039.70277350789</v>
      </c>
      <c r="Y64" s="20">
        <f t="shared" si="14"/>
        <v>121889.69033025726</v>
      </c>
      <c r="AA64" s="606">
        <f t="shared" si="6"/>
        <v>2735468.8167336979</v>
      </c>
      <c r="AB64" s="607">
        <f t="shared" si="2"/>
        <v>1367734.4083668489</v>
      </c>
    </row>
    <row r="65" spans="1:28" outlineLevel="1">
      <c r="A65" s="15" t="s">
        <v>32</v>
      </c>
      <c r="D65" s="20"/>
      <c r="E65" s="196"/>
      <c r="F65" s="196">
        <f>+[5]Consolidated!J147</f>
        <v>-106.71428571424622</v>
      </c>
      <c r="G65" s="196">
        <f>+[5]Consolidated!K147</f>
        <v>-106.71428571430442</v>
      </c>
      <c r="H65" s="196">
        <f>+[5]Consolidated!L147</f>
        <v>-106.71428571436263</v>
      </c>
      <c r="I65" s="196">
        <f>+[5]Consolidated!M147</f>
        <v>-106.71428571426077</v>
      </c>
      <c r="J65" s="196">
        <f>+[5]Consolidated!N147</f>
        <v>-100.15476190473419</v>
      </c>
      <c r="K65" s="196">
        <f>+[5]Consolidated!O147</f>
        <v>-100.0000000000291</v>
      </c>
      <c r="L65" s="196">
        <f>+[5]Consolidated!P147</f>
        <v>-100.0000000000291</v>
      </c>
      <c r="M65" s="196">
        <f>+[5]Consolidated!Q147</f>
        <v>-100</v>
      </c>
      <c r="N65" s="196">
        <f>+[5]Consolidated!R147</f>
        <v>-99.999999999970896</v>
      </c>
      <c r="O65" s="196">
        <f>+[5]Consolidated!S147</f>
        <v>-100</v>
      </c>
      <c r="P65" s="196">
        <f>+[5]Consolidated!T147</f>
        <v>-100</v>
      </c>
      <c r="Q65" s="196">
        <f>+[5]Consolidated!U147</f>
        <v>-100</v>
      </c>
      <c r="R65" s="196">
        <f>+[5]Consolidated!V147</f>
        <v>-100</v>
      </c>
      <c r="S65" s="196">
        <f>+[5]Consolidated!W147</f>
        <v>-100</v>
      </c>
      <c r="T65" s="196">
        <f>+[5]Consolidated!X147</f>
        <v>-100</v>
      </c>
      <c r="U65" s="196">
        <f>+[5]Consolidated!Y147</f>
        <v>-100</v>
      </c>
      <c r="V65" s="196">
        <f>+[5]Consolidated!Z147</f>
        <v>-100</v>
      </c>
      <c r="W65" s="196">
        <f>+[5]Consolidated!AA147</f>
        <v>-100</v>
      </c>
      <c r="X65" s="196">
        <f>+[5]Consolidated!AB147</f>
        <v>-100</v>
      </c>
      <c r="Y65" s="196">
        <f>+[5]Consolidated!AC147</f>
        <v>-100</v>
      </c>
      <c r="AA65" s="606">
        <f t="shared" si="6"/>
        <v>-2027.0119047619373</v>
      </c>
      <c r="AB65" s="607">
        <f t="shared" si="2"/>
        <v>-1013.5059523809687</v>
      </c>
    </row>
    <row r="66" spans="1:28" ht="15" outlineLevel="1">
      <c r="A66" s="15" t="s">
        <v>33</v>
      </c>
      <c r="D66" s="100"/>
      <c r="E66" s="222"/>
      <c r="F66" s="222">
        <f>-[5]Consolidated!J52-[5]Consolidated!J58+[5]Consolidated!J153+[5]Consolidated!J154</f>
        <v>-77038.023600000015</v>
      </c>
      <c r="G66" s="222">
        <f>-[5]Consolidated!K52-[5]Consolidated!K58+[5]Consolidated!K153+[5]Consolidated!K154</f>
        <v>-86285.833799999993</v>
      </c>
      <c r="H66" s="222">
        <f>-[5]Consolidated!L52-[5]Consolidated!L58+[5]Consolidated!L153+[5]Consolidated!L154</f>
        <v>-84580.703000000038</v>
      </c>
      <c r="I66" s="222">
        <f>-[5]Consolidated!M52-[5]Consolidated!M58+[5]Consolidated!M153+[5]Consolidated!M154</f>
        <v>-86403.745399999985</v>
      </c>
      <c r="J66" s="222">
        <f>-[5]Consolidated!N52-[5]Consolidated!N58+[5]Consolidated!N153+[5]Consolidated!N154</f>
        <v>-99393.260974999997</v>
      </c>
      <c r="K66" s="222">
        <f>-[5]Consolidated!O52-[5]Consolidated!O58+[5]Consolidated!O153+[5]Consolidated!O154</f>
        <v>-105897.91377499999</v>
      </c>
      <c r="L66" s="222">
        <f>-[5]Consolidated!P52-[5]Consolidated!P58+[5]Consolidated!P153+[5]Consolidated!P154</f>
        <v>-109911.205175</v>
      </c>
      <c r="M66" s="222">
        <f>-[5]Consolidated!Q52-[5]Consolidated!Q58+[5]Consolidated!Q153+[5]Consolidated!Q154</f>
        <v>-100890.052375</v>
      </c>
      <c r="N66" s="222">
        <f>-[5]Consolidated!R52-[5]Consolidated!R58+[5]Consolidated!R153+[5]Consolidated!R154</f>
        <v>-101130.72157499999</v>
      </c>
      <c r="O66" s="222">
        <f>-[5]Consolidated!S52-[5]Consolidated!S58+[5]Consolidated!S153+[5]Consolidated!S154</f>
        <v>-112658.49797500001</v>
      </c>
      <c r="P66" s="222">
        <f>-[5]Consolidated!T52-[5]Consolidated!T58+[5]Consolidated!T153+[5]Consolidated!T154</f>
        <v>-69955.05</v>
      </c>
      <c r="Q66" s="222">
        <f>-[5]Consolidated!U52-[5]Consolidated!U58+[5]Consolidated!U153+[5]Consolidated!U154</f>
        <v>0</v>
      </c>
      <c r="R66" s="222">
        <f>-[5]Consolidated!V52-[5]Consolidated!V58+[5]Consolidated!V153+[5]Consolidated!V154</f>
        <v>0</v>
      </c>
      <c r="S66" s="222">
        <f>-[5]Consolidated!W52-[5]Consolidated!W58+[5]Consolidated!W153+[5]Consolidated!W154</f>
        <v>0</v>
      </c>
      <c r="T66" s="222">
        <f>-[5]Consolidated!X52-[5]Consolidated!X58+[5]Consolidated!X153+[5]Consolidated!X154</f>
        <v>0</v>
      </c>
      <c r="U66" s="222">
        <f>-[5]Consolidated!Y52-[5]Consolidated!Y58+[5]Consolidated!Y153+[5]Consolidated!Y154</f>
        <v>0</v>
      </c>
      <c r="V66" s="222">
        <f>-[5]Consolidated!Z52-[5]Consolidated!Z58+[5]Consolidated!Z153+[5]Consolidated!Z154</f>
        <v>0</v>
      </c>
      <c r="W66" s="222">
        <f>-[5]Consolidated!AA52-[5]Consolidated!AA58+[5]Consolidated!AA153+[5]Consolidated!AA154</f>
        <v>0</v>
      </c>
      <c r="X66" s="222">
        <f>-[5]Consolidated!AB52-[5]Consolidated!AB58+[5]Consolidated!AB153+[5]Consolidated!AB154</f>
        <v>0</v>
      </c>
      <c r="Y66" s="222">
        <f>-[5]Consolidated!AC52-[5]Consolidated!AC58+[5]Consolidated!AC153+[5]Consolidated!AC154</f>
        <v>0</v>
      </c>
      <c r="AA66" s="606">
        <f t="shared" si="6"/>
        <v>-1034145.00765</v>
      </c>
      <c r="AB66" s="607">
        <f t="shared" si="2"/>
        <v>-517072.50382500002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58282.188065830909</v>
      </c>
      <c r="G69" s="95">
        <f t="shared" si="15"/>
        <v>40959.099393123979</v>
      </c>
      <c r="H69" s="95">
        <f t="shared" si="15"/>
        <v>61011.476938054897</v>
      </c>
      <c r="I69" s="95">
        <f t="shared" si="15"/>
        <v>66075.317264009209</v>
      </c>
      <c r="J69" s="95">
        <f t="shared" si="15"/>
        <v>49953.963515943047</v>
      </c>
      <c r="K69" s="95">
        <f t="shared" si="15"/>
        <v>51410.707292785955</v>
      </c>
      <c r="L69" s="95">
        <f t="shared" si="15"/>
        <v>56238.77550469838</v>
      </c>
      <c r="M69" s="95">
        <f t="shared" si="15"/>
        <v>50689.51230395204</v>
      </c>
      <c r="N69" s="95">
        <f t="shared" si="15"/>
        <v>71307.199161096956</v>
      </c>
      <c r="O69" s="95">
        <f t="shared" si="15"/>
        <v>72723.990410898812</v>
      </c>
      <c r="P69" s="95">
        <f t="shared" si="15"/>
        <v>83799.903677369803</v>
      </c>
      <c r="Q69" s="95">
        <f t="shared" si="15"/>
        <v>72404.352581061947</v>
      </c>
      <c r="R69" s="95">
        <f t="shared" si="15"/>
        <v>76076.691370993503</v>
      </c>
      <c r="S69" s="95">
        <f t="shared" si="15"/>
        <v>110045.26202868929</v>
      </c>
      <c r="T69" s="95">
        <f t="shared" si="15"/>
        <v>127928.38618270322</v>
      </c>
      <c r="U69" s="95">
        <f t="shared" si="15"/>
        <v>134391.90414888525</v>
      </c>
      <c r="V69" s="95">
        <f t="shared" si="15"/>
        <v>123016.91761589402</v>
      </c>
      <c r="W69" s="95">
        <f t="shared" si="15"/>
        <v>132251.75661917956</v>
      </c>
      <c r="X69" s="95">
        <f t="shared" si="15"/>
        <v>138939.70277350789</v>
      </c>
      <c r="Y69" s="95">
        <f t="shared" si="15"/>
        <v>121789.69033025726</v>
      </c>
      <c r="AA69" s="606">
        <f t="shared" si="6"/>
        <v>1699296.797178936</v>
      </c>
      <c r="AB69" s="607">
        <f t="shared" si="2"/>
        <v>849648.39858946798</v>
      </c>
    </row>
    <row r="70" spans="1:28" outlineLevel="1">
      <c r="A70" s="14"/>
      <c r="D70" s="92"/>
      <c r="E70" s="223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-10567.521458875997</v>
      </c>
      <c r="G71" s="100">
        <f t="shared" si="16"/>
        <v>11249.206900481962</v>
      </c>
      <c r="H71" s="100">
        <f t="shared" si="16"/>
        <v>-1492.5383054510896</v>
      </c>
      <c r="I71" s="100">
        <f t="shared" si="16"/>
        <v>-9179.727659549244</v>
      </c>
      <c r="J71" s="100">
        <f t="shared" si="16"/>
        <v>-12759.621710839299</v>
      </c>
      <c r="K71" s="100">
        <f t="shared" si="16"/>
        <v>-21111.514684007714</v>
      </c>
      <c r="L71" s="100">
        <f t="shared" si="16"/>
        <v>-28655.03540357895</v>
      </c>
      <c r="M71" s="100">
        <f t="shared" si="16"/>
        <v>-25480.47438607406</v>
      </c>
      <c r="N71" s="100">
        <f t="shared" si="16"/>
        <v>-36850.535467217742</v>
      </c>
      <c r="O71" s="100">
        <f t="shared" si="16"/>
        <v>-45357.462692761823</v>
      </c>
      <c r="P71" s="100">
        <f t="shared" si="16"/>
        <v>-35819.769262115216</v>
      </c>
      <c r="Q71" s="100">
        <f t="shared" si="16"/>
        <v>-4203.6866392734628</v>
      </c>
      <c r="R71" s="100">
        <f t="shared" si="16"/>
        <v>-5703.8370349605038</v>
      </c>
      <c r="S71" s="100">
        <f t="shared" si="16"/>
        <v>-19579.998148629234</v>
      </c>
      <c r="T71" s="100">
        <f t="shared" si="16"/>
        <v>-26885.254365543919</v>
      </c>
      <c r="U71" s="100">
        <f t="shared" si="16"/>
        <v>-42232.77214977445</v>
      </c>
      <c r="V71" s="100">
        <f t="shared" si="16"/>
        <v>-50293.260846092715</v>
      </c>
      <c r="W71" s="100">
        <f t="shared" si="16"/>
        <v>-54065.692578934846</v>
      </c>
      <c r="X71" s="100">
        <f t="shared" si="16"/>
        <v>-56797.718582977963</v>
      </c>
      <c r="Y71" s="100">
        <f t="shared" si="16"/>
        <v>-49791.938499910088</v>
      </c>
      <c r="AA71" s="606">
        <f t="shared" si="6"/>
        <v>-525579.15297608636</v>
      </c>
      <c r="AB71" s="607">
        <f t="shared" si="2"/>
        <v>-262789.57648804318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47714.66660695491</v>
      </c>
      <c r="G73" s="28">
        <f t="shared" si="17"/>
        <v>52208.306293605943</v>
      </c>
      <c r="H73" s="28">
        <f t="shared" si="17"/>
        <v>59518.938632603807</v>
      </c>
      <c r="I73" s="28">
        <f t="shared" si="17"/>
        <v>56895.589604459965</v>
      </c>
      <c r="J73" s="28">
        <f t="shared" si="17"/>
        <v>37194.341805103744</v>
      </c>
      <c r="K73" s="28">
        <f t="shared" si="17"/>
        <v>30299.192608778241</v>
      </c>
      <c r="L73" s="28">
        <f t="shared" si="17"/>
        <v>27583.740101119431</v>
      </c>
      <c r="M73" s="28">
        <f t="shared" si="17"/>
        <v>25209.03791787798</v>
      </c>
      <c r="N73" s="28">
        <f t="shared" si="17"/>
        <v>34456.663693879214</v>
      </c>
      <c r="O73" s="28">
        <f t="shared" si="17"/>
        <v>27366.527718136989</v>
      </c>
      <c r="P73" s="28">
        <f t="shared" si="17"/>
        <v>47980.134415254586</v>
      </c>
      <c r="Q73" s="28">
        <f t="shared" si="17"/>
        <v>68200.66594178848</v>
      </c>
      <c r="R73" s="28">
        <f t="shared" si="17"/>
        <v>70372.854336032993</v>
      </c>
      <c r="S73" s="28">
        <f t="shared" si="17"/>
        <v>90465.263880060054</v>
      </c>
      <c r="T73" s="28">
        <f t="shared" si="17"/>
        <v>101043.1318171593</v>
      </c>
      <c r="U73" s="28">
        <f t="shared" si="17"/>
        <v>92159.131999110803</v>
      </c>
      <c r="V73" s="28">
        <f t="shared" si="17"/>
        <v>72723.65676980131</v>
      </c>
      <c r="W73" s="28">
        <f t="shared" si="17"/>
        <v>78186.064040244717</v>
      </c>
      <c r="X73" s="28">
        <f t="shared" si="17"/>
        <v>82141.984190529925</v>
      </c>
      <c r="Y73" s="28">
        <f t="shared" si="17"/>
        <v>71997.751830347173</v>
      </c>
      <c r="AA73" s="606">
        <f t="shared" si="6"/>
        <v>1173717.6442028494</v>
      </c>
      <c r="AB73" s="607">
        <f t="shared" si="2"/>
        <v>586858.82210142468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/>
      <c r="F76" s="28">
        <f t="shared" ref="F76:Y76" si="19">$C$76*F54</f>
        <v>12844.097870469486</v>
      </c>
      <c r="G76" s="95">
        <f t="shared" si="19"/>
        <v>11071.05039551642</v>
      </c>
      <c r="H76" s="28">
        <f t="shared" si="19"/>
        <v>17335.738554429765</v>
      </c>
      <c r="I76" s="28">
        <f t="shared" si="19"/>
        <v>20236.998830830715</v>
      </c>
      <c r="J76" s="28">
        <f t="shared" si="19"/>
        <v>20431.03648067348</v>
      </c>
      <c r="K76" s="28">
        <f t="shared" si="19"/>
        <v>24319.731681841455</v>
      </c>
      <c r="L76" s="28">
        <f t="shared" si="19"/>
        <v>28758.959355514555</v>
      </c>
      <c r="M76" s="28">
        <f t="shared" si="19"/>
        <v>26460.608263893817</v>
      </c>
      <c r="N76" s="28">
        <f t="shared" si="19"/>
        <v>34692.421151894407</v>
      </c>
      <c r="O76" s="28">
        <f t="shared" si="19"/>
        <v>40851.353164023327</v>
      </c>
      <c r="P76" s="28">
        <f t="shared" si="19"/>
        <v>33946.156512582122</v>
      </c>
      <c r="Q76" s="28">
        <f t="shared" si="19"/>
        <v>11056.422275849072</v>
      </c>
      <c r="R76" s="28">
        <f t="shared" si="19"/>
        <v>12142.516472971329</v>
      </c>
      <c r="S76" s="28">
        <f t="shared" si="19"/>
        <v>22188.721244984859</v>
      </c>
      <c r="T76" s="28">
        <f t="shared" si="19"/>
        <v>27477.655213534479</v>
      </c>
      <c r="U76" s="28">
        <f t="shared" si="19"/>
        <v>29389.240652032815</v>
      </c>
      <c r="V76" s="28">
        <f t="shared" si="19"/>
        <v>26025.08838490066</v>
      </c>
      <c r="W76" s="28">
        <f t="shared" si="19"/>
        <v>28756.292020122357</v>
      </c>
      <c r="X76" s="28">
        <f t="shared" si="19"/>
        <v>30734.252095264957</v>
      </c>
      <c r="Y76" s="28">
        <f t="shared" si="19"/>
        <v>25662.135915173589</v>
      </c>
      <c r="AA76" s="606">
        <f t="shared" si="6"/>
        <v>484380.4765365037</v>
      </c>
      <c r="AB76" s="607">
        <f>AA76</f>
        <v>484380.4765365037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/>
      <c r="F77" s="28">
        <f t="shared" ref="F77:Y77" si="20">$C$77*F73</f>
        <v>23857.333303477455</v>
      </c>
      <c r="G77" s="95">
        <f t="shared" si="20"/>
        <v>26104.153146802972</v>
      </c>
      <c r="H77" s="28">
        <f t="shared" si="20"/>
        <v>29759.469316301904</v>
      </c>
      <c r="I77" s="28">
        <f t="shared" si="20"/>
        <v>28447.794802229982</v>
      </c>
      <c r="J77" s="28">
        <f t="shared" si="20"/>
        <v>18597.170902551872</v>
      </c>
      <c r="K77" s="28">
        <f t="shared" si="20"/>
        <v>15149.596304389121</v>
      </c>
      <c r="L77" s="28">
        <f t="shared" si="20"/>
        <v>13791.870050559715</v>
      </c>
      <c r="M77" s="28">
        <f t="shared" si="20"/>
        <v>12604.51895893899</v>
      </c>
      <c r="N77" s="28">
        <f t="shared" si="20"/>
        <v>17228.331846939607</v>
      </c>
      <c r="O77" s="28">
        <f t="shared" si="20"/>
        <v>13683.263859068495</v>
      </c>
      <c r="P77" s="28">
        <f t="shared" si="20"/>
        <v>23990.067207627293</v>
      </c>
      <c r="Q77" s="28">
        <f t="shared" si="20"/>
        <v>34100.33297089424</v>
      </c>
      <c r="R77" s="28">
        <f t="shared" si="20"/>
        <v>35186.427168016497</v>
      </c>
      <c r="S77" s="28">
        <f t="shared" si="20"/>
        <v>45232.631940030027</v>
      </c>
      <c r="T77" s="28">
        <f t="shared" si="20"/>
        <v>50521.565908579651</v>
      </c>
      <c r="U77" s="28">
        <f t="shared" si="20"/>
        <v>46079.565999555402</v>
      </c>
      <c r="V77" s="28">
        <f t="shared" si="20"/>
        <v>36361.828384900655</v>
      </c>
      <c r="W77" s="28">
        <f t="shared" si="20"/>
        <v>39093.032020122359</v>
      </c>
      <c r="X77" s="28">
        <f t="shared" si="20"/>
        <v>41070.992095264963</v>
      </c>
      <c r="Y77" s="28">
        <f t="shared" si="20"/>
        <v>35998.875915173587</v>
      </c>
      <c r="AA77" s="606">
        <f t="shared" si="6"/>
        <v>586858.82210142468</v>
      </c>
      <c r="AB77" s="607">
        <f>AA77</f>
        <v>586858.82210142468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 t="shared" ref="E86:Y86" si="21">E62</f>
        <v>2000</v>
      </c>
      <c r="F86" s="109">
        <f t="shared" si="21"/>
        <v>2001</v>
      </c>
      <c r="G86" s="109">
        <f t="shared" si="21"/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 t="shared" ref="F88:Y88" si="22">F69</f>
        <v>58282.188065830909</v>
      </c>
      <c r="G88" s="200">
        <f t="shared" si="22"/>
        <v>40959.099393123979</v>
      </c>
      <c r="H88" s="200">
        <f t="shared" si="22"/>
        <v>61011.476938054897</v>
      </c>
      <c r="I88" s="200">
        <f t="shared" si="22"/>
        <v>66075.317264009209</v>
      </c>
      <c r="J88" s="200">
        <f t="shared" si="22"/>
        <v>49953.963515943047</v>
      </c>
      <c r="K88" s="200">
        <f t="shared" si="22"/>
        <v>51410.707292785955</v>
      </c>
      <c r="L88" s="200">
        <f t="shared" si="22"/>
        <v>56238.77550469838</v>
      </c>
      <c r="M88" s="200">
        <f t="shared" si="22"/>
        <v>50689.51230395204</v>
      </c>
      <c r="N88" s="200">
        <f t="shared" si="22"/>
        <v>71307.199161096956</v>
      </c>
      <c r="O88" s="200">
        <f t="shared" si="22"/>
        <v>72723.990410898812</v>
      </c>
      <c r="P88" s="200">
        <f t="shared" si="22"/>
        <v>83799.903677369803</v>
      </c>
      <c r="Q88" s="200">
        <f t="shared" si="22"/>
        <v>72404.352581061947</v>
      </c>
      <c r="R88" s="200">
        <f t="shared" si="22"/>
        <v>76076.691370993503</v>
      </c>
      <c r="S88" s="200">
        <f t="shared" si="22"/>
        <v>110045.26202868929</v>
      </c>
      <c r="T88" s="200">
        <f t="shared" si="22"/>
        <v>127928.38618270322</v>
      </c>
      <c r="U88" s="200">
        <f t="shared" si="22"/>
        <v>134391.90414888525</v>
      </c>
      <c r="V88" s="200">
        <f t="shared" si="22"/>
        <v>123016.91761589402</v>
      </c>
      <c r="W88" s="200">
        <f t="shared" si="22"/>
        <v>132251.75661917956</v>
      </c>
      <c r="X88" s="200">
        <f t="shared" si="22"/>
        <v>138939.70277350789</v>
      </c>
      <c r="Y88" s="200">
        <f t="shared" si="22"/>
        <v>121789.69033025726</v>
      </c>
      <c r="AA88" s="606">
        <f t="shared" si="6"/>
        <v>1699296.797178936</v>
      </c>
      <c r="AB88" s="607">
        <f t="shared" si="18"/>
        <v>849648.39858946798</v>
      </c>
    </row>
    <row r="89" spans="1:28" s="199" customFormat="1">
      <c r="A89" s="199" t="s">
        <v>53</v>
      </c>
      <c r="F89" s="110">
        <f t="shared" ref="F89:Y89" si="23">F125+F126</f>
        <v>-10567.521458875997</v>
      </c>
      <c r="G89" s="110">
        <f t="shared" si="23"/>
        <v>11249.206900481962</v>
      </c>
      <c r="H89" s="110">
        <f t="shared" si="23"/>
        <v>-1492.5383054510896</v>
      </c>
      <c r="I89" s="110">
        <f t="shared" si="23"/>
        <v>-9179.727659549244</v>
      </c>
      <c r="J89" s="110">
        <f t="shared" si="23"/>
        <v>-12759.621710839299</v>
      </c>
      <c r="K89" s="110">
        <f t="shared" si="23"/>
        <v>-21111.514684007714</v>
      </c>
      <c r="L89" s="110">
        <f t="shared" si="23"/>
        <v>-28655.03540357895</v>
      </c>
      <c r="M89" s="110">
        <f t="shared" si="23"/>
        <v>-25480.47438607406</v>
      </c>
      <c r="N89" s="110">
        <f t="shared" si="23"/>
        <v>-36850.535467217742</v>
      </c>
      <c r="O89" s="110">
        <f t="shared" si="23"/>
        <v>-45357.462692761823</v>
      </c>
      <c r="P89" s="110">
        <f t="shared" si="23"/>
        <v>-35819.769262115216</v>
      </c>
      <c r="Q89" s="110">
        <f t="shared" si="23"/>
        <v>-4203.6866392734628</v>
      </c>
      <c r="R89" s="110">
        <f t="shared" si="23"/>
        <v>-5703.8370349605038</v>
      </c>
      <c r="S89" s="110">
        <f t="shared" si="23"/>
        <v>-19579.998148629234</v>
      </c>
      <c r="T89" s="110">
        <f t="shared" si="23"/>
        <v>-26885.254365543919</v>
      </c>
      <c r="U89" s="110">
        <f t="shared" si="23"/>
        <v>-42232.77214977445</v>
      </c>
      <c r="V89" s="110">
        <f t="shared" si="23"/>
        <v>-50293.260846092715</v>
      </c>
      <c r="W89" s="110">
        <f t="shared" si="23"/>
        <v>-54065.692578934846</v>
      </c>
      <c r="X89" s="110">
        <f t="shared" si="23"/>
        <v>-56797.718582977963</v>
      </c>
      <c r="Y89" s="110">
        <f t="shared" si="23"/>
        <v>-49791.938499910088</v>
      </c>
      <c r="AA89" s="606">
        <f t="shared" si="6"/>
        <v>-525579.15297608636</v>
      </c>
      <c r="AB89" s="607">
        <f t="shared" si="18"/>
        <v>-262789.57648804318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304724.22582564317</v>
      </c>
      <c r="AA90" s="606">
        <f t="shared" si="6"/>
        <v>304724.22582564317</v>
      </c>
      <c r="AB90" s="607">
        <f t="shared" si="18"/>
        <v>152362.11291282158</v>
      </c>
    </row>
    <row r="91" spans="1:28" s="199" customFormat="1">
      <c r="A91" s="199" t="s">
        <v>55</v>
      </c>
      <c r="E91" s="148">
        <v>-531782.59495336388</v>
      </c>
      <c r="F91" s="200">
        <f t="shared" ref="F91:Y91" si="24">F88+F89+F90</f>
        <v>47714.66660695491</v>
      </c>
      <c r="G91" s="200">
        <f t="shared" si="24"/>
        <v>52208.306293605943</v>
      </c>
      <c r="H91" s="200">
        <f t="shared" si="24"/>
        <v>59518.938632603807</v>
      </c>
      <c r="I91" s="200">
        <f t="shared" si="24"/>
        <v>56895.589604459965</v>
      </c>
      <c r="J91" s="200">
        <f t="shared" si="24"/>
        <v>37194.341805103744</v>
      </c>
      <c r="K91" s="200">
        <f t="shared" si="24"/>
        <v>30299.192608778241</v>
      </c>
      <c r="L91" s="200">
        <f t="shared" si="24"/>
        <v>27583.740101119431</v>
      </c>
      <c r="M91" s="200">
        <f t="shared" si="24"/>
        <v>25209.03791787798</v>
      </c>
      <c r="N91" s="200">
        <f t="shared" si="24"/>
        <v>34456.663693879214</v>
      </c>
      <c r="O91" s="200">
        <f t="shared" si="24"/>
        <v>27366.527718136989</v>
      </c>
      <c r="P91" s="200">
        <f t="shared" si="24"/>
        <v>47980.134415254586</v>
      </c>
      <c r="Q91" s="200">
        <f t="shared" si="24"/>
        <v>68200.66594178848</v>
      </c>
      <c r="R91" s="200">
        <f t="shared" si="24"/>
        <v>70372.854336032993</v>
      </c>
      <c r="S91" s="200">
        <f t="shared" si="24"/>
        <v>90465.263880060054</v>
      </c>
      <c r="T91" s="200">
        <f t="shared" si="24"/>
        <v>101043.1318171593</v>
      </c>
      <c r="U91" s="200">
        <f t="shared" si="24"/>
        <v>92159.131999110803</v>
      </c>
      <c r="V91" s="200">
        <f t="shared" si="24"/>
        <v>72723.65676980131</v>
      </c>
      <c r="W91" s="200">
        <f t="shared" si="24"/>
        <v>78186.064040244717</v>
      </c>
      <c r="X91" s="200">
        <f t="shared" si="24"/>
        <v>82141.984190529925</v>
      </c>
      <c r="Y91" s="200">
        <f t="shared" si="24"/>
        <v>376721.97765599034</v>
      </c>
      <c r="AA91" s="606">
        <f t="shared" si="6"/>
        <v>1478441.8700284925</v>
      </c>
      <c r="AB91" s="607">
        <f t="shared" si="18"/>
        <v>739220.93501424626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-1.6020457132146992E-10</v>
      </c>
      <c r="R94" s="204"/>
      <c r="U94" s="205" t="s">
        <v>58</v>
      </c>
      <c r="V94" s="206"/>
      <c r="W94" s="206"/>
      <c r="X94" s="206"/>
      <c r="Y94" s="207">
        <f>Y39</f>
        <v>121889.69033025726</v>
      </c>
      <c r="AA94" s="606">
        <f t="shared" si="6"/>
        <v>121889.69033025726</v>
      </c>
      <c r="AB94" s="607">
        <f t="shared" si="18"/>
        <v>60944.84516512863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18"/>
        <v>0.25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60944.84516512863</v>
      </c>
      <c r="AA96" s="606">
        <f t="shared" si="6"/>
        <v>60944.84516512863</v>
      </c>
      <c r="AB96" s="607">
        <f t="shared" si="18"/>
        <v>30472.422582564315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304724.22582564317</v>
      </c>
      <c r="AA98" s="606">
        <f t="shared" si="6"/>
        <v>304724.22582564317</v>
      </c>
      <c r="AB98" s="607">
        <f t="shared" si="18"/>
        <v>152362.11291282158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151">
        <f>+[5]Consolidated!$I$98+[5]Consolidated!$I$99+[5]Consolidated!$I$109+[5]Consolidated!$I$110</f>
        <v>638880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531782.59495336388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24">
        <f>D100+D101</f>
        <v>1170662.5949533638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25">
        <f>D102*D103</f>
        <v>1053596.3354580274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 t="shared" ref="G106:Y106" si="26">F106+1</f>
        <v>2002</v>
      </c>
      <c r="H106" s="109">
        <f t="shared" si="26"/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1053596.3354580274</v>
      </c>
      <c r="F108" s="203">
        <f>ROUND(D108/$B$108,0)</f>
        <v>35120</v>
      </c>
      <c r="G108" s="203">
        <f t="shared" ref="G108:Y109" si="27">F108</f>
        <v>35120</v>
      </c>
      <c r="H108" s="203">
        <f t="shared" si="27"/>
        <v>35120</v>
      </c>
      <c r="I108" s="203">
        <f t="shared" si="27"/>
        <v>35120</v>
      </c>
      <c r="J108" s="203">
        <f t="shared" si="27"/>
        <v>35120</v>
      </c>
      <c r="K108" s="203">
        <f t="shared" si="27"/>
        <v>35120</v>
      </c>
      <c r="L108" s="203">
        <f t="shared" si="27"/>
        <v>35120</v>
      </c>
      <c r="M108" s="203">
        <f t="shared" si="27"/>
        <v>35120</v>
      </c>
      <c r="N108" s="203">
        <f t="shared" si="27"/>
        <v>35120</v>
      </c>
      <c r="O108" s="203">
        <f t="shared" si="27"/>
        <v>35120</v>
      </c>
      <c r="P108" s="203">
        <f t="shared" si="27"/>
        <v>35120</v>
      </c>
      <c r="Q108" s="203">
        <f t="shared" si="27"/>
        <v>35120</v>
      </c>
      <c r="R108" s="203">
        <f t="shared" si="27"/>
        <v>35120</v>
      </c>
      <c r="S108" s="203">
        <f t="shared" si="27"/>
        <v>35120</v>
      </c>
      <c r="T108" s="203">
        <f t="shared" si="27"/>
        <v>35120</v>
      </c>
      <c r="U108" s="203">
        <f t="shared" si="27"/>
        <v>35120</v>
      </c>
      <c r="V108" s="203">
        <f t="shared" si="27"/>
        <v>35120</v>
      </c>
      <c r="W108" s="203">
        <f t="shared" si="27"/>
        <v>35120</v>
      </c>
      <c r="X108" s="203">
        <f t="shared" si="27"/>
        <v>35120</v>
      </c>
      <c r="Y108" s="203">
        <f t="shared" si="27"/>
        <v>35120</v>
      </c>
      <c r="AA108" s="606">
        <f t="shared" si="25"/>
        <v>702400</v>
      </c>
      <c r="AB108" s="607">
        <f t="shared" si="18"/>
        <v>351200</v>
      </c>
    </row>
    <row r="109" spans="1:28" s="199" customFormat="1">
      <c r="A109" s="199" t="s">
        <v>571</v>
      </c>
      <c r="D109" s="214">
        <f>D103*'FPLE_Valuation Summary'!V23</f>
        <v>38940.045535913319</v>
      </c>
      <c r="F109" s="203">
        <f>ROUND(D109/$B$108,0)</f>
        <v>1298</v>
      </c>
      <c r="G109" s="203">
        <f t="shared" si="27"/>
        <v>1298</v>
      </c>
      <c r="H109" s="203">
        <f t="shared" si="27"/>
        <v>1298</v>
      </c>
      <c r="I109" s="203">
        <f t="shared" si="27"/>
        <v>1298</v>
      </c>
      <c r="J109" s="203">
        <f t="shared" si="27"/>
        <v>1298</v>
      </c>
      <c r="K109" s="203">
        <f t="shared" si="27"/>
        <v>1298</v>
      </c>
      <c r="L109" s="203">
        <f t="shared" si="27"/>
        <v>1298</v>
      </c>
      <c r="M109" s="203">
        <f t="shared" si="27"/>
        <v>1298</v>
      </c>
      <c r="N109" s="203">
        <f t="shared" si="27"/>
        <v>1298</v>
      </c>
      <c r="O109" s="203">
        <f t="shared" si="27"/>
        <v>1298</v>
      </c>
      <c r="P109" s="203">
        <f t="shared" si="27"/>
        <v>1298</v>
      </c>
      <c r="Q109" s="203">
        <f t="shared" si="27"/>
        <v>1298</v>
      </c>
      <c r="R109" s="203">
        <f t="shared" si="27"/>
        <v>1298</v>
      </c>
      <c r="S109" s="203">
        <f t="shared" si="27"/>
        <v>1298</v>
      </c>
      <c r="T109" s="203">
        <f t="shared" si="27"/>
        <v>1298</v>
      </c>
      <c r="U109" s="203">
        <f t="shared" si="27"/>
        <v>1298</v>
      </c>
      <c r="V109" s="203">
        <f t="shared" si="27"/>
        <v>1298</v>
      </c>
      <c r="W109" s="203">
        <f t="shared" si="27"/>
        <v>1298</v>
      </c>
      <c r="X109" s="203">
        <f t="shared" si="27"/>
        <v>1298</v>
      </c>
      <c r="Y109" s="203">
        <f t="shared" si="27"/>
        <v>1298</v>
      </c>
      <c r="AA109" s="606">
        <f t="shared" si="25"/>
        <v>25960</v>
      </c>
      <c r="AB109" s="607">
        <f t="shared" si="18"/>
        <v>12980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1053596.3354580274</v>
      </c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110</v>
      </c>
      <c r="E113" s="215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216"/>
      <c r="AA113" s="606">
        <f t="shared" si="25"/>
        <v>1.0000000000000002</v>
      </c>
      <c r="AB113" s="607">
        <f t="shared" si="18"/>
        <v>0.50000000000000011</v>
      </c>
    </row>
    <row r="114" spans="1:28" s="199" customFormat="1">
      <c r="A114" s="199" t="s">
        <v>132</v>
      </c>
      <c r="F114" s="203">
        <f>$D$112*F113</f>
        <v>52679.816772901373</v>
      </c>
      <c r="G114" s="203">
        <f t="shared" ref="G114:Y114" si="28">$D$112*G113</f>
        <v>100091.65186851261</v>
      </c>
      <c r="H114" s="203">
        <f t="shared" si="28"/>
        <v>90082.48668166135</v>
      </c>
      <c r="I114" s="203">
        <f t="shared" si="28"/>
        <v>81074.238013495196</v>
      </c>
      <c r="J114" s="203">
        <f t="shared" si="28"/>
        <v>72966.814212145691</v>
      </c>
      <c r="K114" s="203">
        <f t="shared" si="28"/>
        <v>65670.132790931108</v>
      </c>
      <c r="L114" s="203">
        <f t="shared" si="28"/>
        <v>62213.810012461057</v>
      </c>
      <c r="M114" s="203">
        <f t="shared" si="28"/>
        <v>62213.810012461057</v>
      </c>
      <c r="N114" s="203">
        <f t="shared" si="28"/>
        <v>62213.810012461057</v>
      </c>
      <c r="O114" s="203">
        <f t="shared" si="28"/>
        <v>62213.810012461057</v>
      </c>
      <c r="P114" s="203">
        <f t="shared" si="28"/>
        <v>62213.810012461057</v>
      </c>
      <c r="Q114" s="203">
        <f t="shared" si="28"/>
        <v>62213.810012461057</v>
      </c>
      <c r="R114" s="203">
        <f t="shared" si="28"/>
        <v>62213.810012461057</v>
      </c>
      <c r="S114" s="203">
        <f t="shared" si="28"/>
        <v>62213.810012461057</v>
      </c>
      <c r="T114" s="203">
        <f t="shared" si="28"/>
        <v>62213.810012461057</v>
      </c>
      <c r="U114" s="203">
        <f t="shared" si="28"/>
        <v>31106.905006230529</v>
      </c>
      <c r="V114" s="203">
        <f t="shared" si="28"/>
        <v>0</v>
      </c>
      <c r="W114" s="203">
        <f t="shared" si="28"/>
        <v>0</v>
      </c>
      <c r="X114" s="203">
        <f t="shared" si="28"/>
        <v>0</v>
      </c>
      <c r="Y114" s="203">
        <f t="shared" si="28"/>
        <v>0</v>
      </c>
      <c r="AA114" s="606">
        <f t="shared" si="25"/>
        <v>1053596.3354580272</v>
      </c>
      <c r="AB114" s="607">
        <f t="shared" si="18"/>
        <v>526798.1677290136</v>
      </c>
    </row>
    <row r="115" spans="1:28" s="199" customFormat="1">
      <c r="A115" s="199" t="s">
        <v>571</v>
      </c>
      <c r="D115" s="214">
        <f>D109</f>
        <v>38940.045535913319</v>
      </c>
      <c r="E115" s="221"/>
      <c r="F115" s="255">
        <f>$D$115*F113</f>
        <v>1947.0022767956661</v>
      </c>
      <c r="G115" s="255">
        <f t="shared" ref="G115:Y115" si="29">$D$115*G113</f>
        <v>3699.3043259117653</v>
      </c>
      <c r="H115" s="255">
        <f t="shared" si="29"/>
        <v>3329.3738933205891</v>
      </c>
      <c r="I115" s="255">
        <f t="shared" si="29"/>
        <v>2996.4365039885297</v>
      </c>
      <c r="J115" s="255">
        <f t="shared" si="29"/>
        <v>2696.7928535896767</v>
      </c>
      <c r="K115" s="255">
        <f t="shared" si="29"/>
        <v>2427.113568230709</v>
      </c>
      <c r="L115" s="255">
        <f t="shared" si="29"/>
        <v>2299.3707488501454</v>
      </c>
      <c r="M115" s="255">
        <f t="shared" si="29"/>
        <v>2299.3707488501454</v>
      </c>
      <c r="N115" s="255">
        <f t="shared" si="29"/>
        <v>2299.3707488501454</v>
      </c>
      <c r="O115" s="255">
        <f t="shared" si="29"/>
        <v>2299.3707488501454</v>
      </c>
      <c r="P115" s="255">
        <f t="shared" si="29"/>
        <v>2299.3707488501454</v>
      </c>
      <c r="Q115" s="255">
        <f t="shared" si="29"/>
        <v>2299.3707488501454</v>
      </c>
      <c r="R115" s="255">
        <f t="shared" si="29"/>
        <v>2299.3707488501454</v>
      </c>
      <c r="S115" s="255">
        <f t="shared" si="29"/>
        <v>2299.3707488501454</v>
      </c>
      <c r="T115" s="255">
        <f t="shared" si="29"/>
        <v>2299.3707488501454</v>
      </c>
      <c r="U115" s="255">
        <f t="shared" si="29"/>
        <v>1149.6853744250727</v>
      </c>
      <c r="V115" s="255">
        <f t="shared" si="29"/>
        <v>0</v>
      </c>
      <c r="W115" s="255">
        <f t="shared" si="29"/>
        <v>0</v>
      </c>
      <c r="X115" s="255">
        <f t="shared" si="29"/>
        <v>0</v>
      </c>
      <c r="Y115" s="255">
        <f t="shared" si="29"/>
        <v>0</v>
      </c>
      <c r="AA115" s="606">
        <f t="shared" si="25"/>
        <v>38940.045535913319</v>
      </c>
      <c r="AB115" s="607">
        <f t="shared" si="18"/>
        <v>19470.02276795666</v>
      </c>
    </row>
    <row r="116" spans="1:28" s="199" customFormat="1"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06"/>
      <c r="W116" s="206"/>
      <c r="X116" s="206"/>
      <c r="Y116" s="206"/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 t="shared" ref="F118:Y118" si="30">F106</f>
        <v>2001</v>
      </c>
      <c r="G118" s="109">
        <f t="shared" si="30"/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 t="shared" ref="F120:Y120" si="31">F39</f>
        <v>135426.92595154518</v>
      </c>
      <c r="G120" s="203">
        <f t="shared" si="31"/>
        <v>127351.64747883828</v>
      </c>
      <c r="H120" s="203">
        <f t="shared" si="31"/>
        <v>145698.89422376928</v>
      </c>
      <c r="I120" s="203">
        <f t="shared" si="31"/>
        <v>152585.77694972345</v>
      </c>
      <c r="J120" s="203">
        <f t="shared" si="31"/>
        <v>149447.37925284778</v>
      </c>
      <c r="K120" s="203">
        <f t="shared" si="31"/>
        <v>157408.62106778598</v>
      </c>
      <c r="L120" s="203">
        <f t="shared" si="31"/>
        <v>166249.9806796984</v>
      </c>
      <c r="M120" s="203">
        <f t="shared" si="31"/>
        <v>151679.56467895204</v>
      </c>
      <c r="N120" s="203">
        <f t="shared" si="31"/>
        <v>172537.92073609692</v>
      </c>
      <c r="O120" s="203">
        <f t="shared" si="31"/>
        <v>185482.48838589882</v>
      </c>
      <c r="P120" s="203">
        <f t="shared" si="31"/>
        <v>153854.95367736981</v>
      </c>
      <c r="Q120" s="203">
        <f t="shared" si="31"/>
        <v>72504.352581061947</v>
      </c>
      <c r="R120" s="203">
        <f t="shared" si="31"/>
        <v>76176.691370993503</v>
      </c>
      <c r="S120" s="203">
        <f t="shared" si="31"/>
        <v>110145.26202868929</v>
      </c>
      <c r="T120" s="203">
        <f t="shared" si="31"/>
        <v>128028.38618270322</v>
      </c>
      <c r="U120" s="203">
        <f t="shared" si="31"/>
        <v>134491.90414888525</v>
      </c>
      <c r="V120" s="203">
        <f t="shared" si="31"/>
        <v>123116.91761589402</v>
      </c>
      <c r="W120" s="203">
        <f t="shared" si="31"/>
        <v>132351.75661917956</v>
      </c>
      <c r="X120" s="203">
        <f t="shared" si="31"/>
        <v>139039.70277350789</v>
      </c>
      <c r="Y120" s="203">
        <f t="shared" si="31"/>
        <v>121889.69033025726</v>
      </c>
      <c r="AA120" s="606">
        <f t="shared" si="25"/>
        <v>2735468.8167336979</v>
      </c>
      <c r="AB120" s="607">
        <f t="shared" si="18"/>
        <v>1367734.4083668489</v>
      </c>
    </row>
    <row r="121" spans="1:28" s="199" customFormat="1">
      <c r="A121" s="199" t="s">
        <v>74</v>
      </c>
      <c r="F121" s="203">
        <f>-F114</f>
        <v>-52679.816772901373</v>
      </c>
      <c r="G121" s="203">
        <f t="shared" ref="G121:Y121" si="32">-G114</f>
        <v>-100091.65186851261</v>
      </c>
      <c r="H121" s="203">
        <f t="shared" si="32"/>
        <v>-90082.48668166135</v>
      </c>
      <c r="I121" s="203">
        <f t="shared" si="32"/>
        <v>-81074.238013495196</v>
      </c>
      <c r="J121" s="203">
        <f t="shared" si="32"/>
        <v>-72966.814212145691</v>
      </c>
      <c r="K121" s="203">
        <f t="shared" si="32"/>
        <v>-65670.132790931108</v>
      </c>
      <c r="L121" s="203">
        <f t="shared" si="32"/>
        <v>-62213.810012461057</v>
      </c>
      <c r="M121" s="203">
        <f t="shared" si="32"/>
        <v>-62213.810012461057</v>
      </c>
      <c r="N121" s="203">
        <f t="shared" si="32"/>
        <v>-62213.810012461057</v>
      </c>
      <c r="O121" s="203">
        <f t="shared" si="32"/>
        <v>-62213.810012461057</v>
      </c>
      <c r="P121" s="203">
        <f t="shared" si="32"/>
        <v>-62213.810012461057</v>
      </c>
      <c r="Q121" s="203">
        <f t="shared" si="32"/>
        <v>-62213.810012461057</v>
      </c>
      <c r="R121" s="203">
        <f t="shared" si="32"/>
        <v>-62213.810012461057</v>
      </c>
      <c r="S121" s="203">
        <f t="shared" si="32"/>
        <v>-62213.810012461057</v>
      </c>
      <c r="T121" s="203">
        <f t="shared" si="32"/>
        <v>-62213.810012461057</v>
      </c>
      <c r="U121" s="203">
        <f t="shared" si="32"/>
        <v>-31106.905006230529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5"/>
        <v>-1053596.3354580272</v>
      </c>
      <c r="AB121" s="607">
        <f t="shared" si="18"/>
        <v>-526798.1677290136</v>
      </c>
    </row>
    <row r="122" spans="1:28" s="199" customFormat="1">
      <c r="A122" s="199" t="s">
        <v>75</v>
      </c>
      <c r="F122" s="218">
        <f t="shared" ref="F122:Y122" si="33">-F46</f>
        <v>-56878.023600000008</v>
      </c>
      <c r="G122" s="218">
        <f t="shared" si="33"/>
        <v>-54797.8338</v>
      </c>
      <c r="H122" s="218">
        <f t="shared" si="33"/>
        <v>-51962.703000000001</v>
      </c>
      <c r="I122" s="218">
        <f t="shared" si="33"/>
        <v>-49039.7454</v>
      </c>
      <c r="J122" s="218">
        <f t="shared" si="33"/>
        <v>-45245.260975000005</v>
      </c>
      <c r="K122" s="218">
        <f t="shared" si="33"/>
        <v>-40057.913775000001</v>
      </c>
      <c r="L122" s="218">
        <f t="shared" si="33"/>
        <v>-33889.205174999996</v>
      </c>
      <c r="M122" s="218">
        <f t="shared" si="33"/>
        <v>-27090.052374999999</v>
      </c>
      <c r="N122" s="218">
        <f t="shared" si="33"/>
        <v>-20114.721574999996</v>
      </c>
      <c r="O122" s="218">
        <f t="shared" si="33"/>
        <v>-12234.497975</v>
      </c>
      <c r="P122" s="218">
        <f t="shared" si="33"/>
        <v>-3955.0499999999997</v>
      </c>
      <c r="Q122" s="218">
        <f t="shared" si="33"/>
        <v>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-395265.00765000004</v>
      </c>
      <c r="AB122" s="607">
        <f t="shared" si="18"/>
        <v>-197632.50382500002</v>
      </c>
    </row>
    <row r="123" spans="1:28" s="199" customFormat="1">
      <c r="A123" s="199" t="s">
        <v>76</v>
      </c>
      <c r="F123" s="203">
        <f t="shared" ref="F123:Y123" si="34">SUM(F120:F122)</f>
        <v>25869.085578643811</v>
      </c>
      <c r="G123" s="203">
        <f t="shared" si="34"/>
        <v>-27537.83818967433</v>
      </c>
      <c r="H123" s="203">
        <f t="shared" si="34"/>
        <v>3653.704542107931</v>
      </c>
      <c r="I123" s="203">
        <f t="shared" si="34"/>
        <v>22471.793536228259</v>
      </c>
      <c r="J123" s="203">
        <f t="shared" si="34"/>
        <v>31235.304065702083</v>
      </c>
      <c r="K123" s="203">
        <f t="shared" si="34"/>
        <v>51680.57450185487</v>
      </c>
      <c r="L123" s="203">
        <f t="shared" si="34"/>
        <v>70146.965492237345</v>
      </c>
      <c r="M123" s="203">
        <f t="shared" si="34"/>
        <v>62375.702291490976</v>
      </c>
      <c r="N123" s="203">
        <f t="shared" si="34"/>
        <v>90209.389148635848</v>
      </c>
      <c r="O123" s="203">
        <f t="shared" si="34"/>
        <v>111034.18039843775</v>
      </c>
      <c r="P123" s="203">
        <f t="shared" si="34"/>
        <v>87686.093664908738</v>
      </c>
      <c r="Q123" s="203">
        <f t="shared" si="34"/>
        <v>10290.542568600889</v>
      </c>
      <c r="R123" s="203">
        <f t="shared" si="34"/>
        <v>13962.881358532446</v>
      </c>
      <c r="S123" s="203">
        <f t="shared" si="34"/>
        <v>47931.452016228235</v>
      </c>
      <c r="T123" s="203">
        <f t="shared" si="34"/>
        <v>65814.576170242159</v>
      </c>
      <c r="U123" s="203">
        <f t="shared" si="34"/>
        <v>103384.99914265472</v>
      </c>
      <c r="V123" s="203">
        <f t="shared" si="34"/>
        <v>123116.91761589402</v>
      </c>
      <c r="W123" s="203">
        <f t="shared" si="34"/>
        <v>132351.75661917956</v>
      </c>
      <c r="X123" s="203">
        <f t="shared" si="34"/>
        <v>139039.70277350789</v>
      </c>
      <c r="Y123" s="203">
        <f t="shared" si="34"/>
        <v>121889.69033025726</v>
      </c>
      <c r="AA123" s="606">
        <f t="shared" si="25"/>
        <v>1286607.4736256704</v>
      </c>
      <c r="AB123" s="607">
        <f t="shared" si="18"/>
        <v>643303.73681283521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0.09</v>
      </c>
      <c r="F125" s="203">
        <f t="shared" ref="F125:Y125" si="35">-F123*$C$125</f>
        <v>-2328.2177020779432</v>
      </c>
      <c r="G125" s="203">
        <f t="shared" si="35"/>
        <v>2478.4054370706895</v>
      </c>
      <c r="H125" s="203">
        <f t="shared" si="35"/>
        <v>-328.83340878971376</v>
      </c>
      <c r="I125" s="203">
        <f t="shared" si="35"/>
        <v>-2022.4614182605433</v>
      </c>
      <c r="J125" s="203">
        <f t="shared" si="35"/>
        <v>-2811.1773659131873</v>
      </c>
      <c r="K125" s="203">
        <f t="shared" si="35"/>
        <v>-4651.2517051669383</v>
      </c>
      <c r="L125" s="203">
        <f t="shared" si="35"/>
        <v>-6313.2268943013605</v>
      </c>
      <c r="M125" s="203">
        <f t="shared" si="35"/>
        <v>-5613.8132062341874</v>
      </c>
      <c r="N125" s="203">
        <f t="shared" si="35"/>
        <v>-8118.8450233772264</v>
      </c>
      <c r="O125" s="203">
        <f t="shared" si="35"/>
        <v>-9993.0762358593965</v>
      </c>
      <c r="P125" s="203">
        <f t="shared" si="35"/>
        <v>-7891.7484298417858</v>
      </c>
      <c r="Q125" s="203">
        <f t="shared" si="35"/>
        <v>-926.14883117407999</v>
      </c>
      <c r="R125" s="203">
        <f t="shared" si="35"/>
        <v>-1256.6593222679201</v>
      </c>
      <c r="S125" s="203">
        <f t="shared" si="35"/>
        <v>-4313.8306814605412</v>
      </c>
      <c r="T125" s="203">
        <f t="shared" si="35"/>
        <v>-5923.3118553217937</v>
      </c>
      <c r="U125" s="203">
        <f t="shared" si="35"/>
        <v>-9304.6499228389239</v>
      </c>
      <c r="V125" s="203">
        <f t="shared" si="35"/>
        <v>-11080.522585430463</v>
      </c>
      <c r="W125" s="203">
        <f t="shared" si="35"/>
        <v>-11911.658095726159</v>
      </c>
      <c r="X125" s="203">
        <f t="shared" si="35"/>
        <v>-12513.573249615709</v>
      </c>
      <c r="Y125" s="203">
        <f t="shared" si="35"/>
        <v>-10970.072129723154</v>
      </c>
      <c r="AA125" s="606">
        <f t="shared" si="25"/>
        <v>-115794.67262631033</v>
      </c>
      <c r="AB125" s="607">
        <f t="shared" si="18"/>
        <v>-57897.336313155167</v>
      </c>
    </row>
    <row r="126" spans="1:28" s="199" customFormat="1">
      <c r="A126" s="199" t="s">
        <v>77</v>
      </c>
      <c r="C126" s="219">
        <f>C52</f>
        <v>0.35</v>
      </c>
      <c r="F126" s="203">
        <f t="shared" ref="F126:Y126" si="36">-(F123+F125)*$C$126</f>
        <v>-8239.3037567980537</v>
      </c>
      <c r="G126" s="203">
        <f t="shared" si="36"/>
        <v>8770.8014634112733</v>
      </c>
      <c r="H126" s="203">
        <f t="shared" si="36"/>
        <v>-1163.7048966613759</v>
      </c>
      <c r="I126" s="203">
        <f t="shared" si="36"/>
        <v>-7157.2662412887003</v>
      </c>
      <c r="J126" s="203">
        <f t="shared" si="36"/>
        <v>-9948.4443449261125</v>
      </c>
      <c r="K126" s="203">
        <f t="shared" si="36"/>
        <v>-16460.262978840776</v>
      </c>
      <c r="L126" s="203">
        <f t="shared" si="36"/>
        <v>-22341.808509277591</v>
      </c>
      <c r="M126" s="203">
        <f t="shared" si="36"/>
        <v>-19866.661179839874</v>
      </c>
      <c r="N126" s="203">
        <f t="shared" si="36"/>
        <v>-28731.690443840514</v>
      </c>
      <c r="O126" s="203">
        <f t="shared" si="36"/>
        <v>-35364.386456902423</v>
      </c>
      <c r="P126" s="203">
        <f t="shared" si="36"/>
        <v>-27928.020832273432</v>
      </c>
      <c r="Q126" s="203">
        <f t="shared" si="36"/>
        <v>-3277.5378080993833</v>
      </c>
      <c r="R126" s="203">
        <f t="shared" si="36"/>
        <v>-4447.1777126925836</v>
      </c>
      <c r="S126" s="203">
        <f t="shared" si="36"/>
        <v>-15266.167467168692</v>
      </c>
      <c r="T126" s="203">
        <f t="shared" si="36"/>
        <v>-20961.942510222125</v>
      </c>
      <c r="U126" s="203">
        <f t="shared" si="36"/>
        <v>-32928.122226935528</v>
      </c>
      <c r="V126" s="203">
        <f t="shared" si="36"/>
        <v>-39212.738260662249</v>
      </c>
      <c r="W126" s="203">
        <f t="shared" si="36"/>
        <v>-42154.034483208685</v>
      </c>
      <c r="X126" s="203">
        <f t="shared" si="36"/>
        <v>-44284.145333362256</v>
      </c>
      <c r="Y126" s="203">
        <f t="shared" si="36"/>
        <v>-38821.866370186937</v>
      </c>
      <c r="AA126" s="606">
        <f t="shared" si="25"/>
        <v>-409784.4803497761</v>
      </c>
      <c r="AB126" s="607">
        <f t="shared" si="18"/>
        <v>-204892.24017488805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 t="shared" ref="F134:Y134" si="37">F118</f>
        <v>2001</v>
      </c>
      <c r="G134" s="109">
        <f t="shared" si="37"/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 t="shared" ref="F137:Y137" si="39">SUM(F33:F35)</f>
        <v>3127.3200000000006</v>
      </c>
      <c r="G137" s="218">
        <f t="shared" si="39"/>
        <v>3202.3756799999996</v>
      </c>
      <c r="H137" s="218">
        <f t="shared" si="39"/>
        <v>3279.2326963200003</v>
      </c>
      <c r="I137" s="218">
        <f t="shared" si="39"/>
        <v>3354.6550483353603</v>
      </c>
      <c r="J137" s="218">
        <f t="shared" si="39"/>
        <v>3629.1510472342179</v>
      </c>
      <c r="K137" s="218">
        <f t="shared" si="39"/>
        <v>3727.1381255095416</v>
      </c>
      <c r="L137" s="218">
        <f t="shared" si="39"/>
        <v>3827.7708548982991</v>
      </c>
      <c r="M137" s="218">
        <f t="shared" si="39"/>
        <v>3931.1206679805528</v>
      </c>
      <c r="N137" s="218">
        <f t="shared" si="39"/>
        <v>4037.2609260160275</v>
      </c>
      <c r="O137" s="218">
        <f t="shared" si="39"/>
        <v>4146.26697101846</v>
      </c>
      <c r="P137" s="218">
        <f t="shared" si="39"/>
        <v>4262.3624462069774</v>
      </c>
      <c r="Q137" s="218">
        <f t="shared" si="39"/>
        <v>4381.7085947007727</v>
      </c>
      <c r="R137" s="218">
        <f t="shared" si="39"/>
        <v>4504.3964353523943</v>
      </c>
      <c r="S137" s="218">
        <f t="shared" si="39"/>
        <v>4630.5195355422611</v>
      </c>
      <c r="T137" s="218">
        <f t="shared" si="39"/>
        <v>4760.1740825374445</v>
      </c>
      <c r="U137" s="218">
        <f t="shared" si="39"/>
        <v>4893.4589568484935</v>
      </c>
      <c r="V137" s="218">
        <f t="shared" si="39"/>
        <v>5030.4758076402513</v>
      </c>
      <c r="W137" s="218">
        <f t="shared" si="39"/>
        <v>5171.3291302541784</v>
      </c>
      <c r="X137" s="218">
        <f t="shared" si="39"/>
        <v>5316.1263459012953</v>
      </c>
      <c r="Y137" s="218">
        <f t="shared" si="39"/>
        <v>5464.9778835865318</v>
      </c>
      <c r="AA137" s="606">
        <f t="shared" si="25"/>
        <v>84677.821235883064</v>
      </c>
      <c r="AB137" s="607">
        <f t="shared" si="38"/>
        <v>84677.821235883064</v>
      </c>
    </row>
    <row r="138" spans="1:28" s="199" customFormat="1">
      <c r="A138" s="199" t="s">
        <v>79</v>
      </c>
      <c r="F138" s="203">
        <f t="shared" ref="F138:Y138" si="40">F136+F137</f>
        <v>3127.3200000000006</v>
      </c>
      <c r="G138" s="203">
        <f t="shared" si="40"/>
        <v>3202.3756799999996</v>
      </c>
      <c r="H138" s="203">
        <f t="shared" si="40"/>
        <v>3279.2326963200003</v>
      </c>
      <c r="I138" s="203">
        <f t="shared" si="40"/>
        <v>3354.6550483353603</v>
      </c>
      <c r="J138" s="203">
        <f t="shared" si="40"/>
        <v>3629.1510472342179</v>
      </c>
      <c r="K138" s="203">
        <f t="shared" si="40"/>
        <v>3727.1381255095416</v>
      </c>
      <c r="L138" s="203">
        <f t="shared" si="40"/>
        <v>3827.7708548982991</v>
      </c>
      <c r="M138" s="203">
        <f t="shared" si="40"/>
        <v>3931.1206679805528</v>
      </c>
      <c r="N138" s="203">
        <f t="shared" si="40"/>
        <v>4037.2609260160275</v>
      </c>
      <c r="O138" s="203">
        <f t="shared" si="40"/>
        <v>4146.26697101846</v>
      </c>
      <c r="P138" s="203">
        <f t="shared" si="40"/>
        <v>4262.3624462069774</v>
      </c>
      <c r="Q138" s="203">
        <f t="shared" si="40"/>
        <v>4381.7085947007727</v>
      </c>
      <c r="R138" s="203">
        <f t="shared" si="40"/>
        <v>4504.3964353523943</v>
      </c>
      <c r="S138" s="203">
        <f t="shared" si="40"/>
        <v>4630.5195355422611</v>
      </c>
      <c r="T138" s="203">
        <f t="shared" si="40"/>
        <v>4760.1740825374445</v>
      </c>
      <c r="U138" s="203">
        <f t="shared" si="40"/>
        <v>4893.4589568484935</v>
      </c>
      <c r="V138" s="203">
        <f t="shared" si="40"/>
        <v>5030.4758076402513</v>
      </c>
      <c r="W138" s="203">
        <f t="shared" si="40"/>
        <v>5171.3291302541784</v>
      </c>
      <c r="X138" s="203">
        <f t="shared" si="40"/>
        <v>5316.1263459012953</v>
      </c>
      <c r="Y138" s="203">
        <f t="shared" si="40"/>
        <v>5464.9778835865318</v>
      </c>
      <c r="AA138" s="606">
        <f t="shared" si="25"/>
        <v>84677.821235883064</v>
      </c>
      <c r="AB138" s="607">
        <f t="shared" si="38"/>
        <v>84677.821235883064</v>
      </c>
    </row>
    <row r="139" spans="1:28" s="199" customFormat="1">
      <c r="A139" s="199" t="s">
        <v>80</v>
      </c>
      <c r="C139" s="219">
        <f>C125</f>
        <v>0.09</v>
      </c>
      <c r="F139" s="203">
        <f t="shared" ref="F139:Y139" si="41">F138*$C$139</f>
        <v>281.45880000000005</v>
      </c>
      <c r="G139" s="203">
        <f t="shared" si="41"/>
        <v>288.21381119999995</v>
      </c>
      <c r="H139" s="203">
        <f t="shared" si="41"/>
        <v>295.1309426688</v>
      </c>
      <c r="I139" s="203">
        <f t="shared" si="41"/>
        <v>301.91895435018245</v>
      </c>
      <c r="J139" s="203">
        <f t="shared" si="41"/>
        <v>326.62359425107962</v>
      </c>
      <c r="K139" s="203">
        <f t="shared" si="41"/>
        <v>335.44243129585874</v>
      </c>
      <c r="L139" s="203">
        <f t="shared" si="41"/>
        <v>344.4993769408469</v>
      </c>
      <c r="M139" s="203">
        <f t="shared" si="41"/>
        <v>353.80086011824972</v>
      </c>
      <c r="N139" s="203">
        <f t="shared" si="41"/>
        <v>363.35348334144248</v>
      </c>
      <c r="O139" s="203">
        <f t="shared" si="41"/>
        <v>373.16402739166136</v>
      </c>
      <c r="P139" s="203">
        <f t="shared" si="41"/>
        <v>383.61262015862798</v>
      </c>
      <c r="Q139" s="203">
        <f t="shared" si="41"/>
        <v>394.35377352306955</v>
      </c>
      <c r="R139" s="203">
        <f t="shared" si="41"/>
        <v>405.39567918171548</v>
      </c>
      <c r="S139" s="203">
        <f t="shared" si="41"/>
        <v>416.74675819880349</v>
      </c>
      <c r="T139" s="203">
        <f t="shared" si="41"/>
        <v>428.41566742837</v>
      </c>
      <c r="U139" s="203">
        <f t="shared" si="41"/>
        <v>440.41130611636441</v>
      </c>
      <c r="V139" s="203">
        <f t="shared" si="41"/>
        <v>452.74282268762261</v>
      </c>
      <c r="W139" s="203">
        <f t="shared" si="41"/>
        <v>465.41962172287606</v>
      </c>
      <c r="X139" s="203">
        <f t="shared" si="41"/>
        <v>478.45137113111656</v>
      </c>
      <c r="Y139" s="203">
        <f t="shared" si="41"/>
        <v>491.84800952278783</v>
      </c>
      <c r="AA139" s="606">
        <f t="shared" si="25"/>
        <v>7621.0039112294753</v>
      </c>
      <c r="AB139" s="607">
        <f t="shared" si="38"/>
        <v>7621.0039112294753</v>
      </c>
    </row>
    <row r="140" spans="1:28" s="199" customFormat="1">
      <c r="A140" s="199" t="s">
        <v>81</v>
      </c>
      <c r="C140" s="219">
        <f>C126</f>
        <v>0.35</v>
      </c>
      <c r="F140" s="218">
        <f t="shared" ref="F140:Y140" si="42">(F138-F139)*$C$140</f>
        <v>996.05142000000023</v>
      </c>
      <c r="G140" s="218">
        <f t="shared" si="42"/>
        <v>1019.9566540799999</v>
      </c>
      <c r="H140" s="218">
        <f t="shared" si="42"/>
        <v>1044.43561377792</v>
      </c>
      <c r="I140" s="218">
        <f t="shared" si="42"/>
        <v>1068.4576328948121</v>
      </c>
      <c r="J140" s="218">
        <f t="shared" si="42"/>
        <v>1155.8846085440982</v>
      </c>
      <c r="K140" s="218">
        <f t="shared" si="42"/>
        <v>1187.0934929747889</v>
      </c>
      <c r="L140" s="218">
        <f t="shared" si="42"/>
        <v>1219.1450172851082</v>
      </c>
      <c r="M140" s="218">
        <f t="shared" si="42"/>
        <v>1252.0619327518061</v>
      </c>
      <c r="N140" s="218">
        <f t="shared" si="42"/>
        <v>1285.8676049361047</v>
      </c>
      <c r="O140" s="218">
        <f t="shared" si="42"/>
        <v>1320.5860302693795</v>
      </c>
      <c r="P140" s="218">
        <f t="shared" si="42"/>
        <v>1357.5624391169222</v>
      </c>
      <c r="Q140" s="218">
        <f t="shared" si="42"/>
        <v>1395.5741874121961</v>
      </c>
      <c r="R140" s="218">
        <f t="shared" si="42"/>
        <v>1434.6502646597376</v>
      </c>
      <c r="S140" s="218">
        <f t="shared" si="42"/>
        <v>1474.8204720702101</v>
      </c>
      <c r="T140" s="218">
        <f t="shared" si="42"/>
        <v>1516.1154452881758</v>
      </c>
      <c r="U140" s="218">
        <f t="shared" si="42"/>
        <v>1558.5666777562451</v>
      </c>
      <c r="V140" s="218">
        <f t="shared" si="42"/>
        <v>1602.2065447334198</v>
      </c>
      <c r="W140" s="218">
        <f t="shared" si="42"/>
        <v>1647.0683279859556</v>
      </c>
      <c r="X140" s="218">
        <f t="shared" si="42"/>
        <v>1693.1862411695624</v>
      </c>
      <c r="Y140" s="218">
        <f t="shared" si="42"/>
        <v>1740.5954559223103</v>
      </c>
      <c r="AA140" s="606">
        <f t="shared" si="25"/>
        <v>26969.886063628754</v>
      </c>
      <c r="AB140" s="607">
        <f t="shared" si="38"/>
        <v>26969.886063628754</v>
      </c>
    </row>
    <row r="141" spans="1:28" s="199" customFormat="1">
      <c r="A141" s="199" t="s">
        <v>82</v>
      </c>
      <c r="F141" s="203">
        <f t="shared" ref="F141:Y141" si="43">F138-F139-F140</f>
        <v>1849.8097800000005</v>
      </c>
      <c r="G141" s="203">
        <f t="shared" si="43"/>
        <v>1894.20521472</v>
      </c>
      <c r="H141" s="203">
        <f t="shared" si="43"/>
        <v>1939.6661398732804</v>
      </c>
      <c r="I141" s="203">
        <f t="shared" si="43"/>
        <v>1984.2784610903657</v>
      </c>
      <c r="J141" s="203">
        <f t="shared" si="43"/>
        <v>2146.6428444390399</v>
      </c>
      <c r="K141" s="203">
        <f t="shared" si="43"/>
        <v>2204.6022012388939</v>
      </c>
      <c r="L141" s="203">
        <f t="shared" si="43"/>
        <v>2264.1264606723439</v>
      </c>
      <c r="M141" s="203">
        <f t="shared" si="43"/>
        <v>2325.257875110497</v>
      </c>
      <c r="N141" s="203">
        <f t="shared" si="43"/>
        <v>2388.0398377384804</v>
      </c>
      <c r="O141" s="203">
        <f t="shared" si="43"/>
        <v>2452.5169133574191</v>
      </c>
      <c r="P141" s="203">
        <f t="shared" si="43"/>
        <v>2521.1873869314272</v>
      </c>
      <c r="Q141" s="203">
        <f t="shared" si="43"/>
        <v>2591.7806337655074</v>
      </c>
      <c r="R141" s="203">
        <f t="shared" si="43"/>
        <v>2664.3504915109415</v>
      </c>
      <c r="S141" s="203">
        <f t="shared" si="43"/>
        <v>2738.9523052732479</v>
      </c>
      <c r="T141" s="203">
        <f t="shared" si="43"/>
        <v>2815.6429698208985</v>
      </c>
      <c r="U141" s="203">
        <f t="shared" si="43"/>
        <v>2894.480972975884</v>
      </c>
      <c r="V141" s="203">
        <f t="shared" si="43"/>
        <v>2975.5264402192088</v>
      </c>
      <c r="W141" s="203">
        <f t="shared" si="43"/>
        <v>3058.8411805453461</v>
      </c>
      <c r="X141" s="203">
        <f t="shared" si="43"/>
        <v>3144.4887336006163</v>
      </c>
      <c r="Y141" s="203">
        <f t="shared" si="43"/>
        <v>3232.5344181414339</v>
      </c>
      <c r="AA141" s="606">
        <f t="shared" si="25"/>
        <v>50086.931261024831</v>
      </c>
      <c r="AB141" s="607">
        <f t="shared" si="38"/>
        <v>50086.931261024831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A76</f>
        <v>Net Income to FPLE</v>
      </c>
      <c r="F143" s="220">
        <f t="shared" ref="F143:Y143" si="44">F76</f>
        <v>12844.097870469486</v>
      </c>
      <c r="G143" s="220">
        <f t="shared" si="44"/>
        <v>11071.05039551642</v>
      </c>
      <c r="H143" s="220">
        <f t="shared" si="44"/>
        <v>17335.738554429765</v>
      </c>
      <c r="I143" s="220">
        <f t="shared" si="44"/>
        <v>20236.998830830715</v>
      </c>
      <c r="J143" s="220">
        <f t="shared" si="44"/>
        <v>20431.03648067348</v>
      </c>
      <c r="K143" s="220">
        <f t="shared" si="44"/>
        <v>24319.731681841455</v>
      </c>
      <c r="L143" s="220">
        <f t="shared" si="44"/>
        <v>28758.959355514555</v>
      </c>
      <c r="M143" s="220">
        <f t="shared" si="44"/>
        <v>26460.608263893817</v>
      </c>
      <c r="N143" s="220">
        <f t="shared" si="44"/>
        <v>34692.421151894407</v>
      </c>
      <c r="O143" s="220">
        <f t="shared" si="44"/>
        <v>40851.353164023327</v>
      </c>
      <c r="P143" s="220">
        <f t="shared" si="44"/>
        <v>33946.156512582122</v>
      </c>
      <c r="Q143" s="220">
        <f t="shared" si="44"/>
        <v>11056.422275849072</v>
      </c>
      <c r="R143" s="220">
        <f t="shared" si="44"/>
        <v>12142.516472971329</v>
      </c>
      <c r="S143" s="220">
        <f t="shared" si="44"/>
        <v>22188.721244984859</v>
      </c>
      <c r="T143" s="220">
        <f t="shared" si="44"/>
        <v>27477.655213534479</v>
      </c>
      <c r="U143" s="220">
        <f t="shared" si="44"/>
        <v>29389.240652032815</v>
      </c>
      <c r="V143" s="220">
        <f t="shared" si="44"/>
        <v>26025.08838490066</v>
      </c>
      <c r="W143" s="220">
        <f t="shared" si="44"/>
        <v>28756.292020122357</v>
      </c>
      <c r="X143" s="220">
        <f t="shared" si="44"/>
        <v>30734.252095264957</v>
      </c>
      <c r="Y143" s="220">
        <f t="shared" si="44"/>
        <v>25662.135915173589</v>
      </c>
      <c r="AA143" s="606">
        <f t="shared" si="25"/>
        <v>484380.4765365037</v>
      </c>
      <c r="AB143" s="607">
        <f t="shared" si="38"/>
        <v>484380.4765365037</v>
      </c>
    </row>
    <row r="144" spans="1:28" s="199" customFormat="1">
      <c r="A144" s="124" t="s">
        <v>91</v>
      </c>
      <c r="F144" s="213">
        <f t="shared" ref="F144:Y144" si="45">F141+F143</f>
        <v>14693.907650469486</v>
      </c>
      <c r="G144" s="213">
        <f t="shared" si="45"/>
        <v>12965.25561023642</v>
      </c>
      <c r="H144" s="213">
        <f t="shared" si="45"/>
        <v>19275.404694303044</v>
      </c>
      <c r="I144" s="213">
        <f t="shared" si="45"/>
        <v>22221.27729192108</v>
      </c>
      <c r="J144" s="213">
        <f t="shared" si="45"/>
        <v>22577.67932511252</v>
      </c>
      <c r="K144" s="213">
        <f t="shared" si="45"/>
        <v>26524.333883080348</v>
      </c>
      <c r="L144" s="213">
        <f t="shared" si="45"/>
        <v>31023.0858161869</v>
      </c>
      <c r="M144" s="213">
        <f t="shared" si="45"/>
        <v>28785.866139004313</v>
      </c>
      <c r="N144" s="213">
        <f t="shared" si="45"/>
        <v>37080.460989632884</v>
      </c>
      <c r="O144" s="213">
        <f t="shared" si="45"/>
        <v>43303.870077380743</v>
      </c>
      <c r="P144" s="213">
        <f t="shared" si="45"/>
        <v>36467.343899513551</v>
      </c>
      <c r="Q144" s="213">
        <f t="shared" si="45"/>
        <v>13648.20290961458</v>
      </c>
      <c r="R144" s="213">
        <f t="shared" si="45"/>
        <v>14806.866964482269</v>
      </c>
      <c r="S144" s="213">
        <f t="shared" si="45"/>
        <v>24927.673550258107</v>
      </c>
      <c r="T144" s="213">
        <f t="shared" si="45"/>
        <v>30293.298183355379</v>
      </c>
      <c r="U144" s="213">
        <f t="shared" si="45"/>
        <v>32283.7216250087</v>
      </c>
      <c r="V144" s="213">
        <f t="shared" si="45"/>
        <v>29000.614825119868</v>
      </c>
      <c r="W144" s="213">
        <f t="shared" si="45"/>
        <v>31815.133200667704</v>
      </c>
      <c r="X144" s="213">
        <f t="shared" si="45"/>
        <v>33878.740828865572</v>
      </c>
      <c r="Y144" s="213">
        <f t="shared" si="45"/>
        <v>28894.670333315022</v>
      </c>
      <c r="AA144" s="606">
        <f t="shared" si="25"/>
        <v>534467.40779752843</v>
      </c>
      <c r="AB144" s="607">
        <f t="shared" si="38"/>
        <v>534467.40779752843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1849.8097800000005</v>
      </c>
      <c r="G149" s="165">
        <f t="shared" ref="G149:Y149" si="46">+G137*(1-($C$139+$C$140*(1-$C$139)))</f>
        <v>1894.20521472</v>
      </c>
      <c r="H149" s="165">
        <f t="shared" si="46"/>
        <v>1939.6661398732801</v>
      </c>
      <c r="I149" s="165">
        <f t="shared" si="46"/>
        <v>1984.2784610903657</v>
      </c>
      <c r="J149" s="165">
        <f t="shared" si="46"/>
        <v>2146.6428444390399</v>
      </c>
      <c r="K149" s="165">
        <f t="shared" si="46"/>
        <v>2204.6022012388939</v>
      </c>
      <c r="L149" s="165">
        <f t="shared" si="46"/>
        <v>2264.1264606723439</v>
      </c>
      <c r="M149" s="165">
        <f t="shared" si="46"/>
        <v>2325.257875110497</v>
      </c>
      <c r="N149" s="165">
        <f t="shared" si="46"/>
        <v>2388.0398377384804</v>
      </c>
      <c r="O149" s="165">
        <f t="shared" si="46"/>
        <v>2452.5169133574191</v>
      </c>
      <c r="P149" s="165">
        <f t="shared" si="46"/>
        <v>2521.1873869314272</v>
      </c>
      <c r="Q149" s="165">
        <f t="shared" si="46"/>
        <v>2591.780633765507</v>
      </c>
      <c r="R149" s="165">
        <f t="shared" si="46"/>
        <v>2664.3504915109415</v>
      </c>
      <c r="S149" s="165">
        <f t="shared" si="46"/>
        <v>2738.9523052732475</v>
      </c>
      <c r="T149" s="165">
        <f t="shared" si="46"/>
        <v>2815.6429698208985</v>
      </c>
      <c r="U149" s="165">
        <f t="shared" si="46"/>
        <v>2894.480972975884</v>
      </c>
      <c r="V149" s="165">
        <f t="shared" si="46"/>
        <v>2975.5264402192088</v>
      </c>
      <c r="W149" s="165">
        <f t="shared" si="46"/>
        <v>3058.8411805453466</v>
      </c>
      <c r="X149" s="165">
        <f t="shared" si="46"/>
        <v>3144.4887336006163</v>
      </c>
      <c r="Y149" s="165">
        <f t="shared" si="46"/>
        <v>3232.5344181414339</v>
      </c>
      <c r="AA149" s="606">
        <f t="shared" si="25"/>
        <v>50086.931261024823</v>
      </c>
      <c r="AB149" s="607">
        <f t="shared" si="38"/>
        <v>50086.931261024823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1849.8097800000005</v>
      </c>
      <c r="G151" s="260">
        <f t="shared" ref="G151:Y151" si="47">+G149+G150</f>
        <v>1894.20521472</v>
      </c>
      <c r="H151" s="260">
        <f t="shared" si="47"/>
        <v>1939.6661398732801</v>
      </c>
      <c r="I151" s="260">
        <f t="shared" si="47"/>
        <v>1984.2784610903657</v>
      </c>
      <c r="J151" s="260">
        <f t="shared" si="47"/>
        <v>2146.6428444390399</v>
      </c>
      <c r="K151" s="260">
        <f t="shared" si="47"/>
        <v>2204.6022012388939</v>
      </c>
      <c r="L151" s="260">
        <f t="shared" si="47"/>
        <v>2264.1264606723439</v>
      </c>
      <c r="M151" s="260">
        <f t="shared" si="47"/>
        <v>2325.257875110497</v>
      </c>
      <c r="N151" s="260">
        <f t="shared" si="47"/>
        <v>2388.0398377384804</v>
      </c>
      <c r="O151" s="260">
        <f t="shared" si="47"/>
        <v>2452.5169133574191</v>
      </c>
      <c r="P151" s="260">
        <f t="shared" si="47"/>
        <v>2521.1873869314272</v>
      </c>
      <c r="Q151" s="260">
        <f t="shared" si="47"/>
        <v>2591.780633765507</v>
      </c>
      <c r="R151" s="260">
        <f t="shared" si="47"/>
        <v>2664.3504915109415</v>
      </c>
      <c r="S151" s="260">
        <f t="shared" si="47"/>
        <v>2738.9523052732475</v>
      </c>
      <c r="T151" s="260">
        <f t="shared" si="47"/>
        <v>2815.6429698208985</v>
      </c>
      <c r="U151" s="260">
        <f t="shared" si="47"/>
        <v>2894.480972975884</v>
      </c>
      <c r="V151" s="260">
        <f t="shared" si="47"/>
        <v>2975.5264402192088</v>
      </c>
      <c r="W151" s="260">
        <f t="shared" si="47"/>
        <v>3058.8411805453466</v>
      </c>
      <c r="X151" s="260">
        <f t="shared" si="47"/>
        <v>3144.4887336006163</v>
      </c>
      <c r="Y151" s="260">
        <f t="shared" si="47"/>
        <v>3232.5344181414339</v>
      </c>
      <c r="AA151" s="606">
        <f t="shared" si="25"/>
        <v>50086.931261024823</v>
      </c>
      <c r="AB151" s="607">
        <f t="shared" si="38"/>
        <v>50086.931261024823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21059.188861949271</v>
      </c>
    </row>
    <row r="155" spans="1:28" s="199" customFormat="1" ht="13.5" thickBot="1">
      <c r="A155" s="199" t="s">
        <v>59</v>
      </c>
      <c r="C155" s="146">
        <f>+C95</f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265891.29747668194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21059.188861949271</v>
      </c>
    </row>
    <row r="162" spans="1:25" s="199" customFormat="1" ht="13.5" thickBot="1">
      <c r="A162" s="140" t="s">
        <v>87</v>
      </c>
      <c r="B162" s="109"/>
      <c r="C162" s="109"/>
      <c r="D162" s="226">
        <f>SUM(D159:D161)</f>
        <v>286950.48633863119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2:AD77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43</v>
      </c>
      <c r="B2" s="270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E7" s="199"/>
      <c r="F7" s="11"/>
      <c r="G7" s="11"/>
      <c r="H7" s="12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E8" s="12"/>
      <c r="G8" s="8"/>
      <c r="Z8" s="22"/>
      <c r="AA8" s="520"/>
      <c r="AB8" s="533"/>
    </row>
    <row r="9" spans="1:28">
      <c r="A9" s="101" t="s">
        <v>7</v>
      </c>
      <c r="B9" s="12"/>
      <c r="C9" s="12"/>
      <c r="D9" s="12"/>
      <c r="E9" s="12"/>
      <c r="G9" s="8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6727</v>
      </c>
      <c r="F10" s="141">
        <v>8068</v>
      </c>
      <c r="G10" s="141">
        <v>8592</v>
      </c>
      <c r="H10" s="141">
        <v>8608</v>
      </c>
      <c r="I10" s="141">
        <v>9028</v>
      </c>
      <c r="J10" s="141">
        <v>9409</v>
      </c>
      <c r="K10" s="141">
        <v>10005</v>
      </c>
      <c r="L10" s="141">
        <v>10576</v>
      </c>
      <c r="M10" s="141">
        <v>11050</v>
      </c>
      <c r="N10" s="141">
        <v>11741</v>
      </c>
      <c r="O10" s="141">
        <v>11236</v>
      </c>
      <c r="P10" s="141">
        <v>11371</v>
      </c>
      <c r="Q10" s="141">
        <v>11371</v>
      </c>
      <c r="R10" s="141">
        <v>5335</v>
      </c>
      <c r="S10" s="141">
        <v>9617</v>
      </c>
      <c r="T10" s="141">
        <v>9617</v>
      </c>
      <c r="U10" s="141">
        <v>9617</v>
      </c>
      <c r="V10" s="141">
        <v>9617</v>
      </c>
      <c r="W10" s="141">
        <v>9617</v>
      </c>
      <c r="X10" s="141">
        <v>0</v>
      </c>
      <c r="Y10" s="141">
        <v>0</v>
      </c>
      <c r="Z10" s="22"/>
      <c r="AA10" s="606">
        <f t="shared" ref="AA10:AA38" si="1">SUM(F10:Y10)</f>
        <v>174475</v>
      </c>
      <c r="AB10" s="607">
        <f>AA10*$C$60</f>
        <v>87237.5</v>
      </c>
    </row>
    <row r="11" spans="1:28">
      <c r="A11" s="4" t="s">
        <v>9</v>
      </c>
      <c r="B11" s="12"/>
      <c r="C11" s="12"/>
      <c r="D11" s="90"/>
      <c r="E11" s="141">
        <v>20567</v>
      </c>
      <c r="F11" s="141">
        <v>23332.14</v>
      </c>
      <c r="G11" s="228">
        <v>25432.2428</v>
      </c>
      <c r="H11" s="141">
        <v>25786.307656000001</v>
      </c>
      <c r="I11" s="141">
        <v>26548.333809119998</v>
      </c>
      <c r="J11" s="141">
        <v>28943.3204853024</v>
      </c>
      <c r="K11" s="141">
        <v>31175.266895008448</v>
      </c>
      <c r="L11" s="141">
        <v>32908.172232908619</v>
      </c>
      <c r="M11" s="141">
        <v>35317.03567756679</v>
      </c>
      <c r="N11" s="141">
        <v>37970.856391118126</v>
      </c>
      <c r="O11" s="141">
        <v>35172.633518940485</v>
      </c>
      <c r="P11" s="141">
        <v>36782.366189319298</v>
      </c>
      <c r="Q11" s="141">
        <v>36780.053513105682</v>
      </c>
      <c r="R11" s="141">
        <v>33693.694583367796</v>
      </c>
      <c r="S11" s="141">
        <v>31516.288475035151</v>
      </c>
      <c r="T11" s="141">
        <v>30122.834244535858</v>
      </c>
      <c r="U11" s="141">
        <v>31507.330929426575</v>
      </c>
      <c r="V11" s="141">
        <v>31502.777548015103</v>
      </c>
      <c r="W11" s="141">
        <v>30960.173098975407</v>
      </c>
      <c r="X11" s="141">
        <v>0</v>
      </c>
      <c r="Y11" s="141">
        <v>0</v>
      </c>
      <c r="Z11" s="22"/>
      <c r="AA11" s="606">
        <f t="shared" si="1"/>
        <v>565451.82804774574</v>
      </c>
      <c r="AB11" s="607">
        <f t="shared" ref="AB11:AB74" si="2">AA11*$C$60</f>
        <v>282725.91402387287</v>
      </c>
    </row>
    <row r="12" spans="1:28">
      <c r="A12" s="4" t="s">
        <v>10</v>
      </c>
      <c r="B12" s="12"/>
      <c r="C12" s="12"/>
      <c r="D12" s="90"/>
      <c r="E12" s="229">
        <v>259</v>
      </c>
      <c r="F12" s="141">
        <v>358</v>
      </c>
      <c r="G12" s="141">
        <v>417</v>
      </c>
      <c r="H12" s="141">
        <v>417</v>
      </c>
      <c r="I12" s="141">
        <v>417</v>
      </c>
      <c r="J12" s="141">
        <v>417</v>
      </c>
      <c r="K12" s="141">
        <v>417</v>
      </c>
      <c r="L12" s="141">
        <v>417</v>
      </c>
      <c r="M12" s="141">
        <v>417</v>
      </c>
      <c r="N12" s="141">
        <v>417</v>
      </c>
      <c r="O12" s="141">
        <v>417</v>
      </c>
      <c r="P12" s="141">
        <v>417</v>
      </c>
      <c r="Q12" s="141">
        <v>417</v>
      </c>
      <c r="R12" s="141">
        <v>417</v>
      </c>
      <c r="S12" s="141">
        <v>417</v>
      </c>
      <c r="T12" s="141">
        <v>417</v>
      </c>
      <c r="U12" s="141">
        <v>417</v>
      </c>
      <c r="V12" s="141">
        <v>417</v>
      </c>
      <c r="W12" s="141">
        <v>417</v>
      </c>
      <c r="X12" s="141">
        <v>0</v>
      </c>
      <c r="Y12" s="141">
        <v>0</v>
      </c>
      <c r="Z12" s="22"/>
      <c r="AA12" s="606">
        <f t="shared" si="1"/>
        <v>7447</v>
      </c>
      <c r="AB12" s="607">
        <f t="shared" si="2"/>
        <v>3723.5</v>
      </c>
    </row>
    <row r="13" spans="1:28">
      <c r="A13" s="8"/>
      <c r="B13" s="12"/>
      <c r="C13" s="12"/>
      <c r="D13" s="12"/>
      <c r="E13" s="230"/>
      <c r="F13" s="231"/>
      <c r="G13" s="67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30"/>
      <c r="F14" s="231"/>
      <c r="G14" s="67"/>
      <c r="H14" s="231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41"/>
      <c r="F16" s="141"/>
      <c r="G16" s="141"/>
      <c r="H16" s="159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30"/>
      <c r="F18" s="231"/>
      <c r="G18" s="67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61">
        <v>175</v>
      </c>
      <c r="F19" s="161">
        <v>40</v>
      </c>
      <c r="G19" s="161">
        <v>68</v>
      </c>
      <c r="H19" s="161">
        <v>69</v>
      </c>
      <c r="I19" s="161">
        <v>71</v>
      </c>
      <c r="J19" s="161">
        <v>72</v>
      </c>
      <c r="K19" s="161">
        <v>74</v>
      </c>
      <c r="L19" s="161">
        <v>75</v>
      </c>
      <c r="M19" s="161">
        <v>77</v>
      </c>
      <c r="N19" s="161">
        <v>79</v>
      </c>
      <c r="O19" s="161">
        <v>81</v>
      </c>
      <c r="P19" s="161">
        <v>83</v>
      </c>
      <c r="Q19" s="161">
        <v>84</v>
      </c>
      <c r="R19" s="161">
        <v>86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0</v>
      </c>
      <c r="Y19" s="161">
        <v>0</v>
      </c>
      <c r="Z19" s="22"/>
      <c r="AA19" s="606">
        <f t="shared" si="1"/>
        <v>959</v>
      </c>
      <c r="AB19" s="607">
        <f t="shared" si="2"/>
        <v>479.5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27728</v>
      </c>
      <c r="F20" s="90">
        <f t="shared" si="3"/>
        <v>31798.14</v>
      </c>
      <c r="G20" s="90">
        <f t="shared" si="3"/>
        <v>34509.2428</v>
      </c>
      <c r="H20" s="90">
        <f t="shared" si="3"/>
        <v>34880.307656000004</v>
      </c>
      <c r="I20" s="90">
        <f t="shared" si="3"/>
        <v>36064.333809119998</v>
      </c>
      <c r="J20" s="90">
        <f t="shared" si="3"/>
        <v>38841.3204853024</v>
      </c>
      <c r="K20" s="90">
        <f t="shared" si="3"/>
        <v>41671.266895008448</v>
      </c>
      <c r="L20" s="90">
        <f t="shared" si="3"/>
        <v>43976.172232908619</v>
      </c>
      <c r="M20" s="90">
        <f t="shared" si="3"/>
        <v>46861.03567756679</v>
      </c>
      <c r="N20" s="90">
        <f t="shared" si="3"/>
        <v>50207.856391118126</v>
      </c>
      <c r="O20" s="90">
        <f t="shared" si="3"/>
        <v>46906.633518940485</v>
      </c>
      <c r="P20" s="90">
        <f t="shared" si="3"/>
        <v>48653.366189319298</v>
      </c>
      <c r="Q20" s="90">
        <f t="shared" si="3"/>
        <v>48652.053513105682</v>
      </c>
      <c r="R20" s="90">
        <f t="shared" si="3"/>
        <v>39531.694583367796</v>
      </c>
      <c r="S20" s="90">
        <f t="shared" si="3"/>
        <v>41550.288475035151</v>
      </c>
      <c r="T20" s="90">
        <f t="shared" si="3"/>
        <v>40156.834244535858</v>
      </c>
      <c r="U20" s="90">
        <f t="shared" si="3"/>
        <v>41541.330929426578</v>
      </c>
      <c r="V20" s="90">
        <f t="shared" si="3"/>
        <v>41536.777548015103</v>
      </c>
      <c r="W20" s="90">
        <f t="shared" si="3"/>
        <v>40994.173098975407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748332.82804774574</v>
      </c>
      <c r="AB20" s="607">
        <f t="shared" si="2"/>
        <v>374166.41402387287</v>
      </c>
    </row>
    <row r="21" spans="1:28">
      <c r="A21" s="1"/>
      <c r="B21" s="12"/>
      <c r="C21" s="12"/>
      <c r="D21" s="12"/>
      <c r="E21" s="12"/>
      <c r="G21" s="8"/>
      <c r="Z21" s="22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D24" s="90"/>
      <c r="E24" s="141">
        <v>15824</v>
      </c>
      <c r="F24" s="141">
        <v>17827</v>
      </c>
      <c r="G24" s="228">
        <v>18472</v>
      </c>
      <c r="H24" s="141">
        <v>19120</v>
      </c>
      <c r="I24" s="141">
        <v>19802</v>
      </c>
      <c r="J24" s="141">
        <v>20510</v>
      </c>
      <c r="K24" s="141">
        <v>21235</v>
      </c>
      <c r="L24" s="141">
        <v>21990</v>
      </c>
      <c r="M24" s="141">
        <v>21327</v>
      </c>
      <c r="N24" s="141">
        <v>21958</v>
      </c>
      <c r="O24" s="141">
        <v>22425</v>
      </c>
      <c r="P24" s="141">
        <v>23088</v>
      </c>
      <c r="Q24" s="141">
        <v>23864</v>
      </c>
      <c r="R24" s="141">
        <v>24567</v>
      </c>
      <c r="S24" s="141">
        <v>25191</v>
      </c>
      <c r="T24" s="141">
        <v>25931</v>
      </c>
      <c r="U24" s="141">
        <v>26486</v>
      </c>
      <c r="V24" s="141">
        <v>27052</v>
      </c>
      <c r="W24" s="141">
        <v>27632</v>
      </c>
      <c r="X24" s="141">
        <v>0</v>
      </c>
      <c r="Y24" s="141">
        <v>0</v>
      </c>
      <c r="AA24" s="606">
        <f t="shared" si="1"/>
        <v>408477</v>
      </c>
      <c r="AB24" s="607">
        <f t="shared" si="2"/>
        <v>204238.5</v>
      </c>
    </row>
    <row r="25" spans="1:28">
      <c r="A25" s="4" t="s">
        <v>1</v>
      </c>
      <c r="D25" s="90"/>
      <c r="E25" s="141">
        <v>2300</v>
      </c>
      <c r="F25" s="141">
        <v>2800</v>
      </c>
      <c r="G25" s="228">
        <v>2843</v>
      </c>
      <c r="H25" s="228">
        <v>2900</v>
      </c>
      <c r="I25" s="228">
        <v>2983</v>
      </c>
      <c r="J25" s="228">
        <v>3197</v>
      </c>
      <c r="K25" s="228">
        <v>3257</v>
      </c>
      <c r="L25" s="228">
        <v>3334</v>
      </c>
      <c r="M25" s="228">
        <v>3383</v>
      </c>
      <c r="N25" s="228">
        <v>3448</v>
      </c>
      <c r="O25" s="228">
        <v>3544</v>
      </c>
      <c r="P25" s="228">
        <v>3261</v>
      </c>
      <c r="Q25" s="228">
        <v>3331</v>
      </c>
      <c r="R25" s="228">
        <v>3419</v>
      </c>
      <c r="S25" s="228">
        <v>3715</v>
      </c>
      <c r="T25" s="228">
        <v>3787</v>
      </c>
      <c r="U25" s="228">
        <v>3877</v>
      </c>
      <c r="V25" s="228">
        <v>3960</v>
      </c>
      <c r="W25" s="228">
        <v>4041</v>
      </c>
      <c r="X25" s="228">
        <v>0</v>
      </c>
      <c r="Y25" s="228">
        <v>0</v>
      </c>
      <c r="AA25" s="606">
        <f t="shared" si="1"/>
        <v>61080</v>
      </c>
      <c r="AB25" s="607">
        <f t="shared" si="2"/>
        <v>30540</v>
      </c>
    </row>
    <row r="26" spans="1:28">
      <c r="A26" s="4" t="s">
        <v>18</v>
      </c>
      <c r="D26" s="90"/>
      <c r="E26" s="141">
        <v>0</v>
      </c>
      <c r="F26" s="141">
        <v>0</v>
      </c>
      <c r="G26" s="228">
        <v>0</v>
      </c>
      <c r="H26" s="228">
        <v>0</v>
      </c>
      <c r="I26" s="228">
        <v>0</v>
      </c>
      <c r="J26" s="228">
        <v>0</v>
      </c>
      <c r="K26" s="228">
        <v>0</v>
      </c>
      <c r="L26" s="228">
        <v>0</v>
      </c>
      <c r="M26" s="228">
        <v>0</v>
      </c>
      <c r="N26" s="228">
        <v>0</v>
      </c>
      <c r="O26" s="228">
        <v>0</v>
      </c>
      <c r="P26" s="228">
        <v>0</v>
      </c>
      <c r="Q26" s="228">
        <v>0</v>
      </c>
      <c r="R26" s="228">
        <v>0</v>
      </c>
      <c r="S26" s="228">
        <v>0</v>
      </c>
      <c r="T26" s="228">
        <v>0</v>
      </c>
      <c r="U26" s="228">
        <v>0</v>
      </c>
      <c r="V26" s="228">
        <v>0</v>
      </c>
      <c r="W26" s="228">
        <v>0</v>
      </c>
      <c r="X26" s="228">
        <v>0</v>
      </c>
      <c r="Y26" s="228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D27" s="90"/>
      <c r="E27" s="141">
        <v>1199</v>
      </c>
      <c r="F27" s="141">
        <v>1199</v>
      </c>
      <c r="G27" s="141">
        <v>1199</v>
      </c>
      <c r="H27" s="141">
        <v>1199</v>
      </c>
      <c r="I27" s="141">
        <v>1199</v>
      </c>
      <c r="J27" s="141">
        <v>1199</v>
      </c>
      <c r="K27" s="141">
        <v>1199</v>
      </c>
      <c r="L27" s="141">
        <v>1199</v>
      </c>
      <c r="M27" s="141">
        <v>1199</v>
      </c>
      <c r="N27" s="141">
        <v>1199</v>
      </c>
      <c r="O27" s="141">
        <v>1199</v>
      </c>
      <c r="P27" s="141">
        <v>1199</v>
      </c>
      <c r="Q27" s="141">
        <v>1199</v>
      </c>
      <c r="R27" s="141">
        <v>1199</v>
      </c>
      <c r="S27" s="141">
        <v>1199</v>
      </c>
      <c r="T27" s="141">
        <v>1199</v>
      </c>
      <c r="U27" s="141">
        <v>1199</v>
      </c>
      <c r="V27" s="141">
        <v>1199</v>
      </c>
      <c r="W27" s="141">
        <v>1199</v>
      </c>
      <c r="X27" s="141">
        <v>0</v>
      </c>
      <c r="Y27" s="141">
        <v>0</v>
      </c>
      <c r="AA27" s="606">
        <f t="shared" si="1"/>
        <v>21582</v>
      </c>
      <c r="AB27" s="607">
        <f t="shared" si="2"/>
        <v>10791</v>
      </c>
    </row>
    <row r="28" spans="1:28">
      <c r="A28" s="4" t="s">
        <v>3</v>
      </c>
      <c r="D28" s="90"/>
      <c r="E28" s="141">
        <v>0</v>
      </c>
      <c r="F28" s="141">
        <v>0</v>
      </c>
      <c r="G28" s="228">
        <v>0</v>
      </c>
      <c r="H28" s="228">
        <v>0</v>
      </c>
      <c r="I28" s="228">
        <v>0</v>
      </c>
      <c r="J28" s="228">
        <v>0</v>
      </c>
      <c r="K28" s="228">
        <v>0</v>
      </c>
      <c r="L28" s="228">
        <v>0</v>
      </c>
      <c r="M28" s="228">
        <v>0</v>
      </c>
      <c r="N28" s="228">
        <v>0</v>
      </c>
      <c r="O28" s="228">
        <v>0</v>
      </c>
      <c r="P28" s="228">
        <v>0</v>
      </c>
      <c r="Q28" s="228">
        <v>0</v>
      </c>
      <c r="R28" s="228">
        <v>0</v>
      </c>
      <c r="S28" s="228">
        <v>0</v>
      </c>
      <c r="T28" s="228">
        <v>0</v>
      </c>
      <c r="U28" s="228">
        <v>0</v>
      </c>
      <c r="V28" s="228">
        <v>0</v>
      </c>
      <c r="W28" s="228">
        <v>0</v>
      </c>
      <c r="X28" s="228">
        <v>0</v>
      </c>
      <c r="Y28" s="228"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41">
        <v>1169</v>
      </c>
      <c r="F29" s="141">
        <v>818</v>
      </c>
      <c r="G29" s="228">
        <v>834</v>
      </c>
      <c r="H29" s="228">
        <v>849</v>
      </c>
      <c r="I29" s="228">
        <v>950</v>
      </c>
      <c r="J29" s="228">
        <v>964</v>
      </c>
      <c r="K29" s="228">
        <v>979</v>
      </c>
      <c r="L29" s="228">
        <v>995</v>
      </c>
      <c r="M29" s="228">
        <v>1010</v>
      </c>
      <c r="N29" s="228">
        <v>1013</v>
      </c>
      <c r="O29" s="228">
        <v>1030</v>
      </c>
      <c r="P29" s="228">
        <v>1047</v>
      </c>
      <c r="Q29" s="228">
        <v>1064</v>
      </c>
      <c r="R29" s="228">
        <v>978</v>
      </c>
      <c r="S29" s="228">
        <v>994</v>
      </c>
      <c r="T29" s="228">
        <v>1010</v>
      </c>
      <c r="U29" s="228">
        <v>1027</v>
      </c>
      <c r="V29" s="228">
        <v>1045</v>
      </c>
      <c r="W29" s="228">
        <v>1063</v>
      </c>
      <c r="X29" s="228">
        <v>0</v>
      </c>
      <c r="Y29" s="228">
        <v>0</v>
      </c>
      <c r="AA29" s="606">
        <f t="shared" si="1"/>
        <v>17670</v>
      </c>
      <c r="AB29" s="607">
        <f t="shared" si="2"/>
        <v>8835</v>
      </c>
    </row>
    <row r="30" spans="1:28">
      <c r="A30" s="4" t="s">
        <v>36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141">
        <v>0</v>
      </c>
      <c r="G31" s="228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/>
      <c r="E32" s="141">
        <v>103</v>
      </c>
      <c r="F32" s="141">
        <v>107</v>
      </c>
      <c r="G32" s="141">
        <v>112</v>
      </c>
      <c r="H32" s="141">
        <v>117</v>
      </c>
      <c r="I32" s="141">
        <v>122</v>
      </c>
      <c r="J32" s="141">
        <v>128</v>
      </c>
      <c r="K32" s="141">
        <v>133</v>
      </c>
      <c r="L32" s="141">
        <v>141</v>
      </c>
      <c r="M32" s="141">
        <v>146</v>
      </c>
      <c r="N32" s="141">
        <v>154</v>
      </c>
      <c r="O32" s="141">
        <v>161</v>
      </c>
      <c r="P32" s="141">
        <v>168</v>
      </c>
      <c r="Q32" s="141">
        <v>168</v>
      </c>
      <c r="R32" s="141">
        <v>168</v>
      </c>
      <c r="S32" s="141">
        <v>20</v>
      </c>
      <c r="T32" s="141">
        <v>20</v>
      </c>
      <c r="U32" s="141">
        <v>20</v>
      </c>
      <c r="V32" s="141">
        <v>20</v>
      </c>
      <c r="W32" s="141">
        <v>20</v>
      </c>
      <c r="X32" s="141">
        <v>0</v>
      </c>
      <c r="Y32" s="141">
        <v>0</v>
      </c>
      <c r="AA32" s="606">
        <f t="shared" si="1"/>
        <v>1925</v>
      </c>
      <c r="AB32" s="607">
        <f t="shared" si="2"/>
        <v>962.5</v>
      </c>
    </row>
    <row r="33" spans="1:28">
      <c r="A33" s="4" t="s">
        <v>19</v>
      </c>
      <c r="D33" s="90"/>
      <c r="E33" s="141">
        <v>0</v>
      </c>
      <c r="F33" s="141">
        <v>0</v>
      </c>
      <c r="G33" s="141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  <c r="R33" s="159">
        <v>0</v>
      </c>
      <c r="S33" s="159">
        <v>0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59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61">
        <v>0</v>
      </c>
      <c r="F35" s="161">
        <v>0</v>
      </c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20595</v>
      </c>
      <c r="F36" s="90">
        <f t="shared" si="4"/>
        <v>22751</v>
      </c>
      <c r="G36" s="55">
        <f t="shared" si="4"/>
        <v>23460</v>
      </c>
      <c r="H36" s="90">
        <f t="shared" si="4"/>
        <v>24185</v>
      </c>
      <c r="I36" s="90">
        <f t="shared" si="4"/>
        <v>25056</v>
      </c>
      <c r="J36" s="90">
        <f t="shared" si="4"/>
        <v>25998</v>
      </c>
      <c r="K36" s="90">
        <f t="shared" si="4"/>
        <v>26803</v>
      </c>
      <c r="L36" s="90">
        <f t="shared" si="4"/>
        <v>27659</v>
      </c>
      <c r="M36" s="90">
        <f t="shared" si="4"/>
        <v>27065</v>
      </c>
      <c r="N36" s="90">
        <f t="shared" si="4"/>
        <v>27772</v>
      </c>
      <c r="O36" s="90">
        <f t="shared" si="4"/>
        <v>28359</v>
      </c>
      <c r="P36" s="90">
        <f t="shared" si="4"/>
        <v>28763</v>
      </c>
      <c r="Q36" s="90">
        <f t="shared" si="4"/>
        <v>29626</v>
      </c>
      <c r="R36" s="90">
        <f t="shared" si="4"/>
        <v>30331</v>
      </c>
      <c r="S36" s="90">
        <f t="shared" si="4"/>
        <v>31119</v>
      </c>
      <c r="T36" s="90">
        <f t="shared" si="4"/>
        <v>31947</v>
      </c>
      <c r="U36" s="90">
        <f t="shared" si="4"/>
        <v>32609</v>
      </c>
      <c r="V36" s="90">
        <f t="shared" si="4"/>
        <v>33276</v>
      </c>
      <c r="W36" s="90">
        <f t="shared" si="4"/>
        <v>33955</v>
      </c>
      <c r="X36" s="90">
        <f t="shared" si="4"/>
        <v>0</v>
      </c>
      <c r="Y36" s="90">
        <f t="shared" si="4"/>
        <v>0</v>
      </c>
      <c r="AA36" s="606">
        <f t="shared" si="1"/>
        <v>510734</v>
      </c>
      <c r="AB36" s="607">
        <f t="shared" si="2"/>
        <v>255367</v>
      </c>
    </row>
    <row r="37" spans="1:28" outlineLevel="1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 ht="18.75" customHeight="1">
      <c r="A39" s="1" t="s">
        <v>23</v>
      </c>
      <c r="B39" s="1"/>
      <c r="C39" s="1"/>
      <c r="D39" s="93"/>
      <c r="E39" s="93">
        <f t="shared" ref="E39:Y39" si="5">E20-E36</f>
        <v>7133</v>
      </c>
      <c r="F39" s="93">
        <f t="shared" si="5"/>
        <v>9047.14</v>
      </c>
      <c r="G39" s="94">
        <f t="shared" si="5"/>
        <v>11049.2428</v>
      </c>
      <c r="H39" s="93">
        <f t="shared" si="5"/>
        <v>10695.307656000004</v>
      </c>
      <c r="I39" s="93">
        <f t="shared" si="5"/>
        <v>11008.333809119998</v>
      </c>
      <c r="J39" s="93">
        <f t="shared" si="5"/>
        <v>12843.3204853024</v>
      </c>
      <c r="K39" s="93">
        <f t="shared" si="5"/>
        <v>14868.266895008448</v>
      </c>
      <c r="L39" s="93">
        <f t="shared" si="5"/>
        <v>16317.172232908619</v>
      </c>
      <c r="M39" s="93">
        <f t="shared" si="5"/>
        <v>19796.03567756679</v>
      </c>
      <c r="N39" s="93">
        <f t="shared" si="5"/>
        <v>22435.856391118126</v>
      </c>
      <c r="O39" s="93">
        <f t="shared" si="5"/>
        <v>18547.633518940485</v>
      </c>
      <c r="P39" s="93">
        <f t="shared" si="5"/>
        <v>19890.366189319298</v>
      </c>
      <c r="Q39" s="93">
        <f t="shared" si="5"/>
        <v>19026.053513105682</v>
      </c>
      <c r="R39" s="93">
        <f t="shared" si="5"/>
        <v>9200.6945833677964</v>
      </c>
      <c r="S39" s="93">
        <f t="shared" si="5"/>
        <v>10431.288475035151</v>
      </c>
      <c r="T39" s="93">
        <f t="shared" si="5"/>
        <v>8209.8342445358576</v>
      </c>
      <c r="U39" s="93">
        <f t="shared" si="5"/>
        <v>8932.3309294265782</v>
      </c>
      <c r="V39" s="93">
        <f t="shared" si="5"/>
        <v>8260.7775480151031</v>
      </c>
      <c r="W39" s="93">
        <f t="shared" si="5"/>
        <v>7039.1730989754069</v>
      </c>
      <c r="X39" s="93">
        <f t="shared" si="5"/>
        <v>0</v>
      </c>
      <c r="Y39" s="93">
        <f t="shared" si="5"/>
        <v>0</v>
      </c>
      <c r="AA39" s="606">
        <f>SUM(F39:Y39)</f>
        <v>237598.82804774577</v>
      </c>
      <c r="AB39" s="607">
        <f t="shared" si="2"/>
        <v>118799.41402387289</v>
      </c>
    </row>
    <row r="40" spans="1:28" s="21" customFormat="1" ht="18.75" customHeigh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141"/>
      <c r="E41" s="90"/>
      <c r="F41" s="90">
        <f t="shared" ref="F41:Y41" si="7">F108</f>
        <v>3325</v>
      </c>
      <c r="G41" s="90">
        <f t="shared" si="7"/>
        <v>3325</v>
      </c>
      <c r="H41" s="90">
        <f t="shared" si="7"/>
        <v>3325</v>
      </c>
      <c r="I41" s="90">
        <f t="shared" si="7"/>
        <v>3325</v>
      </c>
      <c r="J41" s="90">
        <f t="shared" si="7"/>
        <v>3325</v>
      </c>
      <c r="K41" s="90">
        <f t="shared" si="7"/>
        <v>3325</v>
      </c>
      <c r="L41" s="90">
        <f t="shared" si="7"/>
        <v>3325</v>
      </c>
      <c r="M41" s="90">
        <f t="shared" si="7"/>
        <v>3325</v>
      </c>
      <c r="N41" s="90">
        <f t="shared" si="7"/>
        <v>3325</v>
      </c>
      <c r="O41" s="90">
        <f t="shared" si="7"/>
        <v>3325</v>
      </c>
      <c r="P41" s="90">
        <f t="shared" si="7"/>
        <v>3325</v>
      </c>
      <c r="Q41" s="90">
        <f t="shared" si="7"/>
        <v>3325</v>
      </c>
      <c r="R41" s="90">
        <f t="shared" si="7"/>
        <v>3325</v>
      </c>
      <c r="S41" s="90">
        <f t="shared" si="7"/>
        <v>3325</v>
      </c>
      <c r="T41" s="90">
        <f t="shared" si="7"/>
        <v>3325</v>
      </c>
      <c r="U41" s="90">
        <f t="shared" si="7"/>
        <v>3325</v>
      </c>
      <c r="V41" s="90">
        <f t="shared" si="7"/>
        <v>3325</v>
      </c>
      <c r="W41" s="90">
        <f t="shared" si="7"/>
        <v>3325</v>
      </c>
      <c r="X41" s="90">
        <f t="shared" si="7"/>
        <v>0</v>
      </c>
      <c r="Y41" s="90">
        <f t="shared" si="7"/>
        <v>0</v>
      </c>
      <c r="AA41" s="606">
        <f t="shared" si="6"/>
        <v>59850</v>
      </c>
      <c r="AB41" s="607">
        <f t="shared" si="2"/>
        <v>29925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5722.1399999999994</v>
      </c>
      <c r="G44" s="93">
        <f t="shared" si="8"/>
        <v>7724.2428</v>
      </c>
      <c r="H44" s="93">
        <f t="shared" si="8"/>
        <v>7370.3076560000045</v>
      </c>
      <c r="I44" s="93">
        <f t="shared" si="8"/>
        <v>7683.3338091199985</v>
      </c>
      <c r="J44" s="93">
        <f t="shared" si="8"/>
        <v>9518.3204853023999</v>
      </c>
      <c r="K44" s="93">
        <f t="shared" si="8"/>
        <v>11543.266895008448</v>
      </c>
      <c r="L44" s="93">
        <f t="shared" si="8"/>
        <v>12992.172232908619</v>
      </c>
      <c r="M44" s="93">
        <f t="shared" si="8"/>
        <v>16471.03567756679</v>
      </c>
      <c r="N44" s="93">
        <f t="shared" si="8"/>
        <v>19110.856391118126</v>
      </c>
      <c r="O44" s="93">
        <f t="shared" si="8"/>
        <v>15222.633518940485</v>
      </c>
      <c r="P44" s="93">
        <f t="shared" si="8"/>
        <v>16565.366189319298</v>
      </c>
      <c r="Q44" s="93">
        <f t="shared" si="8"/>
        <v>15701.053513105682</v>
      </c>
      <c r="R44" s="93">
        <f t="shared" si="8"/>
        <v>5875.6945833677964</v>
      </c>
      <c r="S44" s="93">
        <f t="shared" si="8"/>
        <v>7106.2884750351514</v>
      </c>
      <c r="T44" s="93">
        <f t="shared" si="8"/>
        <v>4884.8342445358576</v>
      </c>
      <c r="U44" s="93">
        <f t="shared" si="8"/>
        <v>5607.3309294265782</v>
      </c>
      <c r="V44" s="93">
        <f t="shared" si="8"/>
        <v>4935.7775480151031</v>
      </c>
      <c r="W44" s="93">
        <f t="shared" si="8"/>
        <v>3714.1730989754069</v>
      </c>
      <c r="X44" s="93">
        <f t="shared" si="8"/>
        <v>0</v>
      </c>
      <c r="Y44" s="93">
        <f t="shared" si="8"/>
        <v>0</v>
      </c>
      <c r="AA44" s="606">
        <f t="shared" si="6"/>
        <v>177748.82804774577</v>
      </c>
      <c r="AB44" s="607">
        <f t="shared" si="2"/>
        <v>88874.414023872887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6104</v>
      </c>
      <c r="G46" s="141">
        <v>5997</v>
      </c>
      <c r="H46" s="141">
        <v>5826</v>
      </c>
      <c r="I46" s="141">
        <v>5681</v>
      </c>
      <c r="J46" s="141">
        <v>5483</v>
      </c>
      <c r="K46" s="141">
        <v>5097</v>
      </c>
      <c r="L46" s="141">
        <v>4562</v>
      </c>
      <c r="M46" s="141">
        <v>3941</v>
      </c>
      <c r="N46" s="141">
        <v>3169</v>
      </c>
      <c r="O46" s="141">
        <v>2334</v>
      </c>
      <c r="P46" s="141">
        <v>1509</v>
      </c>
      <c r="Q46" s="141">
        <v>580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50283</v>
      </c>
      <c r="AB46" s="607">
        <f t="shared" si="2"/>
        <v>25141.5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-381.86000000000058</v>
      </c>
      <c r="G49" s="93">
        <f t="shared" si="9"/>
        <v>1727.2428</v>
      </c>
      <c r="H49" s="93">
        <f t="shared" si="9"/>
        <v>1544.3076560000045</v>
      </c>
      <c r="I49" s="93">
        <f t="shared" si="9"/>
        <v>2002.3338091199985</v>
      </c>
      <c r="J49" s="93">
        <f t="shared" si="9"/>
        <v>4035.3204853023999</v>
      </c>
      <c r="K49" s="93">
        <f t="shared" si="9"/>
        <v>6446.266895008448</v>
      </c>
      <c r="L49" s="93">
        <f t="shared" si="9"/>
        <v>8430.1722329086188</v>
      </c>
      <c r="M49" s="93">
        <f t="shared" si="9"/>
        <v>12530.03567756679</v>
      </c>
      <c r="N49" s="93">
        <f t="shared" si="9"/>
        <v>15941.856391118126</v>
      </c>
      <c r="O49" s="93">
        <f t="shared" si="9"/>
        <v>12888.633518940485</v>
      </c>
      <c r="P49" s="93">
        <f t="shared" si="9"/>
        <v>15056.366189319298</v>
      </c>
      <c r="Q49" s="93">
        <f t="shared" si="9"/>
        <v>15121.053513105682</v>
      </c>
      <c r="R49" s="93">
        <f t="shared" si="9"/>
        <v>5875.6945833677964</v>
      </c>
      <c r="S49" s="93">
        <f t="shared" si="9"/>
        <v>7106.2884750351514</v>
      </c>
      <c r="T49" s="93">
        <f t="shared" si="9"/>
        <v>4884.8342445358576</v>
      </c>
      <c r="U49" s="93">
        <f t="shared" si="9"/>
        <v>5607.3309294265782</v>
      </c>
      <c r="V49" s="93">
        <f t="shared" si="9"/>
        <v>4935.7775480151031</v>
      </c>
      <c r="W49" s="93">
        <f t="shared" si="9"/>
        <v>3714.1730989754069</v>
      </c>
      <c r="X49" s="93">
        <f t="shared" si="9"/>
        <v>0</v>
      </c>
      <c r="Y49" s="93">
        <f t="shared" si="9"/>
        <v>0</v>
      </c>
      <c r="AA49" s="606">
        <f t="shared" si="6"/>
        <v>127465.82804774574</v>
      </c>
      <c r="AB49" s="607">
        <f t="shared" si="2"/>
        <v>63732.914023872872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62">
        <v>0.05</v>
      </c>
      <c r="D51" s="90"/>
      <c r="E51" s="90"/>
      <c r="F51" s="90">
        <f t="shared" ref="F51:Y51" si="10">F49*-$C$51</f>
        <v>19.093000000000028</v>
      </c>
      <c r="G51" s="55">
        <f t="shared" si="10"/>
        <v>-86.362140000000011</v>
      </c>
      <c r="H51" s="90">
        <f t="shared" si="10"/>
        <v>-77.215382800000228</v>
      </c>
      <c r="I51" s="90">
        <f t="shared" si="10"/>
        <v>-100.11669045599993</v>
      </c>
      <c r="J51" s="90">
        <f t="shared" si="10"/>
        <v>-201.76602426512</v>
      </c>
      <c r="K51" s="90">
        <f t="shared" si="10"/>
        <v>-322.3133447504224</v>
      </c>
      <c r="L51" s="90">
        <f t="shared" si="10"/>
        <v>-421.50861164543096</v>
      </c>
      <c r="M51" s="90">
        <f t="shared" si="10"/>
        <v>-626.50178387833955</v>
      </c>
      <c r="N51" s="90">
        <f t="shared" si="10"/>
        <v>-797.09281955590632</v>
      </c>
      <c r="O51" s="90">
        <f t="shared" si="10"/>
        <v>-644.43167594702436</v>
      </c>
      <c r="P51" s="90">
        <f t="shared" si="10"/>
        <v>-752.81830946596494</v>
      </c>
      <c r="Q51" s="90">
        <f t="shared" si="10"/>
        <v>-756.05267565528413</v>
      </c>
      <c r="R51" s="90">
        <f t="shared" si="10"/>
        <v>-293.78472916838984</v>
      </c>
      <c r="S51" s="90">
        <f t="shared" si="10"/>
        <v>-355.3144237517576</v>
      </c>
      <c r="T51" s="90">
        <f t="shared" si="10"/>
        <v>-244.24171222679288</v>
      </c>
      <c r="U51" s="90">
        <f t="shared" si="10"/>
        <v>-280.36654647132895</v>
      </c>
      <c r="V51" s="90">
        <f t="shared" si="10"/>
        <v>-246.78887740075515</v>
      </c>
      <c r="W51" s="90">
        <f t="shared" si="10"/>
        <v>-185.70865494877035</v>
      </c>
      <c r="X51" s="90">
        <f t="shared" si="10"/>
        <v>0</v>
      </c>
      <c r="Y51" s="90">
        <f t="shared" si="10"/>
        <v>0</v>
      </c>
      <c r="AA51" s="606">
        <f t="shared" si="6"/>
        <v>-6373.2914023872872</v>
      </c>
      <c r="AB51" s="607">
        <f t="shared" si="2"/>
        <v>-3186.6457011936436</v>
      </c>
    </row>
    <row r="52" spans="1:28">
      <c r="A52" s="4" t="s">
        <v>29</v>
      </c>
      <c r="C52" s="162">
        <v>0.35</v>
      </c>
      <c r="D52" s="89"/>
      <c r="E52" s="89"/>
      <c r="F52" s="89">
        <f t="shared" ref="F52:Y52" si="11">(F49+F51)*-$C$52</f>
        <v>126.96845000000019</v>
      </c>
      <c r="G52" s="89">
        <f t="shared" si="11"/>
        <v>-574.30823099999998</v>
      </c>
      <c r="H52" s="89">
        <f t="shared" si="11"/>
        <v>-513.48229562000142</v>
      </c>
      <c r="I52" s="89">
        <f t="shared" si="11"/>
        <v>-665.77599153239942</v>
      </c>
      <c r="J52" s="89">
        <f t="shared" si="11"/>
        <v>-1341.7440613630479</v>
      </c>
      <c r="K52" s="89">
        <f t="shared" si="11"/>
        <v>-2143.3837425903089</v>
      </c>
      <c r="L52" s="89">
        <f t="shared" si="11"/>
        <v>-2803.0322674421154</v>
      </c>
      <c r="M52" s="89">
        <f t="shared" si="11"/>
        <v>-4166.2368627909573</v>
      </c>
      <c r="N52" s="89">
        <f t="shared" si="11"/>
        <v>-5300.6672500467766</v>
      </c>
      <c r="O52" s="89">
        <f t="shared" si="11"/>
        <v>-4285.4706450477115</v>
      </c>
      <c r="P52" s="89">
        <f t="shared" si="11"/>
        <v>-5006.2417579486664</v>
      </c>
      <c r="Q52" s="89">
        <f t="shared" si="11"/>
        <v>-5027.7502931076388</v>
      </c>
      <c r="R52" s="89">
        <f t="shared" si="11"/>
        <v>-1953.6684489697921</v>
      </c>
      <c r="S52" s="89">
        <f t="shared" si="11"/>
        <v>-2362.8409179491878</v>
      </c>
      <c r="T52" s="89">
        <f t="shared" si="11"/>
        <v>-1624.2073863081728</v>
      </c>
      <c r="U52" s="89">
        <f t="shared" si="11"/>
        <v>-1864.4375340343372</v>
      </c>
      <c r="V52" s="89">
        <f t="shared" si="11"/>
        <v>-1641.1460347150216</v>
      </c>
      <c r="W52" s="89">
        <f t="shared" si="11"/>
        <v>-1234.9625554093227</v>
      </c>
      <c r="X52" s="89">
        <f t="shared" si="11"/>
        <v>0</v>
      </c>
      <c r="Y52" s="89">
        <f t="shared" si="11"/>
        <v>0</v>
      </c>
      <c r="AA52" s="606">
        <f t="shared" si="6"/>
        <v>-42382.387825875456</v>
      </c>
      <c r="AB52" s="607">
        <f t="shared" si="2"/>
        <v>-21191.193912937728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-235.79855000000038</v>
      </c>
      <c r="G54" s="93">
        <f t="shared" si="12"/>
        <v>1066.5724290000001</v>
      </c>
      <c r="H54" s="93">
        <f t="shared" si="12"/>
        <v>953.60997758000281</v>
      </c>
      <c r="I54" s="93">
        <f t="shared" si="12"/>
        <v>1236.4411271315989</v>
      </c>
      <c r="J54" s="93">
        <f t="shared" si="12"/>
        <v>2491.810399674232</v>
      </c>
      <c r="K54" s="93">
        <f t="shared" si="12"/>
        <v>3980.5698076677168</v>
      </c>
      <c r="L54" s="93">
        <f t="shared" si="12"/>
        <v>5205.6313538210725</v>
      </c>
      <c r="M54" s="93">
        <f t="shared" si="12"/>
        <v>7737.2970308974936</v>
      </c>
      <c r="N54" s="93">
        <f t="shared" si="12"/>
        <v>9844.0963215154443</v>
      </c>
      <c r="O54" s="93">
        <f t="shared" si="12"/>
        <v>7958.73119794575</v>
      </c>
      <c r="P54" s="93">
        <f t="shared" si="12"/>
        <v>9297.3061219046667</v>
      </c>
      <c r="Q54" s="93">
        <f t="shared" si="12"/>
        <v>9337.2505443427581</v>
      </c>
      <c r="R54" s="93">
        <f t="shared" si="12"/>
        <v>3628.2414052296144</v>
      </c>
      <c r="S54" s="93">
        <f t="shared" si="12"/>
        <v>4388.1331333342059</v>
      </c>
      <c r="T54" s="93">
        <f t="shared" si="12"/>
        <v>3016.3851460008923</v>
      </c>
      <c r="U54" s="93">
        <f t="shared" si="12"/>
        <v>3462.5268489209125</v>
      </c>
      <c r="V54" s="93">
        <f t="shared" si="12"/>
        <v>3047.8426358993265</v>
      </c>
      <c r="W54" s="93">
        <f t="shared" si="12"/>
        <v>2293.5018886173139</v>
      </c>
      <c r="X54" s="93">
        <f t="shared" si="12"/>
        <v>0</v>
      </c>
      <c r="Y54" s="93">
        <f t="shared" si="12"/>
        <v>0</v>
      </c>
      <c r="AA54" s="606">
        <f t="shared" si="6"/>
        <v>78710.148819483002</v>
      </c>
      <c r="AB54" s="607">
        <f t="shared" si="2"/>
        <v>39355.074409741501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44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39</v>
      </c>
      <c r="B60" s="26"/>
      <c r="C60" s="16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9"/>
      <c r="E64" s="29"/>
      <c r="F64" s="29">
        <f t="shared" ref="F64:Y64" si="14">F39</f>
        <v>9047.14</v>
      </c>
      <c r="G64" s="29">
        <f t="shared" si="14"/>
        <v>11049.2428</v>
      </c>
      <c r="H64" s="29">
        <f t="shared" si="14"/>
        <v>10695.307656000004</v>
      </c>
      <c r="I64" s="29">
        <f t="shared" si="14"/>
        <v>11008.333809119998</v>
      </c>
      <c r="J64" s="29">
        <f t="shared" si="14"/>
        <v>12843.3204853024</v>
      </c>
      <c r="K64" s="29">
        <f t="shared" si="14"/>
        <v>14868.266895008448</v>
      </c>
      <c r="L64" s="29">
        <f t="shared" si="14"/>
        <v>16317.172232908619</v>
      </c>
      <c r="M64" s="29">
        <f t="shared" si="14"/>
        <v>19796.03567756679</v>
      </c>
      <c r="N64" s="29">
        <f t="shared" si="14"/>
        <v>22435.856391118126</v>
      </c>
      <c r="O64" s="29">
        <f t="shared" si="14"/>
        <v>18547.633518940485</v>
      </c>
      <c r="P64" s="29">
        <f t="shared" si="14"/>
        <v>19890.366189319298</v>
      </c>
      <c r="Q64" s="29">
        <f t="shared" si="14"/>
        <v>19026.053513105682</v>
      </c>
      <c r="R64" s="29">
        <f t="shared" si="14"/>
        <v>9200.6945833677964</v>
      </c>
      <c r="S64" s="29">
        <f t="shared" si="14"/>
        <v>10431.288475035151</v>
      </c>
      <c r="T64" s="29">
        <f t="shared" si="14"/>
        <v>8209.8342445358576</v>
      </c>
      <c r="U64" s="29">
        <f t="shared" si="14"/>
        <v>8932.3309294265782</v>
      </c>
      <c r="V64" s="29">
        <f t="shared" si="14"/>
        <v>8260.7775480151031</v>
      </c>
      <c r="W64" s="29">
        <f t="shared" si="14"/>
        <v>7039.1730989754069</v>
      </c>
      <c r="X64" s="29">
        <f t="shared" si="14"/>
        <v>0</v>
      </c>
      <c r="Y64" s="29">
        <f t="shared" si="14"/>
        <v>0</v>
      </c>
      <c r="AA64" s="606">
        <f t="shared" si="6"/>
        <v>237598.82804774577</v>
      </c>
      <c r="AB64" s="607">
        <f t="shared" si="2"/>
        <v>118799.41402387289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00"/>
      <c r="F66" s="100">
        <v>-7104</v>
      </c>
      <c r="G66" s="100">
        <v>-7997</v>
      </c>
      <c r="H66" s="100">
        <v>-7826</v>
      </c>
      <c r="I66" s="100">
        <v>-7181</v>
      </c>
      <c r="J66" s="100">
        <v>-9483</v>
      </c>
      <c r="K66" s="100">
        <v>-11097</v>
      </c>
      <c r="L66" s="100">
        <v>-11562</v>
      </c>
      <c r="M66" s="100">
        <v>-12441</v>
      </c>
      <c r="N66" s="100">
        <v>-13169</v>
      </c>
      <c r="O66" s="100">
        <v>-11334</v>
      </c>
      <c r="P66" s="100">
        <v>-13009</v>
      </c>
      <c r="Q66" s="100">
        <v>-9580</v>
      </c>
      <c r="R66" s="100">
        <v>0</v>
      </c>
      <c r="S66" s="100">
        <v>0</v>
      </c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AA66" s="606">
        <f t="shared" si="6"/>
        <v>-121783</v>
      </c>
      <c r="AB66" s="607">
        <f t="shared" si="2"/>
        <v>-60891.5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1943.1399999999994</v>
      </c>
      <c r="G69" s="95">
        <f t="shared" si="15"/>
        <v>3052.2428</v>
      </c>
      <c r="H69" s="95">
        <f t="shared" si="15"/>
        <v>2869.3076560000045</v>
      </c>
      <c r="I69" s="95">
        <f t="shared" si="15"/>
        <v>3827.3338091199985</v>
      </c>
      <c r="J69" s="95">
        <f t="shared" si="15"/>
        <v>3360.3204853023999</v>
      </c>
      <c r="K69" s="95">
        <f t="shared" si="15"/>
        <v>3771.266895008448</v>
      </c>
      <c r="L69" s="95">
        <f t="shared" si="15"/>
        <v>4755.1722329086188</v>
      </c>
      <c r="M69" s="95">
        <f t="shared" si="15"/>
        <v>7355.0356775667897</v>
      </c>
      <c r="N69" s="95">
        <f t="shared" si="15"/>
        <v>9266.8563911181263</v>
      </c>
      <c r="O69" s="95">
        <f t="shared" si="15"/>
        <v>7213.6335189404854</v>
      </c>
      <c r="P69" s="95">
        <f t="shared" si="15"/>
        <v>6881.3661893192984</v>
      </c>
      <c r="Q69" s="95">
        <f t="shared" si="15"/>
        <v>9446.0535131056822</v>
      </c>
      <c r="R69" s="95">
        <f t="shared" si="15"/>
        <v>9200.6945833677964</v>
      </c>
      <c r="S69" s="95">
        <f t="shared" si="15"/>
        <v>10431.288475035151</v>
      </c>
      <c r="T69" s="95">
        <f t="shared" si="15"/>
        <v>8209.8342445358576</v>
      </c>
      <c r="U69" s="95">
        <f t="shared" si="15"/>
        <v>8932.3309294265782</v>
      </c>
      <c r="V69" s="95">
        <f t="shared" si="15"/>
        <v>8260.7775480151031</v>
      </c>
      <c r="W69" s="95">
        <f t="shared" si="15"/>
        <v>7039.1730989754069</v>
      </c>
      <c r="X69" s="95">
        <f t="shared" si="15"/>
        <v>0</v>
      </c>
      <c r="Y69" s="95">
        <f t="shared" si="15"/>
        <v>0</v>
      </c>
      <c r="AA69" s="606">
        <f t="shared" si="6"/>
        <v>115815.82804774574</v>
      </c>
      <c r="AB69" s="607">
        <f t="shared" si="2"/>
        <v>57907.914023872872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X71" si="16">F88</f>
        <v>1943.1399999999994</v>
      </c>
      <c r="G71" s="100">
        <f t="shared" si="16"/>
        <v>3052.2428</v>
      </c>
      <c r="H71" s="100">
        <f t="shared" si="16"/>
        <v>2869.3076560000045</v>
      </c>
      <c r="I71" s="100">
        <f t="shared" si="16"/>
        <v>3827.3338091199985</v>
      </c>
      <c r="J71" s="100">
        <f t="shared" si="16"/>
        <v>3360.3204853023999</v>
      </c>
      <c r="K71" s="100">
        <f t="shared" si="16"/>
        <v>3771.266895008448</v>
      </c>
      <c r="L71" s="100">
        <f t="shared" si="16"/>
        <v>4755.1722329086188</v>
      </c>
      <c r="M71" s="100">
        <f t="shared" si="16"/>
        <v>7355.0356775667897</v>
      </c>
      <c r="N71" s="100">
        <f t="shared" si="16"/>
        <v>9266.8563911181263</v>
      </c>
      <c r="O71" s="100">
        <f t="shared" si="16"/>
        <v>7213.6335189404854</v>
      </c>
      <c r="P71" s="100">
        <f t="shared" si="16"/>
        <v>6881.3661893192984</v>
      </c>
      <c r="Q71" s="100">
        <f t="shared" si="16"/>
        <v>9446.0535131056822</v>
      </c>
      <c r="R71" s="100">
        <f t="shared" si="16"/>
        <v>9200.6945833677964</v>
      </c>
      <c r="S71" s="100">
        <f t="shared" si="16"/>
        <v>10431.288475035151</v>
      </c>
      <c r="T71" s="100">
        <f t="shared" si="16"/>
        <v>8209.8342445358576</v>
      </c>
      <c r="U71" s="100">
        <f t="shared" si="16"/>
        <v>8932.3309294265782</v>
      </c>
      <c r="V71" s="100">
        <f t="shared" si="16"/>
        <v>8260.7775480151031</v>
      </c>
      <c r="W71" s="100">
        <f t="shared" si="16"/>
        <v>7039.1730989754069</v>
      </c>
      <c r="X71" s="100">
        <f t="shared" si="16"/>
        <v>0</v>
      </c>
      <c r="Y71" s="100">
        <v>0</v>
      </c>
      <c r="AA71" s="606">
        <f t="shared" si="6"/>
        <v>115815.82804774574</v>
      </c>
      <c r="AB71" s="607">
        <f t="shared" si="2"/>
        <v>57907.914023872872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3886.2799999999988</v>
      </c>
      <c r="G73" s="28">
        <f t="shared" si="17"/>
        <v>6104.4856</v>
      </c>
      <c r="H73" s="28">
        <f t="shared" si="17"/>
        <v>5738.615312000009</v>
      </c>
      <c r="I73" s="28">
        <f t="shared" si="17"/>
        <v>7654.667618239997</v>
      </c>
      <c r="J73" s="28">
        <f t="shared" si="17"/>
        <v>6720.6409706047998</v>
      </c>
      <c r="K73" s="28">
        <f t="shared" si="17"/>
        <v>7542.5337900168961</v>
      </c>
      <c r="L73" s="28">
        <f t="shared" si="17"/>
        <v>9510.3444658172375</v>
      </c>
      <c r="M73" s="28">
        <f t="shared" si="17"/>
        <v>14710.071355133579</v>
      </c>
      <c r="N73" s="28">
        <f t="shared" si="17"/>
        <v>18533.712782236253</v>
      </c>
      <c r="O73" s="28">
        <f t="shared" si="17"/>
        <v>14427.267037880971</v>
      </c>
      <c r="P73" s="28">
        <f t="shared" si="17"/>
        <v>13762.732378638597</v>
      </c>
      <c r="Q73" s="28">
        <f t="shared" si="17"/>
        <v>18892.107026211364</v>
      </c>
      <c r="R73" s="28">
        <f t="shared" si="17"/>
        <v>18401.389166735593</v>
      </c>
      <c r="S73" s="28">
        <f t="shared" si="17"/>
        <v>20862.576950070303</v>
      </c>
      <c r="T73" s="28">
        <f t="shared" si="17"/>
        <v>16419.668489071715</v>
      </c>
      <c r="U73" s="28">
        <f t="shared" si="17"/>
        <v>17864.661858853156</v>
      </c>
      <c r="V73" s="28">
        <f t="shared" si="17"/>
        <v>16521.555096030206</v>
      </c>
      <c r="W73" s="28">
        <f t="shared" si="17"/>
        <v>14078.346197950814</v>
      </c>
      <c r="X73" s="28">
        <f t="shared" si="17"/>
        <v>0</v>
      </c>
      <c r="Y73" s="28">
        <f t="shared" si="17"/>
        <v>0</v>
      </c>
      <c r="AA73" s="606">
        <f t="shared" si="6"/>
        <v>231631.65609549149</v>
      </c>
      <c r="AB73" s="607">
        <f t="shared" si="2"/>
        <v>115815.82804774574</v>
      </c>
    </row>
    <row r="74" spans="1:28" outlineLevel="1">
      <c r="A74" s="15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54">
        <f>$C$60</f>
        <v>0.5</v>
      </c>
      <c r="D76" s="28"/>
      <c r="E76" s="28"/>
      <c r="F76" s="28">
        <f t="shared" ref="F76:Y76" si="19">$C$76*F54</f>
        <v>-117.89927500000019</v>
      </c>
      <c r="G76" s="28">
        <f t="shared" si="19"/>
        <v>533.28621450000003</v>
      </c>
      <c r="H76" s="28">
        <f t="shared" si="19"/>
        <v>476.8049887900014</v>
      </c>
      <c r="I76" s="28">
        <f t="shared" si="19"/>
        <v>618.22056356579947</v>
      </c>
      <c r="J76" s="28">
        <f t="shared" si="19"/>
        <v>1245.905199837116</v>
      </c>
      <c r="K76" s="28">
        <f t="shared" si="19"/>
        <v>1990.2849038338584</v>
      </c>
      <c r="L76" s="28">
        <f t="shared" si="19"/>
        <v>2602.8156769105362</v>
      </c>
      <c r="M76" s="28">
        <f t="shared" si="19"/>
        <v>3868.6485154487468</v>
      </c>
      <c r="N76" s="28">
        <f t="shared" si="19"/>
        <v>4922.0481607577221</v>
      </c>
      <c r="O76" s="28">
        <f t="shared" si="19"/>
        <v>3979.365598972875</v>
      </c>
      <c r="P76" s="28">
        <f t="shared" si="19"/>
        <v>4648.6530609523334</v>
      </c>
      <c r="Q76" s="28">
        <f t="shared" si="19"/>
        <v>4668.625272171379</v>
      </c>
      <c r="R76" s="28">
        <f t="shared" si="19"/>
        <v>1814.1207026148072</v>
      </c>
      <c r="S76" s="28">
        <f t="shared" si="19"/>
        <v>2194.066566667103</v>
      </c>
      <c r="T76" s="28">
        <f t="shared" si="19"/>
        <v>1508.1925730004461</v>
      </c>
      <c r="U76" s="28">
        <f t="shared" si="19"/>
        <v>1731.2634244604562</v>
      </c>
      <c r="V76" s="28">
        <f t="shared" si="19"/>
        <v>1523.9213179496633</v>
      </c>
      <c r="W76" s="28">
        <f t="shared" si="19"/>
        <v>1146.7509443086569</v>
      </c>
      <c r="X76" s="28">
        <f t="shared" si="19"/>
        <v>0</v>
      </c>
      <c r="Y76" s="28">
        <f t="shared" si="19"/>
        <v>0</v>
      </c>
      <c r="AA76" s="606">
        <f t="shared" si="6"/>
        <v>39355.074409741501</v>
      </c>
      <c r="AB76" s="607">
        <f>AA76</f>
        <v>39355.074409741501</v>
      </c>
    </row>
    <row r="77" spans="1:28" outlineLevel="1">
      <c r="A77" s="16" t="s">
        <v>366</v>
      </c>
      <c r="B77" s="26"/>
      <c r="C77" s="254">
        <f>$C$60</f>
        <v>0.5</v>
      </c>
      <c r="D77" s="28"/>
      <c r="E77" s="28"/>
      <c r="F77" s="28">
        <f t="shared" ref="F77:Y77" si="20">$C$77*F73</f>
        <v>1943.1399999999994</v>
      </c>
      <c r="G77" s="28">
        <f t="shared" si="20"/>
        <v>3052.2428</v>
      </c>
      <c r="H77" s="28">
        <f t="shared" si="20"/>
        <v>2869.3076560000045</v>
      </c>
      <c r="I77" s="28">
        <f t="shared" si="20"/>
        <v>3827.3338091199985</v>
      </c>
      <c r="J77" s="28">
        <f t="shared" si="20"/>
        <v>3360.3204853023999</v>
      </c>
      <c r="K77" s="28">
        <f t="shared" si="20"/>
        <v>3771.266895008448</v>
      </c>
      <c r="L77" s="28">
        <f t="shared" si="20"/>
        <v>4755.1722329086188</v>
      </c>
      <c r="M77" s="28">
        <f t="shared" si="20"/>
        <v>7355.0356775667897</v>
      </c>
      <c r="N77" s="28">
        <f t="shared" si="20"/>
        <v>9266.8563911181263</v>
      </c>
      <c r="O77" s="28">
        <f t="shared" si="20"/>
        <v>7213.6335189404854</v>
      </c>
      <c r="P77" s="28">
        <f t="shared" si="20"/>
        <v>6881.3661893192984</v>
      </c>
      <c r="Q77" s="28">
        <f t="shared" si="20"/>
        <v>9446.0535131056822</v>
      </c>
      <c r="R77" s="28">
        <f t="shared" si="20"/>
        <v>9200.6945833677964</v>
      </c>
      <c r="S77" s="28">
        <f t="shared" si="20"/>
        <v>10431.288475035151</v>
      </c>
      <c r="T77" s="28">
        <f t="shared" si="20"/>
        <v>8209.8342445358576</v>
      </c>
      <c r="U77" s="28">
        <f t="shared" si="20"/>
        <v>8932.3309294265782</v>
      </c>
      <c r="V77" s="28">
        <f t="shared" si="20"/>
        <v>8260.7775480151031</v>
      </c>
      <c r="W77" s="28">
        <f t="shared" si="20"/>
        <v>7039.1730989754069</v>
      </c>
      <c r="X77" s="28">
        <f t="shared" si="20"/>
        <v>0</v>
      </c>
      <c r="Y77" s="28">
        <f t="shared" si="20"/>
        <v>0</v>
      </c>
      <c r="AA77" s="606">
        <f t="shared" si="6"/>
        <v>115815.82804774574</v>
      </c>
      <c r="AB77" s="607">
        <f>AA77</f>
        <v>115815.82804774574</v>
      </c>
    </row>
    <row r="78" spans="1:28" outlineLevel="1">
      <c r="A78" s="16"/>
      <c r="C78" s="252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ht="13.5" outlineLevel="1">
      <c r="A84" s="106"/>
      <c r="B84" s="8"/>
      <c r="C84" s="8"/>
      <c r="D84" s="8"/>
      <c r="E84" s="8"/>
      <c r="F84" s="8"/>
      <c r="G84" s="8"/>
      <c r="H84" s="8"/>
      <c r="I84" s="35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outlineLevel="1">
      <c r="A85" s="21"/>
      <c r="B85" s="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>F69</f>
        <v>1943.1399999999994</v>
      </c>
      <c r="G88" s="200">
        <f t="shared" ref="G88:Y88" si="22">G69</f>
        <v>3052.2428</v>
      </c>
      <c r="H88" s="200">
        <f t="shared" si="22"/>
        <v>2869.3076560000045</v>
      </c>
      <c r="I88" s="200">
        <f t="shared" si="22"/>
        <v>3827.3338091199985</v>
      </c>
      <c r="J88" s="200">
        <f t="shared" si="22"/>
        <v>3360.3204853023999</v>
      </c>
      <c r="K88" s="200">
        <f t="shared" si="22"/>
        <v>3771.266895008448</v>
      </c>
      <c r="L88" s="200">
        <f t="shared" si="22"/>
        <v>4755.1722329086188</v>
      </c>
      <c r="M88" s="200">
        <f t="shared" si="22"/>
        <v>7355.0356775667897</v>
      </c>
      <c r="N88" s="200">
        <f t="shared" si="22"/>
        <v>9266.8563911181263</v>
      </c>
      <c r="O88" s="200">
        <f t="shared" si="22"/>
        <v>7213.6335189404854</v>
      </c>
      <c r="P88" s="200">
        <f t="shared" si="22"/>
        <v>6881.3661893192984</v>
      </c>
      <c r="Q88" s="200">
        <f t="shared" si="22"/>
        <v>9446.0535131056822</v>
      </c>
      <c r="R88" s="200">
        <f t="shared" si="22"/>
        <v>9200.6945833677964</v>
      </c>
      <c r="S88" s="200">
        <f t="shared" si="22"/>
        <v>10431.288475035151</v>
      </c>
      <c r="T88" s="200">
        <f t="shared" si="22"/>
        <v>8209.8342445358576</v>
      </c>
      <c r="U88" s="200">
        <f t="shared" si="22"/>
        <v>8932.3309294265782</v>
      </c>
      <c r="V88" s="200">
        <f t="shared" si="22"/>
        <v>8260.7775480151031</v>
      </c>
      <c r="W88" s="200">
        <f t="shared" si="22"/>
        <v>7039.1730989754069</v>
      </c>
      <c r="X88" s="200">
        <f t="shared" si="22"/>
        <v>0</v>
      </c>
      <c r="Y88" s="200">
        <f t="shared" si="22"/>
        <v>0</v>
      </c>
      <c r="AA88" s="606">
        <f t="shared" si="6"/>
        <v>115815.82804774574</v>
      </c>
      <c r="AB88" s="607">
        <f t="shared" si="18"/>
        <v>57907.914023872872</v>
      </c>
    </row>
    <row r="89" spans="1:28" s="199" customFormat="1">
      <c r="A89" s="199" t="s">
        <v>53</v>
      </c>
      <c r="F89" s="110">
        <f>F125+F126</f>
        <v>304.87881360960836</v>
      </c>
      <c r="G89" s="110">
        <f t="shared" ref="G89:W89" si="23">G125+G126</f>
        <v>821.57499177273667</v>
      </c>
      <c r="H89" s="110">
        <f t="shared" si="23"/>
        <v>684.77398139902607</v>
      </c>
      <c r="I89" s="110">
        <f t="shared" si="23"/>
        <v>318.8283293493472</v>
      </c>
      <c r="J89" s="110">
        <f t="shared" si="23"/>
        <v>-635.80567608105002</v>
      </c>
      <c r="K89" s="110">
        <f t="shared" si="23"/>
        <v>-1721.2752328935903</v>
      </c>
      <c r="L89" s="110">
        <f t="shared" si="23"/>
        <v>-2631.5750395345426</v>
      </c>
      <c r="M89" s="110">
        <f t="shared" si="23"/>
        <v>-4339.4022818045905</v>
      </c>
      <c r="N89" s="110">
        <f t="shared" si="23"/>
        <v>-5667.3137825557296</v>
      </c>
      <c r="O89" s="110">
        <f t="shared" si="23"/>
        <v>-4499.8375352447456</v>
      </c>
      <c r="P89" s="110">
        <f t="shared" si="23"/>
        <v>-5328.6137803676784</v>
      </c>
      <c r="Q89" s="110">
        <f t="shared" si="23"/>
        <v>-5353.7381830129325</v>
      </c>
      <c r="R89" s="110">
        <f t="shared" si="23"/>
        <v>-1817.0068910912294</v>
      </c>
      <c r="S89" s="110">
        <f t="shared" si="23"/>
        <v>-2288.0905559509551</v>
      </c>
      <c r="T89" s="110">
        <f t="shared" si="23"/>
        <v>-1438.0028114880129</v>
      </c>
      <c r="U89" s="110">
        <f t="shared" si="23"/>
        <v>-1714.7392947556762</v>
      </c>
      <c r="V89" s="110">
        <f t="shared" si="23"/>
        <v>-1457.4886250688241</v>
      </c>
      <c r="W89" s="110">
        <f t="shared" si="23"/>
        <v>-990.60642460810311</v>
      </c>
      <c r="X89" s="110">
        <v>0</v>
      </c>
      <c r="Y89" s="110">
        <v>0</v>
      </c>
      <c r="AA89" s="606">
        <f t="shared" si="6"/>
        <v>-37753.439998326932</v>
      </c>
      <c r="AB89" s="607">
        <f t="shared" si="18"/>
        <v>-18876.719999163466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f>Y98</f>
        <v>30242.833371836517</v>
      </c>
      <c r="X90" s="111">
        <v>0</v>
      </c>
      <c r="Y90" s="111">
        <v>0</v>
      </c>
      <c r="AA90" s="606">
        <f t="shared" si="6"/>
        <v>30242.833371836517</v>
      </c>
      <c r="AB90" s="607">
        <f t="shared" si="18"/>
        <v>15121.416685918259</v>
      </c>
    </row>
    <row r="91" spans="1:28" s="199" customFormat="1">
      <c r="A91" s="199" t="s">
        <v>55</v>
      </c>
      <c r="E91" s="148">
        <v>-39321.001296314367</v>
      </c>
      <c r="F91" s="200">
        <f>F88+F89+F90</f>
        <v>2248.0188136096076</v>
      </c>
      <c r="G91" s="200">
        <f t="shared" ref="G91:Y91" si="24">G88+G89+G90</f>
        <v>3873.8177917727367</v>
      </c>
      <c r="H91" s="200">
        <f t="shared" si="24"/>
        <v>3554.0816373990306</v>
      </c>
      <c r="I91" s="200">
        <f t="shared" si="24"/>
        <v>4146.1621384693453</v>
      </c>
      <c r="J91" s="200">
        <f t="shared" si="24"/>
        <v>2724.5148092213499</v>
      </c>
      <c r="K91" s="200">
        <f t="shared" si="24"/>
        <v>2049.9916621148577</v>
      </c>
      <c r="L91" s="200">
        <f t="shared" si="24"/>
        <v>2123.5971933740761</v>
      </c>
      <c r="M91" s="200">
        <f t="shared" si="24"/>
        <v>3015.6333957621991</v>
      </c>
      <c r="N91" s="200">
        <f t="shared" si="24"/>
        <v>3599.5426085623967</v>
      </c>
      <c r="O91" s="200">
        <f t="shared" si="24"/>
        <v>2713.7959836957398</v>
      </c>
      <c r="P91" s="200">
        <f t="shared" si="24"/>
        <v>1552.7524089516201</v>
      </c>
      <c r="Q91" s="200">
        <f t="shared" si="24"/>
        <v>4092.3153300927497</v>
      </c>
      <c r="R91" s="200">
        <f t="shared" si="24"/>
        <v>7383.6876922765668</v>
      </c>
      <c r="S91" s="200">
        <f t="shared" si="24"/>
        <v>8143.1979190841957</v>
      </c>
      <c r="T91" s="200">
        <f t="shared" si="24"/>
        <v>6771.8314330478443</v>
      </c>
      <c r="U91" s="200">
        <f t="shared" si="24"/>
        <v>7217.5916346709018</v>
      </c>
      <c r="V91" s="200">
        <f t="shared" si="24"/>
        <v>6803.2889229462789</v>
      </c>
      <c r="W91" s="200">
        <f t="shared" si="24"/>
        <v>36291.400046203824</v>
      </c>
      <c r="X91" s="200">
        <f t="shared" si="24"/>
        <v>0</v>
      </c>
      <c r="Y91" s="200">
        <f t="shared" si="24"/>
        <v>0</v>
      </c>
      <c r="AA91" s="606">
        <f t="shared" si="6"/>
        <v>108305.22142125532</v>
      </c>
      <c r="AB91" s="607">
        <f t="shared" si="18"/>
        <v>54152.610710627661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4.1719940448299454E-11</v>
      </c>
      <c r="R94" s="204"/>
      <c r="U94" s="205" t="s">
        <v>58</v>
      </c>
      <c r="V94" s="206"/>
      <c r="W94" s="206"/>
      <c r="X94" s="206"/>
      <c r="Y94" s="207">
        <f>W88+W89</f>
        <v>6048.5666743673037</v>
      </c>
      <c r="AA94" s="606">
        <f t="shared" si="6"/>
        <v>6048.5666743673037</v>
      </c>
      <c r="AB94" s="607">
        <f t="shared" si="18"/>
        <v>3024.2833371836518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18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6048.5666743673037</v>
      </c>
      <c r="AA96" s="606">
        <f t="shared" si="6"/>
        <v>6048.5666743673037</v>
      </c>
      <c r="AB96" s="607">
        <f t="shared" si="18"/>
        <v>3024.2833371836518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30242.833371836517</v>
      </c>
      <c r="AA98" s="606">
        <f t="shared" si="6"/>
        <v>30242.833371836517</v>
      </c>
      <c r="AB98" s="607">
        <f t="shared" si="18"/>
        <v>15121.416685918259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213">
        <f>-(SUM(E66:Y66)+SUM(E46:Y46))</f>
        <v>71500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39321.001296314367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13">
        <f>D100+D101</f>
        <v>110821.00129631437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13">
        <f>D102*D103</f>
        <v>99738.901166682932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99738.901166682932</v>
      </c>
      <c r="F108" s="203">
        <f>ROUND(D108/$B$108,0)</f>
        <v>3325</v>
      </c>
      <c r="G108" s="203">
        <f>F108</f>
        <v>3325</v>
      </c>
      <c r="H108" s="203">
        <f t="shared" ref="H108:W109" si="27">G108</f>
        <v>3325</v>
      </c>
      <c r="I108" s="203">
        <f t="shared" si="27"/>
        <v>3325</v>
      </c>
      <c r="J108" s="203">
        <f t="shared" si="27"/>
        <v>3325</v>
      </c>
      <c r="K108" s="203">
        <f t="shared" si="27"/>
        <v>3325</v>
      </c>
      <c r="L108" s="203">
        <f t="shared" si="27"/>
        <v>3325</v>
      </c>
      <c r="M108" s="203">
        <f t="shared" si="27"/>
        <v>3325</v>
      </c>
      <c r="N108" s="203">
        <f t="shared" si="27"/>
        <v>3325</v>
      </c>
      <c r="O108" s="203">
        <f t="shared" si="27"/>
        <v>3325</v>
      </c>
      <c r="P108" s="203">
        <f t="shared" si="27"/>
        <v>3325</v>
      </c>
      <c r="Q108" s="203">
        <f t="shared" si="27"/>
        <v>3325</v>
      </c>
      <c r="R108" s="203">
        <f t="shared" si="27"/>
        <v>3325</v>
      </c>
      <c r="S108" s="203">
        <f t="shared" si="27"/>
        <v>3325</v>
      </c>
      <c r="T108" s="203">
        <f t="shared" si="27"/>
        <v>3325</v>
      </c>
      <c r="U108" s="203">
        <f t="shared" si="27"/>
        <v>3325</v>
      </c>
      <c r="V108" s="203">
        <f t="shared" si="27"/>
        <v>3325</v>
      </c>
      <c r="W108" s="203">
        <f t="shared" si="27"/>
        <v>3325</v>
      </c>
      <c r="X108" s="739"/>
      <c r="Y108" s="739"/>
      <c r="AA108" s="606">
        <f t="shared" si="25"/>
        <v>59850</v>
      </c>
      <c r="AB108" s="607">
        <f t="shared" si="18"/>
        <v>29925</v>
      </c>
    </row>
    <row r="109" spans="1:28" s="199" customFormat="1">
      <c r="A109" s="199" t="s">
        <v>571</v>
      </c>
      <c r="D109" s="214">
        <f>D103*'FPLE_Valuation Summary'!V24</f>
        <v>3145.512178413378</v>
      </c>
      <c r="F109" s="203">
        <f>ROUND(D109/$B$108,0)</f>
        <v>105</v>
      </c>
      <c r="G109" s="203">
        <f>F109</f>
        <v>105</v>
      </c>
      <c r="H109" s="203">
        <f t="shared" si="27"/>
        <v>105</v>
      </c>
      <c r="I109" s="203">
        <f t="shared" si="27"/>
        <v>105</v>
      </c>
      <c r="J109" s="203">
        <f t="shared" si="27"/>
        <v>105</v>
      </c>
      <c r="K109" s="203">
        <f t="shared" si="27"/>
        <v>105</v>
      </c>
      <c r="L109" s="203">
        <f t="shared" si="27"/>
        <v>105</v>
      </c>
      <c r="M109" s="203">
        <f t="shared" si="27"/>
        <v>105</v>
      </c>
      <c r="N109" s="203">
        <f t="shared" si="27"/>
        <v>105</v>
      </c>
      <c r="O109" s="203">
        <f t="shared" si="27"/>
        <v>105</v>
      </c>
      <c r="P109" s="203">
        <f t="shared" si="27"/>
        <v>105</v>
      </c>
      <c r="Q109" s="203">
        <f t="shared" si="27"/>
        <v>105</v>
      </c>
      <c r="R109" s="203">
        <f t="shared" si="27"/>
        <v>105</v>
      </c>
      <c r="S109" s="203">
        <f t="shared" si="27"/>
        <v>105</v>
      </c>
      <c r="T109" s="203">
        <f t="shared" si="27"/>
        <v>105</v>
      </c>
      <c r="U109" s="203">
        <f t="shared" si="27"/>
        <v>105</v>
      </c>
      <c r="V109" s="203">
        <f t="shared" si="27"/>
        <v>105</v>
      </c>
      <c r="W109" s="203">
        <f t="shared" si="27"/>
        <v>105</v>
      </c>
      <c r="X109" s="739"/>
      <c r="Y109" s="739"/>
      <c r="AA109" s="606">
        <f t="shared" si="25"/>
        <v>1890</v>
      </c>
      <c r="AB109" s="607">
        <f t="shared" si="18"/>
        <v>945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99738.901166682932</v>
      </c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72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5"/>
        <v>0.97769000000000017</v>
      </c>
      <c r="AB113" s="607">
        <f t="shared" si="18"/>
        <v>0.48884500000000009</v>
      </c>
    </row>
    <row r="114" spans="1:28" s="199" customFormat="1">
      <c r="A114" s="199" t="s">
        <v>70</v>
      </c>
      <c r="F114" s="203">
        <f t="shared" ref="F114:W114" si="28">$D$112*F113</f>
        <v>3740.2087937506099</v>
      </c>
      <c r="G114" s="203">
        <f t="shared" si="28"/>
        <v>7200.1512752228409</v>
      </c>
      <c r="H114" s="203">
        <f t="shared" si="28"/>
        <v>6659.5664308994192</v>
      </c>
      <c r="I114" s="203">
        <f t="shared" si="28"/>
        <v>6160.8719250660042</v>
      </c>
      <c r="J114" s="203">
        <f t="shared" si="28"/>
        <v>5698.0834236525961</v>
      </c>
      <c r="K114" s="203">
        <f t="shared" si="28"/>
        <v>5271.2009266591931</v>
      </c>
      <c r="L114" s="203">
        <f t="shared" si="28"/>
        <v>4875.2374890274614</v>
      </c>
      <c r="M114" s="203">
        <f t="shared" si="28"/>
        <v>4510.1931107574028</v>
      </c>
      <c r="N114" s="203">
        <f t="shared" si="28"/>
        <v>4450.3497700573926</v>
      </c>
      <c r="O114" s="203">
        <f t="shared" si="28"/>
        <v>4449.3523810457255</v>
      </c>
      <c r="P114" s="203">
        <f t="shared" si="28"/>
        <v>4450.3497700573926</v>
      </c>
      <c r="Q114" s="203">
        <f t="shared" si="28"/>
        <v>4449.3523810457255</v>
      </c>
      <c r="R114" s="203">
        <f t="shared" si="28"/>
        <v>4450.3497700573926</v>
      </c>
      <c r="S114" s="203">
        <f t="shared" si="28"/>
        <v>4449.3523810457255</v>
      </c>
      <c r="T114" s="203">
        <f t="shared" si="28"/>
        <v>4450.3497700573926</v>
      </c>
      <c r="U114" s="203">
        <f t="shared" si="28"/>
        <v>4449.3523810457255</v>
      </c>
      <c r="V114" s="203">
        <f t="shared" si="28"/>
        <v>4450.3497700573926</v>
      </c>
      <c r="W114" s="203">
        <f t="shared" si="28"/>
        <v>4449.3523810457255</v>
      </c>
      <c r="X114" s="739"/>
      <c r="Y114" s="739"/>
      <c r="AA114" s="606">
        <f t="shared" si="25"/>
        <v>88614.024130551115</v>
      </c>
      <c r="AB114" s="607">
        <f t="shared" si="18"/>
        <v>44307.012065275558</v>
      </c>
    </row>
    <row r="115" spans="1:28" s="199" customFormat="1">
      <c r="A115" s="199" t="s">
        <v>571</v>
      </c>
      <c r="D115" s="214">
        <f>D109</f>
        <v>3145.512178413378</v>
      </c>
      <c r="F115" s="203">
        <f>$D$115*F113</f>
        <v>117.95670669050168</v>
      </c>
      <c r="G115" s="203">
        <f t="shared" ref="G115:W115" si="29">$D$115*G113</f>
        <v>227.07452415966176</v>
      </c>
      <c r="H115" s="203">
        <f t="shared" si="29"/>
        <v>210.02584815266124</v>
      </c>
      <c r="I115" s="203">
        <f t="shared" si="29"/>
        <v>194.29828726059435</v>
      </c>
      <c r="J115" s="203">
        <f t="shared" si="29"/>
        <v>179.70311075275629</v>
      </c>
      <c r="K115" s="203">
        <f t="shared" si="29"/>
        <v>166.24031862914703</v>
      </c>
      <c r="L115" s="203">
        <f t="shared" si="29"/>
        <v>153.75263528084591</v>
      </c>
      <c r="M115" s="203">
        <f t="shared" si="29"/>
        <v>142.24006070785296</v>
      </c>
      <c r="N115" s="203">
        <f t="shared" si="29"/>
        <v>140.35275340080491</v>
      </c>
      <c r="O115" s="203">
        <f t="shared" si="29"/>
        <v>140.32129827902079</v>
      </c>
      <c r="P115" s="203">
        <f t="shared" si="29"/>
        <v>140.35275340080491</v>
      </c>
      <c r="Q115" s="203">
        <f t="shared" si="29"/>
        <v>140.32129827902079</v>
      </c>
      <c r="R115" s="203">
        <f t="shared" si="29"/>
        <v>140.35275340080491</v>
      </c>
      <c r="S115" s="203">
        <f t="shared" si="29"/>
        <v>140.32129827902079</v>
      </c>
      <c r="T115" s="203">
        <f t="shared" si="29"/>
        <v>140.35275340080491</v>
      </c>
      <c r="U115" s="203">
        <f t="shared" si="29"/>
        <v>140.32129827902079</v>
      </c>
      <c r="V115" s="203">
        <f t="shared" si="29"/>
        <v>140.35275340080491</v>
      </c>
      <c r="W115" s="203">
        <f t="shared" si="29"/>
        <v>140.32129827902079</v>
      </c>
      <c r="X115" s="739"/>
      <c r="Y115" s="739"/>
      <c r="AA115" s="606">
        <f t="shared" si="25"/>
        <v>2794.6617500331504</v>
      </c>
      <c r="AB115" s="607">
        <f t="shared" si="18"/>
        <v>1397.3308750165752</v>
      </c>
    </row>
    <row r="116" spans="1:28" s="199" customFormat="1"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>F39</f>
        <v>9047.14</v>
      </c>
      <c r="G120" s="203">
        <f t="shared" ref="G120:Y120" si="31">G39</f>
        <v>11049.2428</v>
      </c>
      <c r="H120" s="203">
        <f t="shared" si="31"/>
        <v>10695.307656000004</v>
      </c>
      <c r="I120" s="203">
        <f t="shared" si="31"/>
        <v>11008.333809119998</v>
      </c>
      <c r="J120" s="203">
        <f t="shared" si="31"/>
        <v>12843.3204853024</v>
      </c>
      <c r="K120" s="203">
        <f t="shared" si="31"/>
        <v>14868.266895008448</v>
      </c>
      <c r="L120" s="203">
        <f t="shared" si="31"/>
        <v>16317.172232908619</v>
      </c>
      <c r="M120" s="203">
        <f t="shared" si="31"/>
        <v>19796.03567756679</v>
      </c>
      <c r="N120" s="203">
        <f t="shared" si="31"/>
        <v>22435.856391118126</v>
      </c>
      <c r="O120" s="203">
        <f t="shared" si="31"/>
        <v>18547.633518940485</v>
      </c>
      <c r="P120" s="203">
        <f t="shared" si="31"/>
        <v>19890.366189319298</v>
      </c>
      <c r="Q120" s="203">
        <f t="shared" si="31"/>
        <v>19026.053513105682</v>
      </c>
      <c r="R120" s="203">
        <f t="shared" si="31"/>
        <v>9200.6945833677964</v>
      </c>
      <c r="S120" s="203">
        <f t="shared" si="31"/>
        <v>10431.288475035151</v>
      </c>
      <c r="T120" s="203">
        <f t="shared" si="31"/>
        <v>8209.8342445358576</v>
      </c>
      <c r="U120" s="203">
        <f t="shared" si="31"/>
        <v>8932.3309294265782</v>
      </c>
      <c r="V120" s="203">
        <f t="shared" si="31"/>
        <v>8260.7775480151031</v>
      </c>
      <c r="W120" s="203">
        <f t="shared" si="31"/>
        <v>7039.1730989754069</v>
      </c>
      <c r="X120" s="203">
        <f t="shared" si="31"/>
        <v>0</v>
      </c>
      <c r="Y120" s="203">
        <f t="shared" si="31"/>
        <v>0</v>
      </c>
      <c r="AA120" s="606">
        <f t="shared" si="25"/>
        <v>237598.82804774577</v>
      </c>
      <c r="AB120" s="607">
        <f t="shared" si="18"/>
        <v>118799.41402387289</v>
      </c>
    </row>
    <row r="121" spans="1:28" s="199" customFormat="1">
      <c r="A121" s="199" t="s">
        <v>74</v>
      </c>
      <c r="F121" s="203">
        <f>-F114</f>
        <v>-3740.2087937506099</v>
      </c>
      <c r="G121" s="203">
        <f t="shared" ref="G121:Y121" si="32">-G114</f>
        <v>-7200.1512752228409</v>
      </c>
      <c r="H121" s="203">
        <f t="shared" si="32"/>
        <v>-6659.5664308994192</v>
      </c>
      <c r="I121" s="203">
        <f t="shared" si="32"/>
        <v>-6160.8719250660042</v>
      </c>
      <c r="J121" s="203">
        <f t="shared" si="32"/>
        <v>-5698.0834236525961</v>
      </c>
      <c r="K121" s="203">
        <f t="shared" si="32"/>
        <v>-5271.2009266591931</v>
      </c>
      <c r="L121" s="203">
        <f t="shared" si="32"/>
        <v>-4875.2374890274614</v>
      </c>
      <c r="M121" s="203">
        <f t="shared" si="32"/>
        <v>-4510.1931107574028</v>
      </c>
      <c r="N121" s="203">
        <f t="shared" si="32"/>
        <v>-4450.3497700573926</v>
      </c>
      <c r="O121" s="203">
        <f t="shared" si="32"/>
        <v>-4449.3523810457255</v>
      </c>
      <c r="P121" s="203">
        <f t="shared" si="32"/>
        <v>-4450.3497700573926</v>
      </c>
      <c r="Q121" s="203">
        <f t="shared" si="32"/>
        <v>-4449.3523810457255</v>
      </c>
      <c r="R121" s="203">
        <f t="shared" si="32"/>
        <v>-4450.3497700573926</v>
      </c>
      <c r="S121" s="203">
        <f t="shared" si="32"/>
        <v>-4449.3523810457255</v>
      </c>
      <c r="T121" s="203">
        <f t="shared" si="32"/>
        <v>-4450.3497700573926</v>
      </c>
      <c r="U121" s="203">
        <f t="shared" si="32"/>
        <v>-4449.3523810457255</v>
      </c>
      <c r="V121" s="203">
        <f t="shared" si="32"/>
        <v>-4450.3497700573926</v>
      </c>
      <c r="W121" s="203">
        <f t="shared" si="32"/>
        <v>-4449.3523810457255</v>
      </c>
      <c r="X121" s="203">
        <f t="shared" si="32"/>
        <v>0</v>
      </c>
      <c r="Y121" s="203">
        <f t="shared" si="32"/>
        <v>0</v>
      </c>
      <c r="AA121" s="606">
        <f t="shared" si="25"/>
        <v>-88614.024130551115</v>
      </c>
      <c r="AB121" s="607">
        <f t="shared" si="18"/>
        <v>-44307.012065275558</v>
      </c>
    </row>
    <row r="122" spans="1:28" s="199" customFormat="1">
      <c r="A122" s="199" t="s">
        <v>75</v>
      </c>
      <c r="F122" s="218">
        <f>-F46</f>
        <v>-6104</v>
      </c>
      <c r="G122" s="218">
        <f t="shared" ref="G122:Y122" si="33">-G46</f>
        <v>-5997</v>
      </c>
      <c r="H122" s="218">
        <f t="shared" si="33"/>
        <v>-5826</v>
      </c>
      <c r="I122" s="218">
        <f t="shared" si="33"/>
        <v>-5681</v>
      </c>
      <c r="J122" s="218">
        <f t="shared" si="33"/>
        <v>-5483</v>
      </c>
      <c r="K122" s="218">
        <f t="shared" si="33"/>
        <v>-5097</v>
      </c>
      <c r="L122" s="218">
        <f t="shared" si="33"/>
        <v>-4562</v>
      </c>
      <c r="M122" s="218">
        <f t="shared" si="33"/>
        <v>-3941</v>
      </c>
      <c r="N122" s="218">
        <f t="shared" si="33"/>
        <v>-3169</v>
      </c>
      <c r="O122" s="218">
        <f t="shared" si="33"/>
        <v>-2334</v>
      </c>
      <c r="P122" s="218">
        <f t="shared" si="33"/>
        <v>-1509</v>
      </c>
      <c r="Q122" s="218">
        <f t="shared" si="33"/>
        <v>-580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-50283</v>
      </c>
      <c r="AB122" s="607">
        <f t="shared" si="18"/>
        <v>-25141.5</v>
      </c>
    </row>
    <row r="123" spans="1:28" s="199" customFormat="1">
      <c r="A123" s="199" t="s">
        <v>76</v>
      </c>
      <c r="F123" s="203">
        <f>SUM(F120:F122)</f>
        <v>-797.06879375060998</v>
      </c>
      <c r="G123" s="203">
        <f t="shared" ref="G123:Y123" si="34">SUM(G120:G122)</f>
        <v>-2147.9084752228409</v>
      </c>
      <c r="H123" s="203">
        <f t="shared" si="34"/>
        <v>-1790.2587748994147</v>
      </c>
      <c r="I123" s="203">
        <f t="shared" si="34"/>
        <v>-833.53811594600575</v>
      </c>
      <c r="J123" s="203">
        <f t="shared" si="34"/>
        <v>1662.2370616498038</v>
      </c>
      <c r="K123" s="203">
        <f t="shared" si="34"/>
        <v>4500.0659683492559</v>
      </c>
      <c r="L123" s="203">
        <f t="shared" si="34"/>
        <v>6879.9347438811565</v>
      </c>
      <c r="M123" s="203">
        <f t="shared" si="34"/>
        <v>11344.842566809388</v>
      </c>
      <c r="N123" s="203">
        <f t="shared" si="34"/>
        <v>14816.506621060733</v>
      </c>
      <c r="O123" s="203">
        <f t="shared" si="34"/>
        <v>11764.281137894759</v>
      </c>
      <c r="P123" s="203">
        <f t="shared" si="34"/>
        <v>13931.016419261905</v>
      </c>
      <c r="Q123" s="203">
        <f t="shared" si="34"/>
        <v>13996.701132059956</v>
      </c>
      <c r="R123" s="203">
        <f t="shared" si="34"/>
        <v>4750.3448133104039</v>
      </c>
      <c r="S123" s="203">
        <f t="shared" si="34"/>
        <v>5981.9360939894259</v>
      </c>
      <c r="T123" s="203">
        <f t="shared" si="34"/>
        <v>3759.484474478465</v>
      </c>
      <c r="U123" s="203">
        <f t="shared" si="34"/>
        <v>4482.9785483808528</v>
      </c>
      <c r="V123" s="203">
        <f t="shared" si="34"/>
        <v>3810.4277779577105</v>
      </c>
      <c r="W123" s="203">
        <f t="shared" si="34"/>
        <v>2589.8207179296815</v>
      </c>
      <c r="X123" s="203">
        <f t="shared" si="34"/>
        <v>0</v>
      </c>
      <c r="Y123" s="203">
        <f t="shared" si="34"/>
        <v>0</v>
      </c>
      <c r="AA123" s="606">
        <f t="shared" si="25"/>
        <v>98701.803917194629</v>
      </c>
      <c r="AB123" s="607">
        <f t="shared" si="18"/>
        <v>49350.901958597315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0.05</v>
      </c>
      <c r="F125" s="203">
        <f>-F123*$C$125</f>
        <v>39.853439687530503</v>
      </c>
      <c r="G125" s="203">
        <f t="shared" ref="G125:Y125" si="35">-G123*$C$125</f>
        <v>107.39542376114206</v>
      </c>
      <c r="H125" s="203">
        <f t="shared" si="35"/>
        <v>89.512938744970739</v>
      </c>
      <c r="I125" s="203">
        <f t="shared" si="35"/>
        <v>41.676905797300293</v>
      </c>
      <c r="J125" s="203">
        <f t="shared" si="35"/>
        <v>-83.1118530824902</v>
      </c>
      <c r="K125" s="203">
        <f t="shared" si="35"/>
        <v>-225.00329841746282</v>
      </c>
      <c r="L125" s="203">
        <f t="shared" si="35"/>
        <v>-343.99673719405786</v>
      </c>
      <c r="M125" s="203">
        <f t="shared" si="35"/>
        <v>-567.24212834046943</v>
      </c>
      <c r="N125" s="203">
        <f t="shared" si="35"/>
        <v>-740.82533105303673</v>
      </c>
      <c r="O125" s="203">
        <f t="shared" si="35"/>
        <v>-588.21405689473795</v>
      </c>
      <c r="P125" s="203">
        <f t="shared" si="35"/>
        <v>-696.55082096309525</v>
      </c>
      <c r="Q125" s="203">
        <f t="shared" si="35"/>
        <v>-699.83505660299784</v>
      </c>
      <c r="R125" s="203">
        <f t="shared" si="35"/>
        <v>-237.51724066552021</v>
      </c>
      <c r="S125" s="203">
        <f t="shared" si="35"/>
        <v>-299.09680469947131</v>
      </c>
      <c r="T125" s="203">
        <f t="shared" si="35"/>
        <v>-187.97422372392327</v>
      </c>
      <c r="U125" s="203">
        <f t="shared" si="35"/>
        <v>-224.14892741904265</v>
      </c>
      <c r="V125" s="203">
        <f t="shared" si="35"/>
        <v>-190.52138889788554</v>
      </c>
      <c r="W125" s="203">
        <f t="shared" si="35"/>
        <v>-129.49103589648408</v>
      </c>
      <c r="X125" s="203">
        <f t="shared" si="35"/>
        <v>0</v>
      </c>
      <c r="Y125" s="203">
        <f t="shared" si="35"/>
        <v>0</v>
      </c>
      <c r="AA125" s="606">
        <f t="shared" si="25"/>
        <v>-4935.0901958597315</v>
      </c>
      <c r="AB125" s="607">
        <f t="shared" si="18"/>
        <v>-2467.5450979298657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265.02537392207785</v>
      </c>
      <c r="G126" s="203">
        <f t="shared" ref="G126:Y126" si="36">-(G123+G125)*$C$126</f>
        <v>714.1795680115946</v>
      </c>
      <c r="H126" s="203">
        <f t="shared" si="36"/>
        <v>595.26104265405536</v>
      </c>
      <c r="I126" s="203">
        <f t="shared" si="36"/>
        <v>277.15142355204688</v>
      </c>
      <c r="J126" s="203">
        <f t="shared" si="36"/>
        <v>-552.69382299855977</v>
      </c>
      <c r="K126" s="203">
        <f t="shared" si="36"/>
        <v>-1496.2719344761274</v>
      </c>
      <c r="L126" s="203">
        <f t="shared" si="36"/>
        <v>-2287.5783023404847</v>
      </c>
      <c r="M126" s="203">
        <f t="shared" si="36"/>
        <v>-3772.1601534641213</v>
      </c>
      <c r="N126" s="203">
        <f t="shared" si="36"/>
        <v>-4926.4884515026934</v>
      </c>
      <c r="O126" s="203">
        <f t="shared" si="36"/>
        <v>-3911.6234783500072</v>
      </c>
      <c r="P126" s="203">
        <f t="shared" si="36"/>
        <v>-4632.0629594045831</v>
      </c>
      <c r="Q126" s="203">
        <f t="shared" si="36"/>
        <v>-4653.9031264099349</v>
      </c>
      <c r="R126" s="203">
        <f t="shared" si="36"/>
        <v>-1579.4896504257092</v>
      </c>
      <c r="S126" s="203">
        <f t="shared" si="36"/>
        <v>-1988.9937512514839</v>
      </c>
      <c r="T126" s="203">
        <f t="shared" si="36"/>
        <v>-1250.0285877640895</v>
      </c>
      <c r="U126" s="203">
        <f t="shared" si="36"/>
        <v>-1490.5903673366336</v>
      </c>
      <c r="V126" s="203">
        <f t="shared" si="36"/>
        <v>-1266.9672361709386</v>
      </c>
      <c r="W126" s="203">
        <f t="shared" si="36"/>
        <v>-861.11538871161906</v>
      </c>
      <c r="X126" s="203">
        <f t="shared" si="36"/>
        <v>0</v>
      </c>
      <c r="Y126" s="203">
        <f t="shared" si="36"/>
        <v>0</v>
      </c>
      <c r="AA126" s="606">
        <f t="shared" si="25"/>
        <v>-32818.349802467208</v>
      </c>
      <c r="AB126" s="607">
        <f t="shared" si="18"/>
        <v>-16409.174901233604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203">
        <v>0</v>
      </c>
      <c r="G136" s="203">
        <v>0</v>
      </c>
      <c r="H136" s="203">
        <v>0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203">
        <v>0</v>
      </c>
      <c r="O136" s="203">
        <v>0</v>
      </c>
      <c r="P136" s="203">
        <v>0</v>
      </c>
      <c r="Q136" s="203">
        <v>0</v>
      </c>
      <c r="R136" s="203">
        <v>0</v>
      </c>
      <c r="S136" s="203">
        <v>0</v>
      </c>
      <c r="T136" s="203">
        <v>0</v>
      </c>
      <c r="U136" s="203">
        <v>0</v>
      </c>
      <c r="V136" s="203">
        <v>0</v>
      </c>
      <c r="W136" s="203">
        <v>0</v>
      </c>
      <c r="X136" s="203">
        <v>0</v>
      </c>
      <c r="Y136" s="203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>321+214</f>
        <v>535</v>
      </c>
      <c r="G137" s="218">
        <f>F137*1.03</f>
        <v>551.05000000000007</v>
      </c>
      <c r="H137" s="218">
        <f t="shared" ref="H137:Y137" si="39">G137*1.03</f>
        <v>567.58150000000012</v>
      </c>
      <c r="I137" s="218">
        <f t="shared" si="39"/>
        <v>584.60894500000018</v>
      </c>
      <c r="J137" s="218">
        <f t="shared" si="39"/>
        <v>602.14721335000024</v>
      </c>
      <c r="K137" s="218">
        <f t="shared" si="39"/>
        <v>620.21162975050026</v>
      </c>
      <c r="L137" s="218">
        <f t="shared" si="39"/>
        <v>638.81797864301529</v>
      </c>
      <c r="M137" s="218">
        <f t="shared" si="39"/>
        <v>657.98251800230582</v>
      </c>
      <c r="N137" s="218">
        <f t="shared" si="39"/>
        <v>677.721993542375</v>
      </c>
      <c r="O137" s="218">
        <f t="shared" si="39"/>
        <v>698.05365334864632</v>
      </c>
      <c r="P137" s="218">
        <f t="shared" si="39"/>
        <v>718.99526294910572</v>
      </c>
      <c r="Q137" s="218">
        <f t="shared" si="39"/>
        <v>740.56512083757889</v>
      </c>
      <c r="R137" s="218">
        <f t="shared" si="39"/>
        <v>762.7820744627063</v>
      </c>
      <c r="S137" s="218">
        <f t="shared" si="39"/>
        <v>785.66553669658754</v>
      </c>
      <c r="T137" s="218">
        <f t="shared" si="39"/>
        <v>809.2355027974852</v>
      </c>
      <c r="U137" s="218">
        <f t="shared" si="39"/>
        <v>833.51256788140972</v>
      </c>
      <c r="V137" s="218">
        <f t="shared" si="39"/>
        <v>858.51794491785199</v>
      </c>
      <c r="W137" s="218">
        <f t="shared" si="39"/>
        <v>884.27348326538754</v>
      </c>
      <c r="X137" s="218">
        <v>0</v>
      </c>
      <c r="Y137" s="218">
        <f t="shared" si="39"/>
        <v>0</v>
      </c>
      <c r="AA137" s="606">
        <f t="shared" si="25"/>
        <v>12526.722925444954</v>
      </c>
      <c r="AB137" s="607">
        <f t="shared" si="38"/>
        <v>12526.722925444954</v>
      </c>
    </row>
    <row r="138" spans="1:28" s="199" customFormat="1">
      <c r="A138" s="199" t="s">
        <v>79</v>
      </c>
      <c r="F138" s="203">
        <f>F136+F137</f>
        <v>535</v>
      </c>
      <c r="G138" s="203">
        <f t="shared" ref="G138:Y138" si="40">G136+G137</f>
        <v>551.05000000000007</v>
      </c>
      <c r="H138" s="203">
        <f t="shared" si="40"/>
        <v>567.58150000000012</v>
      </c>
      <c r="I138" s="203">
        <f t="shared" si="40"/>
        <v>584.60894500000018</v>
      </c>
      <c r="J138" s="203">
        <f t="shared" si="40"/>
        <v>602.14721335000024</v>
      </c>
      <c r="K138" s="203">
        <f t="shared" si="40"/>
        <v>620.21162975050026</v>
      </c>
      <c r="L138" s="203">
        <f t="shared" si="40"/>
        <v>638.81797864301529</v>
      </c>
      <c r="M138" s="203">
        <f t="shared" si="40"/>
        <v>657.98251800230582</v>
      </c>
      <c r="N138" s="203">
        <f t="shared" si="40"/>
        <v>677.721993542375</v>
      </c>
      <c r="O138" s="203">
        <f t="shared" si="40"/>
        <v>698.05365334864632</v>
      </c>
      <c r="P138" s="203">
        <f t="shared" si="40"/>
        <v>718.99526294910572</v>
      </c>
      <c r="Q138" s="203">
        <f t="shared" si="40"/>
        <v>740.56512083757889</v>
      </c>
      <c r="R138" s="203">
        <f t="shared" si="40"/>
        <v>762.7820744627063</v>
      </c>
      <c r="S138" s="203">
        <f t="shared" si="40"/>
        <v>785.66553669658754</v>
      </c>
      <c r="T138" s="203">
        <f t="shared" si="40"/>
        <v>809.2355027974852</v>
      </c>
      <c r="U138" s="203">
        <f t="shared" si="40"/>
        <v>833.51256788140972</v>
      </c>
      <c r="V138" s="203">
        <f t="shared" si="40"/>
        <v>858.51794491785199</v>
      </c>
      <c r="W138" s="203">
        <f t="shared" si="40"/>
        <v>884.27348326538754</v>
      </c>
      <c r="X138" s="203">
        <f t="shared" si="40"/>
        <v>0</v>
      </c>
      <c r="Y138" s="203">
        <f t="shared" si="40"/>
        <v>0</v>
      </c>
      <c r="AA138" s="606">
        <f t="shared" si="25"/>
        <v>12526.722925444954</v>
      </c>
      <c r="AB138" s="607">
        <f t="shared" si="38"/>
        <v>12526.722925444954</v>
      </c>
    </row>
    <row r="139" spans="1:28" s="199" customFormat="1">
      <c r="A139" s="199" t="s">
        <v>80</v>
      </c>
      <c r="C139" s="219">
        <f>C125</f>
        <v>0.05</v>
      </c>
      <c r="F139" s="203">
        <f>F138*$C$139</f>
        <v>26.75</v>
      </c>
      <c r="G139" s="203">
        <f t="shared" ref="G139:Y139" si="41">G138*$C$139</f>
        <v>27.552500000000006</v>
      </c>
      <c r="H139" s="203">
        <f t="shared" si="41"/>
        <v>28.379075000000007</v>
      </c>
      <c r="I139" s="203">
        <f t="shared" si="41"/>
        <v>29.230447250000012</v>
      </c>
      <c r="J139" s="203">
        <f t="shared" si="41"/>
        <v>30.107360667500014</v>
      </c>
      <c r="K139" s="203">
        <f t="shared" si="41"/>
        <v>31.010581487525016</v>
      </c>
      <c r="L139" s="203">
        <f t="shared" si="41"/>
        <v>31.940898932150766</v>
      </c>
      <c r="M139" s="203">
        <f t="shared" si="41"/>
        <v>32.899125900115294</v>
      </c>
      <c r="N139" s="203">
        <f t="shared" si="41"/>
        <v>33.88609967711875</v>
      </c>
      <c r="O139" s="203">
        <f t="shared" si="41"/>
        <v>34.902682667432316</v>
      </c>
      <c r="P139" s="203">
        <f t="shared" si="41"/>
        <v>35.949763147455286</v>
      </c>
      <c r="Q139" s="203">
        <f t="shared" si="41"/>
        <v>37.028256041878947</v>
      </c>
      <c r="R139" s="203">
        <f t="shared" si="41"/>
        <v>38.139103723135314</v>
      </c>
      <c r="S139" s="203">
        <f t="shared" si="41"/>
        <v>39.28327683482938</v>
      </c>
      <c r="T139" s="203">
        <f t="shared" si="41"/>
        <v>40.461775139874263</v>
      </c>
      <c r="U139" s="203">
        <f t="shared" si="41"/>
        <v>41.675628394070486</v>
      </c>
      <c r="V139" s="203">
        <f t="shared" si="41"/>
        <v>42.9258972458926</v>
      </c>
      <c r="W139" s="203">
        <f t="shared" si="41"/>
        <v>44.213674163269381</v>
      </c>
      <c r="X139" s="203">
        <f t="shared" si="41"/>
        <v>0</v>
      </c>
      <c r="Y139" s="203">
        <f t="shared" si="41"/>
        <v>0</v>
      </c>
      <c r="AA139" s="606">
        <f t="shared" si="25"/>
        <v>626.33614627224779</v>
      </c>
      <c r="AB139" s="607">
        <f t="shared" si="38"/>
        <v>626.33614627224779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177.88749999999999</v>
      </c>
      <c r="G140" s="218">
        <f t="shared" ref="G140:Y140" si="42">(G138-G139)*$C$140</f>
        <v>183.22412500000002</v>
      </c>
      <c r="H140" s="218">
        <f t="shared" si="42"/>
        <v>188.72084875000002</v>
      </c>
      <c r="I140" s="218">
        <f t="shared" si="42"/>
        <v>194.38247421250006</v>
      </c>
      <c r="J140" s="218">
        <f t="shared" si="42"/>
        <v>200.21394843887509</v>
      </c>
      <c r="K140" s="218">
        <f t="shared" si="42"/>
        <v>206.22036689204134</v>
      </c>
      <c r="L140" s="218">
        <f t="shared" si="42"/>
        <v>212.40697789880258</v>
      </c>
      <c r="M140" s="218">
        <f t="shared" si="42"/>
        <v>218.77918723576667</v>
      </c>
      <c r="N140" s="218">
        <f t="shared" si="42"/>
        <v>225.34256285283968</v>
      </c>
      <c r="O140" s="218">
        <f t="shared" si="42"/>
        <v>232.10283973842488</v>
      </c>
      <c r="P140" s="218">
        <f t="shared" si="42"/>
        <v>239.06592493057764</v>
      </c>
      <c r="Q140" s="218">
        <f t="shared" si="42"/>
        <v>246.23790267849495</v>
      </c>
      <c r="R140" s="218">
        <f t="shared" si="42"/>
        <v>253.62503975884982</v>
      </c>
      <c r="S140" s="218">
        <f t="shared" si="42"/>
        <v>261.23379095161533</v>
      </c>
      <c r="T140" s="218">
        <f t="shared" si="42"/>
        <v>269.0708046801638</v>
      </c>
      <c r="U140" s="218">
        <f t="shared" si="42"/>
        <v>277.14292882056873</v>
      </c>
      <c r="V140" s="218">
        <f t="shared" si="42"/>
        <v>285.45721668518576</v>
      </c>
      <c r="W140" s="218">
        <f t="shared" si="42"/>
        <v>294.02093318574134</v>
      </c>
      <c r="X140" s="218">
        <f t="shared" si="42"/>
        <v>0</v>
      </c>
      <c r="Y140" s="218">
        <f t="shared" si="42"/>
        <v>0</v>
      </c>
      <c r="AA140" s="606">
        <f t="shared" si="25"/>
        <v>4165.135372710447</v>
      </c>
      <c r="AB140" s="607">
        <f t="shared" si="38"/>
        <v>4165.135372710447</v>
      </c>
    </row>
    <row r="141" spans="1:28" s="199" customFormat="1">
      <c r="A141" s="199" t="s">
        <v>82</v>
      </c>
      <c r="F141" s="203">
        <f>F138-F139-F140</f>
        <v>330.36250000000001</v>
      </c>
      <c r="G141" s="203">
        <f t="shared" ref="G141:Y141" si="43">G138-G139-G140</f>
        <v>340.27337500000004</v>
      </c>
      <c r="H141" s="203">
        <f t="shared" si="43"/>
        <v>350.48157625000005</v>
      </c>
      <c r="I141" s="203">
        <f t="shared" si="43"/>
        <v>360.99602353750015</v>
      </c>
      <c r="J141" s="203">
        <f t="shared" si="43"/>
        <v>371.82590424362519</v>
      </c>
      <c r="K141" s="203">
        <f t="shared" si="43"/>
        <v>382.98068137093395</v>
      </c>
      <c r="L141" s="203">
        <f t="shared" si="43"/>
        <v>394.47010181206201</v>
      </c>
      <c r="M141" s="203">
        <f t="shared" si="43"/>
        <v>406.30420486642379</v>
      </c>
      <c r="N141" s="203">
        <f t="shared" si="43"/>
        <v>418.49333101241655</v>
      </c>
      <c r="O141" s="203">
        <f t="shared" si="43"/>
        <v>431.04813094278904</v>
      </c>
      <c r="P141" s="203">
        <f t="shared" si="43"/>
        <v>443.97957487107277</v>
      </c>
      <c r="Q141" s="203">
        <f t="shared" si="43"/>
        <v>457.29896211720495</v>
      </c>
      <c r="R141" s="203">
        <f t="shared" si="43"/>
        <v>471.01793098072113</v>
      </c>
      <c r="S141" s="203">
        <f t="shared" si="43"/>
        <v>485.14846891014281</v>
      </c>
      <c r="T141" s="203">
        <f t="shared" si="43"/>
        <v>499.70292297744714</v>
      </c>
      <c r="U141" s="203">
        <f t="shared" si="43"/>
        <v>514.69401066677051</v>
      </c>
      <c r="V141" s="203">
        <f t="shared" si="43"/>
        <v>530.13483098677352</v>
      </c>
      <c r="W141" s="203">
        <f t="shared" si="43"/>
        <v>546.03887591637681</v>
      </c>
      <c r="X141" s="203">
        <f t="shared" si="43"/>
        <v>0</v>
      </c>
      <c r="Y141" s="203">
        <f t="shared" si="43"/>
        <v>0</v>
      </c>
      <c r="AA141" s="606">
        <f t="shared" si="25"/>
        <v>7735.2514064622601</v>
      </c>
      <c r="AB141" s="607">
        <f t="shared" si="38"/>
        <v>7735.2514064622601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A77</f>
        <v>Distributable Cash to FPLE</v>
      </c>
      <c r="F143" s="220">
        <f>F76</f>
        <v>-117.89927500000019</v>
      </c>
      <c r="G143" s="220">
        <f t="shared" ref="G143:Y143" si="44">G76</f>
        <v>533.28621450000003</v>
      </c>
      <c r="H143" s="220">
        <f t="shared" si="44"/>
        <v>476.8049887900014</v>
      </c>
      <c r="I143" s="220">
        <f t="shared" si="44"/>
        <v>618.22056356579947</v>
      </c>
      <c r="J143" s="220">
        <f t="shared" si="44"/>
        <v>1245.905199837116</v>
      </c>
      <c r="K143" s="220">
        <f t="shared" si="44"/>
        <v>1990.2849038338584</v>
      </c>
      <c r="L143" s="220">
        <f t="shared" si="44"/>
        <v>2602.8156769105362</v>
      </c>
      <c r="M143" s="220">
        <f t="shared" si="44"/>
        <v>3868.6485154487468</v>
      </c>
      <c r="N143" s="220">
        <f t="shared" si="44"/>
        <v>4922.0481607577221</v>
      </c>
      <c r="O143" s="220">
        <f t="shared" si="44"/>
        <v>3979.365598972875</v>
      </c>
      <c r="P143" s="220">
        <f t="shared" si="44"/>
        <v>4648.6530609523334</v>
      </c>
      <c r="Q143" s="220">
        <f t="shared" si="44"/>
        <v>4668.625272171379</v>
      </c>
      <c r="R143" s="220">
        <f t="shared" si="44"/>
        <v>1814.1207026148072</v>
      </c>
      <c r="S143" s="220">
        <f t="shared" si="44"/>
        <v>2194.066566667103</v>
      </c>
      <c r="T143" s="220">
        <f t="shared" si="44"/>
        <v>1508.1925730004461</v>
      </c>
      <c r="U143" s="220">
        <f t="shared" si="44"/>
        <v>1731.2634244604562</v>
      </c>
      <c r="V143" s="220">
        <f t="shared" si="44"/>
        <v>1523.9213179496633</v>
      </c>
      <c r="W143" s="220">
        <f t="shared" si="44"/>
        <v>1146.7509443086569</v>
      </c>
      <c r="X143" s="220">
        <f t="shared" si="44"/>
        <v>0</v>
      </c>
      <c r="Y143" s="220">
        <f t="shared" si="44"/>
        <v>0</v>
      </c>
      <c r="AA143" s="606">
        <f t="shared" si="25"/>
        <v>39355.074409741501</v>
      </c>
      <c r="AB143" s="607">
        <f t="shared" si="38"/>
        <v>39355.074409741501</v>
      </c>
    </row>
    <row r="144" spans="1:28" s="199" customFormat="1">
      <c r="A144" s="124" t="s">
        <v>91</v>
      </c>
      <c r="F144" s="213">
        <f>F141+F143</f>
        <v>212.46322499999982</v>
      </c>
      <c r="G144" s="213">
        <f t="shared" ref="G144:Y144" si="45">G141+G143</f>
        <v>873.55958950000013</v>
      </c>
      <c r="H144" s="213">
        <f t="shared" si="45"/>
        <v>827.28656504000151</v>
      </c>
      <c r="I144" s="213">
        <f t="shared" si="45"/>
        <v>979.21658710329962</v>
      </c>
      <c r="J144" s="213">
        <f t="shared" si="45"/>
        <v>1617.7311040807413</v>
      </c>
      <c r="K144" s="213">
        <f t="shared" si="45"/>
        <v>2373.2655852047924</v>
      </c>
      <c r="L144" s="213">
        <f t="shared" si="45"/>
        <v>2997.2857787225985</v>
      </c>
      <c r="M144" s="213">
        <f t="shared" si="45"/>
        <v>4274.9527203151702</v>
      </c>
      <c r="N144" s="213">
        <f t="shared" si="45"/>
        <v>5340.5414917701382</v>
      </c>
      <c r="O144" s="213">
        <f t="shared" si="45"/>
        <v>4410.4137299156637</v>
      </c>
      <c r="P144" s="213">
        <f t="shared" si="45"/>
        <v>5092.6326358234064</v>
      </c>
      <c r="Q144" s="213">
        <f t="shared" si="45"/>
        <v>5125.9242342885836</v>
      </c>
      <c r="R144" s="213">
        <f t="shared" si="45"/>
        <v>2285.1386335955285</v>
      </c>
      <c r="S144" s="213">
        <f t="shared" si="45"/>
        <v>2679.2150355772455</v>
      </c>
      <c r="T144" s="213">
        <f t="shared" si="45"/>
        <v>2007.8954959778932</v>
      </c>
      <c r="U144" s="213">
        <f t="shared" si="45"/>
        <v>2245.9574351272267</v>
      </c>
      <c r="V144" s="213">
        <f t="shared" si="45"/>
        <v>2054.0561489364368</v>
      </c>
      <c r="W144" s="213">
        <f t="shared" si="45"/>
        <v>1692.7898202250337</v>
      </c>
      <c r="X144" s="213">
        <f t="shared" si="45"/>
        <v>0</v>
      </c>
      <c r="Y144" s="213">
        <f t="shared" si="45"/>
        <v>0</v>
      </c>
      <c r="AA144" s="606">
        <f t="shared" si="25"/>
        <v>47090.32581620376</v>
      </c>
      <c r="AB144" s="607">
        <f t="shared" si="38"/>
        <v>47090.32581620376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330.36250000000001</v>
      </c>
      <c r="G149" s="165">
        <f t="shared" ref="G149:Y149" si="46">+G137*(1-($C$139+$C$140*(1-$C$139)))</f>
        <v>340.27337500000004</v>
      </c>
      <c r="H149" s="165">
        <f t="shared" si="46"/>
        <v>350.4815762500001</v>
      </c>
      <c r="I149" s="165">
        <f t="shared" si="46"/>
        <v>360.99602353750015</v>
      </c>
      <c r="J149" s="165">
        <f t="shared" si="46"/>
        <v>371.82590424362519</v>
      </c>
      <c r="K149" s="165">
        <f t="shared" si="46"/>
        <v>382.98068137093395</v>
      </c>
      <c r="L149" s="165">
        <f t="shared" si="46"/>
        <v>394.47010181206196</v>
      </c>
      <c r="M149" s="165">
        <f t="shared" si="46"/>
        <v>406.3042048664239</v>
      </c>
      <c r="N149" s="165">
        <f t="shared" si="46"/>
        <v>418.4933310124166</v>
      </c>
      <c r="O149" s="165">
        <f t="shared" si="46"/>
        <v>431.04813094278916</v>
      </c>
      <c r="P149" s="165">
        <f t="shared" si="46"/>
        <v>443.97957487107283</v>
      </c>
      <c r="Q149" s="165">
        <f t="shared" si="46"/>
        <v>457.29896211720501</v>
      </c>
      <c r="R149" s="165">
        <f t="shared" si="46"/>
        <v>471.01793098072119</v>
      </c>
      <c r="S149" s="165">
        <f t="shared" si="46"/>
        <v>485.14846891014287</v>
      </c>
      <c r="T149" s="165">
        <f t="shared" si="46"/>
        <v>499.70292297744714</v>
      </c>
      <c r="U149" s="165">
        <f t="shared" si="46"/>
        <v>514.69401066677051</v>
      </c>
      <c r="V149" s="165">
        <f t="shared" si="46"/>
        <v>530.13483098677364</v>
      </c>
      <c r="W149" s="165">
        <f t="shared" si="46"/>
        <v>546.03887591637681</v>
      </c>
      <c r="X149" s="165">
        <f t="shared" si="46"/>
        <v>0</v>
      </c>
      <c r="Y149" s="165">
        <f t="shared" si="46"/>
        <v>0</v>
      </c>
      <c r="AA149" s="606">
        <f t="shared" si="25"/>
        <v>7735.2514064622601</v>
      </c>
      <c r="AB149" s="607">
        <f t="shared" si="38"/>
        <v>7735.2514064622601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330.36250000000001</v>
      </c>
      <c r="G151" s="260">
        <f t="shared" ref="G151:Y151" si="47">+G149+G150</f>
        <v>340.27337500000004</v>
      </c>
      <c r="H151" s="260">
        <f t="shared" si="47"/>
        <v>350.4815762500001</v>
      </c>
      <c r="I151" s="260">
        <f t="shared" si="47"/>
        <v>360.99602353750015</v>
      </c>
      <c r="J151" s="260">
        <f t="shared" si="47"/>
        <v>371.82590424362519</v>
      </c>
      <c r="K151" s="260">
        <f t="shared" si="47"/>
        <v>382.98068137093395</v>
      </c>
      <c r="L151" s="260">
        <f t="shared" si="47"/>
        <v>394.47010181206196</v>
      </c>
      <c r="M151" s="260">
        <f t="shared" si="47"/>
        <v>406.3042048664239</v>
      </c>
      <c r="N151" s="260">
        <f t="shared" si="47"/>
        <v>418.4933310124166</v>
      </c>
      <c r="O151" s="260">
        <f t="shared" si="47"/>
        <v>431.04813094278916</v>
      </c>
      <c r="P151" s="260">
        <f t="shared" si="47"/>
        <v>443.97957487107283</v>
      </c>
      <c r="Q151" s="260">
        <f t="shared" si="47"/>
        <v>457.29896211720501</v>
      </c>
      <c r="R151" s="260">
        <f t="shared" si="47"/>
        <v>471.01793098072119</v>
      </c>
      <c r="S151" s="260">
        <f t="shared" si="47"/>
        <v>485.14846891014287</v>
      </c>
      <c r="T151" s="260">
        <f t="shared" si="47"/>
        <v>499.70292297744714</v>
      </c>
      <c r="U151" s="260">
        <f t="shared" si="47"/>
        <v>514.69401066677051</v>
      </c>
      <c r="V151" s="260">
        <f t="shared" si="47"/>
        <v>530.13483098677364</v>
      </c>
      <c r="W151" s="260">
        <f t="shared" si="47"/>
        <v>546.03887591637681</v>
      </c>
      <c r="X151" s="260">
        <f t="shared" si="47"/>
        <v>0</v>
      </c>
      <c r="Y151" s="260">
        <f t="shared" si="47"/>
        <v>0</v>
      </c>
      <c r="AA151" s="606">
        <f t="shared" si="25"/>
        <v>7735.2514064622601</v>
      </c>
      <c r="AB151" s="607">
        <f t="shared" si="38"/>
        <v>7735.2514064622601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3518.8828619970986</v>
      </c>
    </row>
    <row r="155" spans="1:28" s="199" customFormat="1" ht="13.5" thickBot="1">
      <c r="A155" s="199" t="s">
        <v>59</v>
      </c>
      <c r="C155" s="146"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-E91*C77</f>
        <v>19660.500648157184</v>
      </c>
    </row>
    <row r="160" spans="1:28" s="199" customFormat="1">
      <c r="A160" s="134" t="s">
        <v>85</v>
      </c>
      <c r="B160" s="135"/>
      <c r="C160" s="135"/>
      <c r="D160" s="137">
        <v>0</v>
      </c>
      <c r="F160" s="221"/>
    </row>
    <row r="161" spans="1:30" s="199" customFormat="1">
      <c r="A161" s="134" t="s">
        <v>86</v>
      </c>
      <c r="B161" s="135"/>
      <c r="C161" s="135"/>
      <c r="D161" s="139">
        <f>C154-D160</f>
        <v>3518.8828619970986</v>
      </c>
    </row>
    <row r="162" spans="1:30" s="199" customFormat="1" ht="13.5" thickBot="1">
      <c r="A162" s="140" t="s">
        <v>87</v>
      </c>
      <c r="B162" s="109"/>
      <c r="C162" s="109"/>
      <c r="D162" s="158">
        <f>SUM(D159:D161)</f>
        <v>23179.383510154283</v>
      </c>
    </row>
    <row r="163" spans="1:30" outlineLevel="1">
      <c r="A163" s="44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30" outlineLevel="1">
      <c r="A164" s="43"/>
      <c r="B164" s="8"/>
      <c r="C164" s="8"/>
      <c r="D164" s="8"/>
      <c r="E164" s="3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30" s="24" customFormat="1" outlineLevel="1">
      <c r="A166" s="257"/>
    </row>
    <row r="167" spans="1:30" s="24" customFormat="1" outlineLevel="1">
      <c r="A167" s="257"/>
    </row>
    <row r="168" spans="1:30" s="24" customFormat="1" outlineLevel="1"/>
    <row r="169" spans="1:30" s="24" customFormat="1" outlineLevel="1">
      <c r="A169" s="27"/>
    </row>
    <row r="170" spans="1:30" outlineLevel="1">
      <c r="A170" s="31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30" outlineLevel="1">
      <c r="A171" s="44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30" outlineLevel="1">
      <c r="A172" s="43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30" outlineLevel="1">
      <c r="A173" s="44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30" outlineLevel="1">
      <c r="A174" s="45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30" outlineLevel="1">
      <c r="A175" s="43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30" outlineLevel="1">
      <c r="A176" s="42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3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2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3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4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3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5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3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2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4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8"/>
      <c r="B200" s="8"/>
      <c r="C200" s="8"/>
      <c r="D200" s="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8"/>
      <c r="F202" s="8"/>
      <c r="G202" s="8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3"/>
      <c r="B203" s="3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outlineLevel="1">
      <c r="A204" s="21"/>
      <c r="B204" s="21"/>
      <c r="C204" s="21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47"/>
      <c r="C205" s="4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3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21"/>
      <c r="B208" s="21"/>
      <c r="C208" s="21"/>
      <c r="D208" s="2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48"/>
      <c r="B209" s="21"/>
      <c r="C209" s="21"/>
      <c r="D209" s="21"/>
      <c r="E209" s="49"/>
      <c r="F209" s="49"/>
      <c r="G209" s="49"/>
      <c r="H209" s="49"/>
      <c r="I209" s="49"/>
      <c r="J209" s="49"/>
      <c r="K209" s="49"/>
      <c r="L209" s="49"/>
      <c r="M209" s="8"/>
      <c r="N209" s="49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48"/>
      <c r="C211" s="48"/>
      <c r="D211" s="48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3"/>
      <c r="C213" s="3"/>
      <c r="D213" s="3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8"/>
      <c r="B214" s="8"/>
      <c r="C214" s="8"/>
      <c r="D214" s="8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21"/>
      <c r="B215" s="21"/>
      <c r="C215" s="21"/>
      <c r="D215" s="21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48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48"/>
      <c r="C225" s="48"/>
      <c r="D225" s="48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21"/>
      <c r="B227" s="21"/>
      <c r="C227" s="21"/>
      <c r="D227" s="21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48"/>
      <c r="B228" s="48"/>
      <c r="C228" s="48"/>
      <c r="D228" s="48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21"/>
      <c r="B230" s="21"/>
      <c r="C230" s="21"/>
      <c r="D230" s="21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8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50"/>
      <c r="C233" s="50"/>
      <c r="D233" s="50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21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48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21"/>
      <c r="B236" s="21"/>
      <c r="C236" s="21"/>
      <c r="D236" s="21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8"/>
      <c r="B237" s="8"/>
      <c r="C237" s="8"/>
      <c r="D237" s="8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21"/>
      <c r="B238" s="21"/>
      <c r="C238" s="21"/>
      <c r="D238" s="21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8"/>
      <c r="B239" s="48"/>
      <c r="C239" s="48"/>
      <c r="D239" s="48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8"/>
      <c r="C244" s="8"/>
      <c r="D244" s="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21"/>
      <c r="B245" s="21"/>
      <c r="C245" s="21"/>
      <c r="D245" s="21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8"/>
      <c r="B247" s="8"/>
      <c r="C247" s="8"/>
      <c r="D247" s="8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21"/>
      <c r="B248" s="51"/>
      <c r="C248" s="51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47"/>
      <c r="C249" s="47"/>
      <c r="D249" s="47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21"/>
      <c r="B251" s="52"/>
      <c r="C251" s="52"/>
      <c r="D251" s="8"/>
      <c r="E251" s="8"/>
      <c r="F251" s="8"/>
      <c r="G251" s="24"/>
      <c r="H251" s="24"/>
      <c r="I251" s="24"/>
      <c r="J251" s="24"/>
      <c r="K251" s="24"/>
      <c r="L251" s="2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8"/>
      <c r="C252" s="8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21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s="54" customFormat="1" outlineLevel="1">
      <c r="A260" s="53"/>
    </row>
    <row r="261" spans="1:25" outlineLevel="1">
      <c r="A261" s="21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outlineLevel="1">
      <c r="A262" s="21"/>
      <c r="B262" s="8"/>
      <c r="C262" s="8"/>
      <c r="D262" s="8"/>
      <c r="E262" s="8"/>
      <c r="F262" s="8"/>
      <c r="G262" s="55"/>
      <c r="H262" s="55"/>
      <c r="I262" s="55"/>
      <c r="J262" s="55"/>
      <c r="K262" s="55"/>
      <c r="L262" s="55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8"/>
      <c r="B264" s="56"/>
      <c r="C264" s="56"/>
      <c r="D264" s="56"/>
      <c r="E264" s="8"/>
      <c r="F264" s="8"/>
      <c r="G264" s="57"/>
      <c r="H264" s="57"/>
      <c r="I264" s="57"/>
      <c r="J264" s="57"/>
      <c r="K264" s="57"/>
      <c r="L264" s="5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21"/>
      <c r="B265" s="58"/>
      <c r="C265" s="58"/>
      <c r="D265" s="5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53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9"/>
      <c r="B267" s="8"/>
      <c r="C267" s="8"/>
      <c r="D267" s="8"/>
      <c r="E267" s="8"/>
      <c r="F267" s="8"/>
      <c r="G267" s="24"/>
      <c r="H267" s="24"/>
      <c r="I267" s="24"/>
      <c r="J267" s="24"/>
      <c r="K267" s="24"/>
      <c r="L267" s="24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55"/>
      <c r="H271" s="55"/>
      <c r="I271" s="55"/>
      <c r="J271" s="55"/>
      <c r="K271" s="55"/>
      <c r="L271" s="55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21"/>
      <c r="B272" s="8"/>
      <c r="C272" s="8"/>
      <c r="D272" s="8"/>
      <c r="E272" s="8"/>
      <c r="F272" s="8"/>
      <c r="G272" s="60"/>
      <c r="H272" s="60"/>
      <c r="I272" s="60"/>
      <c r="J272" s="60"/>
      <c r="K272" s="60"/>
      <c r="L272" s="60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59"/>
      <c r="B273" s="17"/>
      <c r="C273" s="17"/>
      <c r="D273" s="17"/>
      <c r="E273" s="8"/>
      <c r="F273" s="8"/>
      <c r="G273" s="61"/>
      <c r="H273" s="61"/>
      <c r="I273" s="61"/>
      <c r="J273" s="61"/>
      <c r="K273" s="61"/>
      <c r="L273" s="61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8"/>
      <c r="C274" s="8"/>
      <c r="D274" s="8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0"/>
      <c r="H277" s="60"/>
      <c r="I277" s="60"/>
      <c r="J277" s="60"/>
      <c r="K277" s="60"/>
      <c r="L277" s="60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21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8"/>
      <c r="B279" s="8"/>
      <c r="C279" s="8"/>
      <c r="D279" s="8"/>
      <c r="E279" s="8"/>
      <c r="F279" s="8"/>
      <c r="G279" s="24"/>
      <c r="H279" s="24"/>
      <c r="I279" s="24"/>
      <c r="J279" s="24"/>
      <c r="K279" s="24"/>
      <c r="L279" s="24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62"/>
      <c r="F282" s="62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55"/>
      <c r="H285" s="55"/>
      <c r="I285" s="55"/>
      <c r="J285" s="55"/>
      <c r="K285" s="55"/>
      <c r="L285" s="55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59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62"/>
      <c r="F288" s="62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8"/>
      <c r="B289" s="8"/>
      <c r="C289" s="8"/>
      <c r="D289" s="8"/>
      <c r="E289" s="8"/>
      <c r="F289" s="8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21"/>
      <c r="B296" s="8"/>
      <c r="C296" s="8"/>
      <c r="D296" s="8"/>
      <c r="E296" s="63"/>
      <c r="F296" s="63"/>
      <c r="G296" s="63"/>
      <c r="H296" s="63"/>
      <c r="I296" s="63"/>
      <c r="J296" s="63"/>
      <c r="K296" s="63"/>
      <c r="L296" s="63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17"/>
      <c r="E297" s="62"/>
      <c r="F297" s="62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8"/>
      <c r="E298" s="63"/>
      <c r="F298" s="63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8"/>
      <c r="F299" s="8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49"/>
      <c r="H304" s="49"/>
      <c r="I304" s="49"/>
      <c r="J304" s="49"/>
      <c r="K304" s="49"/>
      <c r="L304" s="49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63"/>
      <c r="H305" s="63"/>
      <c r="I305" s="63"/>
      <c r="J305" s="63"/>
      <c r="K305" s="63"/>
      <c r="L305" s="6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4"/>
      <c r="H306" s="64"/>
      <c r="I306" s="64"/>
      <c r="J306" s="64"/>
      <c r="K306" s="64"/>
      <c r="L306" s="64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49"/>
      <c r="H307" s="49"/>
      <c r="I307" s="49"/>
      <c r="J307" s="49"/>
      <c r="K307" s="49"/>
      <c r="L307" s="49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64"/>
      <c r="H308" s="64"/>
      <c r="I308" s="64"/>
      <c r="J308" s="64"/>
      <c r="K308" s="64"/>
      <c r="L308" s="64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5"/>
      <c r="H309" s="65"/>
      <c r="I309" s="65"/>
      <c r="J309" s="65"/>
      <c r="K309" s="65"/>
      <c r="L309" s="65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idden="1" outlineLevel="2">
      <c r="A311" s="21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8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21"/>
      <c r="B314" s="12"/>
      <c r="C314" s="12"/>
      <c r="D314" s="12"/>
      <c r="E314" s="13"/>
      <c r="F314" s="13"/>
      <c r="G314" s="13"/>
      <c r="H314" s="12"/>
      <c r="I314" s="12"/>
      <c r="J314" s="13"/>
      <c r="K314" s="13"/>
      <c r="L314" s="12"/>
      <c r="M314" s="13"/>
      <c r="N314" s="13"/>
      <c r="O314" s="13"/>
      <c r="P314" s="12"/>
      <c r="Q314" s="13"/>
      <c r="R314" s="13"/>
      <c r="S314" s="8"/>
      <c r="T314" s="8"/>
      <c r="U314" s="8"/>
      <c r="V314" s="8"/>
      <c r="W314" s="8"/>
      <c r="X314" s="13"/>
      <c r="Y314" s="8"/>
    </row>
    <row r="315" spans="1:25" hidden="1" outlineLevel="2">
      <c r="A315" s="21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idden="1" outlineLevel="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8"/>
      <c r="T317" s="8"/>
      <c r="U317" s="8"/>
      <c r="V317" s="8"/>
      <c r="W317" s="8"/>
      <c r="X317" s="49"/>
      <c r="Y317" s="8"/>
    </row>
    <row r="318" spans="1:25" hidden="1" outlineLevel="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idden="1" outlineLevel="2">
      <c r="A319" s="8"/>
      <c r="B319" s="63"/>
      <c r="C319" s="63"/>
      <c r="D319" s="63"/>
      <c r="E319" s="63"/>
      <c r="F319" s="63"/>
      <c r="G319" s="63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8"/>
      <c r="T319" s="8"/>
      <c r="U319" s="8"/>
      <c r="V319" s="8"/>
      <c r="W319" s="8"/>
      <c r="X319" s="49"/>
      <c r="Y319" s="8"/>
    </row>
    <row r="320" spans="1:25" hidden="1" outlineLevel="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30" hidden="1" outlineLevel="2">
      <c r="A321" s="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8"/>
      <c r="T321" s="8"/>
      <c r="U321" s="8"/>
      <c r="V321" s="8"/>
      <c r="W321" s="8"/>
      <c r="X321" s="49"/>
      <c r="Y321" s="49"/>
      <c r="Z321" s="49"/>
      <c r="AA321" s="49"/>
      <c r="AB321" s="49"/>
      <c r="AC321" s="49"/>
      <c r="AD321" s="49"/>
    </row>
    <row r="322" spans="1:30" hidden="1" outlineLevel="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30" hidden="1" outlineLevel="2">
      <c r="A323" s="8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8"/>
      <c r="T323" s="8"/>
      <c r="U323" s="8"/>
      <c r="V323" s="8"/>
      <c r="W323" s="8"/>
      <c r="X323" s="49"/>
      <c r="Y323" s="8"/>
    </row>
    <row r="324" spans="1:30" hidden="1" outlineLevel="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30" hidden="1" outlineLevel="2">
      <c r="A325" s="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8"/>
      <c r="T325" s="8"/>
      <c r="U325" s="8"/>
      <c r="V325" s="8"/>
      <c r="W325" s="8"/>
      <c r="X325" s="49"/>
      <c r="Y325" s="49"/>
    </row>
    <row r="326" spans="1:30" hidden="1" outlineLevel="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30" hidden="1" outlineLevel="2">
      <c r="A327" s="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8"/>
      <c r="T327" s="8"/>
      <c r="U327" s="8"/>
      <c r="V327" s="8"/>
      <c r="W327" s="8"/>
      <c r="X327" s="49"/>
      <c r="Y327" s="49"/>
    </row>
    <row r="328" spans="1:30" hidden="1" outlineLevel="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30" outlineLevel="1" collapsed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3"/>
      <c r="B332" s="3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21"/>
      <c r="B333" s="21"/>
      <c r="C333" s="21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47"/>
      <c r="C334" s="4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3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outlineLevel="1">
      <c r="A337" s="21"/>
      <c r="B337" s="21"/>
      <c r="C337" s="21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48"/>
      <c r="B338" s="21"/>
      <c r="C338" s="21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48"/>
      <c r="C340" s="48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3"/>
      <c r="C342" s="3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8"/>
      <c r="B343" s="8"/>
      <c r="C343" s="8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21"/>
      <c r="B344" s="21"/>
      <c r="C344" s="21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48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48"/>
      <c r="C354" s="48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21"/>
      <c r="B356" s="21"/>
      <c r="C356" s="21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48"/>
      <c r="B357" s="48"/>
      <c r="C357" s="48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21"/>
      <c r="B358" s="21"/>
      <c r="C358" s="21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48"/>
      <c r="B359" s="50"/>
      <c r="C359" s="50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21"/>
      <c r="B360" s="21"/>
      <c r="C360" s="21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8"/>
      <c r="B361" s="8"/>
      <c r="C361" s="8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21"/>
      <c r="B362" s="21"/>
      <c r="C362" s="21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48"/>
      <c r="B363" s="48"/>
      <c r="C363" s="48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8"/>
      <c r="C366" s="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21"/>
      <c r="B367" s="21"/>
      <c r="C367" s="21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48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3"/>
      <c r="B374" s="50"/>
      <c r="C374" s="50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21"/>
      <c r="B375" s="21"/>
      <c r="C375" s="21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8"/>
      <c r="B376" s="8"/>
      <c r="C376" s="8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21"/>
      <c r="B377" s="47"/>
      <c r="C377" s="47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3"/>
      <c r="B382" s="3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21"/>
      <c r="B383" s="21"/>
      <c r="C383" s="21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47"/>
      <c r="C384" s="4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3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8"/>
      <c r="T386" s="8"/>
      <c r="U386" s="8"/>
      <c r="V386" s="8"/>
      <c r="W386" s="8"/>
      <c r="X386" s="8"/>
      <c r="Y386" s="8"/>
    </row>
    <row r="387" spans="1:25" outlineLevel="1">
      <c r="A387" s="21"/>
      <c r="B387" s="21"/>
      <c r="C387" s="21"/>
      <c r="D387" s="21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48"/>
      <c r="B388" s="21"/>
      <c r="C388" s="21"/>
      <c r="D388" s="21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48"/>
      <c r="C390" s="48"/>
      <c r="D390" s="48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3"/>
      <c r="C392" s="3"/>
      <c r="D392" s="3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21"/>
      <c r="B394" s="21"/>
      <c r="C394" s="21"/>
      <c r="D394" s="21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48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48"/>
      <c r="C405" s="48"/>
      <c r="D405" s="48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21"/>
      <c r="B407" s="21"/>
      <c r="C407" s="21"/>
      <c r="D407" s="21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48"/>
      <c r="B409" s="48"/>
      <c r="C409" s="48"/>
      <c r="D409" s="48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21"/>
      <c r="B410" s="21"/>
      <c r="C410" s="21"/>
      <c r="D410" s="21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48"/>
      <c r="B411" s="50"/>
      <c r="C411" s="50"/>
      <c r="D411" s="50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21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47"/>
      <c r="C415" s="47"/>
      <c r="D415" s="47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8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"/>
      <c r="B421" s="66"/>
      <c r="C421" s="66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47"/>
      <c r="C422" s="47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21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21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8"/>
      <c r="T438" s="8"/>
      <c r="U438" s="8"/>
      <c r="V438" s="8"/>
      <c r="W438" s="8"/>
      <c r="X438" s="8"/>
      <c r="Y438" s="8"/>
    </row>
    <row r="439" spans="1:25" outlineLevel="1">
      <c r="A439" s="21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7"/>
      <c r="F443" s="67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8"/>
      <c r="T443" s="8"/>
      <c r="U443" s="8"/>
      <c r="V443" s="8"/>
      <c r="W443" s="8"/>
      <c r="X443" s="8"/>
      <c r="Y443" s="8"/>
    </row>
    <row r="444" spans="1:25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outlineLevel="1">
      <c r="A445" s="21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3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outlineLevel="1">
      <c r="A450" s="8"/>
      <c r="B450" s="8"/>
      <c r="C450" s="8"/>
      <c r="D450" s="8"/>
      <c r="E450" s="8"/>
      <c r="F450" s="8"/>
      <c r="G450" s="3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outlineLevel="1">
      <c r="A451" s="21"/>
      <c r="B451" s="8"/>
      <c r="C451" s="8"/>
      <c r="D451" s="8"/>
      <c r="E451" s="8"/>
      <c r="F451" s="8"/>
      <c r="G451" s="35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8"/>
      <c r="T451" s="8"/>
      <c r="U451" s="8"/>
      <c r="V451" s="8"/>
      <c r="W451" s="8"/>
      <c r="X451" s="8"/>
      <c r="Y451" s="8"/>
    </row>
    <row r="452" spans="1:25" outlineLevel="1">
      <c r="A452" s="8"/>
      <c r="B452" s="8"/>
      <c r="C452" s="8"/>
      <c r="D452" s="8"/>
      <c r="E452" s="8"/>
      <c r="F452" s="8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59"/>
      <c r="B456" s="8"/>
      <c r="C456" s="8"/>
      <c r="D456" s="8"/>
      <c r="E456" s="8"/>
      <c r="F456" s="8"/>
      <c r="G456" s="35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21"/>
      <c r="B458" s="8"/>
      <c r="C458" s="8"/>
      <c r="D458" s="8"/>
      <c r="E458" s="8"/>
      <c r="F458" s="8"/>
      <c r="G458" s="3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67"/>
      <c r="E459" s="67"/>
      <c r="F459" s="67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3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8"/>
      <c r="C461" s="8"/>
      <c r="D461" s="8"/>
      <c r="E461" s="8"/>
      <c r="F461" s="8"/>
      <c r="G461" s="35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8"/>
      <c r="T461" s="8"/>
      <c r="U461" s="8"/>
      <c r="V461" s="8"/>
      <c r="W461" s="8"/>
      <c r="X461" s="8"/>
      <c r="Y461" s="8"/>
    </row>
    <row r="462" spans="1:25" outlineLevel="1">
      <c r="A462" s="8"/>
      <c r="B462" s="69"/>
      <c r="C462" s="69"/>
      <c r="D462" s="8"/>
      <c r="E462" s="8"/>
      <c r="F462" s="8"/>
      <c r="G462" s="35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8"/>
      <c r="C463" s="8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s="71" customFormat="1" outlineLevel="1">
      <c r="A466" s="70"/>
      <c r="B466" s="70"/>
      <c r="C466" s="70"/>
      <c r="D466" s="70"/>
      <c r="E466" s="70"/>
      <c r="F466" s="70"/>
      <c r="G466" s="70"/>
    </row>
    <row r="467" spans="1:25" s="71" customFormat="1" outlineLevel="1">
      <c r="A467" s="70"/>
      <c r="B467" s="70"/>
      <c r="C467" s="70"/>
      <c r="D467" s="70"/>
      <c r="E467" s="70"/>
      <c r="F467" s="72"/>
      <c r="G467" s="73"/>
      <c r="H467" s="70"/>
      <c r="I467" s="74"/>
    </row>
    <row r="468" spans="1:25" s="71" customFormat="1" outlineLevel="1">
      <c r="A468" s="70"/>
      <c r="B468" s="73"/>
      <c r="C468" s="73"/>
      <c r="D468" s="73"/>
      <c r="E468" s="73"/>
      <c r="F468" s="75"/>
      <c r="G468" s="51"/>
      <c r="H468" s="51"/>
      <c r="I468" s="74"/>
    </row>
    <row r="469" spans="1:25" s="71" customFormat="1" outlineLevel="1">
      <c r="A469" s="70"/>
      <c r="B469" s="51"/>
      <c r="C469" s="51"/>
      <c r="D469" s="51"/>
      <c r="E469" s="51"/>
      <c r="F469" s="51"/>
      <c r="G469" s="74"/>
      <c r="H469" s="51"/>
      <c r="I469" s="75"/>
    </row>
    <row r="470" spans="1:25" s="71" customFormat="1" outlineLevel="1">
      <c r="A470" s="76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</row>
    <row r="471" spans="1:25" s="71" customFormat="1" outlineLevel="1">
      <c r="A471" s="44"/>
      <c r="B471" s="70"/>
      <c r="C471" s="70"/>
      <c r="D471" s="70"/>
      <c r="E471" s="70"/>
      <c r="F471" s="70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</row>
    <row r="472" spans="1:25" s="71" customFormat="1" outlineLevel="1">
      <c r="A472" s="43"/>
      <c r="B472" s="70"/>
      <c r="C472" s="70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8"/>
      <c r="C473" s="78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9"/>
      <c r="C474" s="79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2"/>
      <c r="B475" s="76"/>
      <c r="C475" s="76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44"/>
      <c r="B477" s="70"/>
      <c r="C477" s="70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80"/>
      <c r="B478" s="81"/>
      <c r="C478" s="8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46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80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2"/>
      <c r="C488" s="82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44"/>
      <c r="B489" s="81"/>
      <c r="C489" s="8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3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4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5"/>
      <c r="B496" s="81"/>
      <c r="C496" s="81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</row>
    <row r="497" spans="1:25" s="71" customFormat="1" outlineLevel="1">
      <c r="A497" s="43"/>
      <c r="B497" s="84"/>
      <c r="C497" s="84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</row>
    <row r="498" spans="1:25" s="71" customFormat="1" ht="13.9" customHeight="1" outlineLevel="1">
      <c r="A498" s="42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outlineLevel="1">
      <c r="A499" s="43"/>
      <c r="B499" s="78"/>
      <c r="C499" s="78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2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3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85"/>
      <c r="C502" s="85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4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B506" s="70"/>
      <c r="C506" s="70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3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5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3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86"/>
      <c r="C513" s="86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5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2"/>
      <c r="B515" s="84"/>
      <c r="C515" s="84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4"/>
      <c r="B516" s="70"/>
      <c r="C516" s="70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84"/>
      <c r="C519" s="84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3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7"/>
      <c r="B527" s="8"/>
      <c r="C527" s="8"/>
      <c r="D527" s="8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3"/>
      <c r="C529" s="3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idden="1" outlineLevel="2">
      <c r="A530" s="21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48"/>
      <c r="B531" s="8"/>
      <c r="C531" s="8"/>
      <c r="D531" s="8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8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4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21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48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4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21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48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outlineLevel="1" collapsed="1">
      <c r="A555" s="21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8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21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>
      <c r="A564" s="8"/>
      <c r="B564" s="8"/>
      <c r="C564" s="8"/>
      <c r="D564" s="8"/>
      <c r="E564" s="8"/>
      <c r="F564" s="8"/>
      <c r="G564" s="8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B2:AE50"/>
  <sheetViews>
    <sheetView zoomScale="70" zoomScaleNormal="70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0.7109375" style="271" customWidth="1"/>
    <col min="9" max="9" width="1.7109375" style="271" customWidth="1"/>
    <col min="10" max="10" width="10.140625" style="271" customWidth="1"/>
    <col min="11" max="11" width="1.7109375" style="271" customWidth="1"/>
    <col min="12" max="12" width="10.140625" style="271" customWidth="1"/>
    <col min="13" max="13" width="1.7109375" style="271" customWidth="1"/>
    <col min="14" max="14" width="10.140625" style="27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1.42578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1.7109375" style="271" customWidth="1"/>
    <col min="25" max="25" width="1.7109375" style="271" customWidth="1"/>
    <col min="26" max="26" width="14.42578125" style="271" customWidth="1"/>
    <col min="27" max="27" width="1.7109375" style="271" customWidth="1"/>
    <col min="28" max="16384" width="9.140625" style="271"/>
  </cols>
  <sheetData>
    <row r="2" spans="2:31" ht="18.75">
      <c r="B2" s="270" t="s">
        <v>275</v>
      </c>
      <c r="C2" s="557"/>
      <c r="D2" s="557"/>
      <c r="E2" s="557"/>
      <c r="F2" s="557"/>
    </row>
    <row r="4" spans="2:31">
      <c r="B4" s="291" t="s">
        <v>5</v>
      </c>
    </row>
    <row r="5" spans="2:31">
      <c r="V5" s="1115" t="s">
        <v>570</v>
      </c>
    </row>
    <row r="6" spans="2:31" s="299" customFormat="1">
      <c r="F6" s="562"/>
      <c r="G6" s="562"/>
      <c r="H6" s="1141" t="s">
        <v>30</v>
      </c>
      <c r="I6" s="562"/>
      <c r="J6" s="1358" t="s">
        <v>131</v>
      </c>
      <c r="K6" s="1358"/>
      <c r="L6" s="1358"/>
      <c r="M6" s="1358"/>
      <c r="N6" s="1358"/>
      <c r="O6" s="1358"/>
      <c r="P6" s="564" t="s">
        <v>288</v>
      </c>
      <c r="Q6" s="562"/>
      <c r="S6" s="562"/>
      <c r="T6" s="562" t="s">
        <v>270</v>
      </c>
      <c r="U6" s="562"/>
      <c r="V6" s="1115" t="s">
        <v>268</v>
      </c>
      <c r="W6" s="562"/>
      <c r="X6" s="562" t="s">
        <v>269</v>
      </c>
      <c r="Z6" s="562" t="s">
        <v>267</v>
      </c>
      <c r="AA6" s="271"/>
      <c r="AB6" s="299" t="s">
        <v>279</v>
      </c>
      <c r="AE6" s="562"/>
    </row>
    <row r="7" spans="2:31" s="565" customFormat="1">
      <c r="F7" s="566" t="s">
        <v>105</v>
      </c>
      <c r="G7" s="566"/>
      <c r="H7" s="566">
        <v>2001</v>
      </c>
      <c r="I7" s="566"/>
      <c r="J7" s="568" t="s">
        <v>129</v>
      </c>
      <c r="K7" s="568"/>
      <c r="L7" s="568" t="s">
        <v>140</v>
      </c>
      <c r="M7" s="568"/>
      <c r="N7" s="568" t="s">
        <v>128</v>
      </c>
      <c r="O7" s="568"/>
      <c r="P7" s="570" t="s">
        <v>292</v>
      </c>
      <c r="Q7" s="566"/>
      <c r="R7" s="566" t="s">
        <v>228</v>
      </c>
      <c r="S7" s="566"/>
      <c r="T7" s="566" t="s">
        <v>271</v>
      </c>
      <c r="V7" s="1116" t="s">
        <v>266</v>
      </c>
      <c r="X7" s="566" t="s">
        <v>266</v>
      </c>
      <c r="Z7" s="566" t="s">
        <v>569</v>
      </c>
      <c r="AA7" s="271"/>
      <c r="AB7" s="565" t="s">
        <v>119</v>
      </c>
      <c r="AE7" s="566"/>
    </row>
    <row r="8" spans="2:31" s="1042" customFormat="1">
      <c r="F8" s="1142"/>
      <c r="G8" s="1142"/>
      <c r="H8" s="1142"/>
      <c r="I8" s="1142"/>
      <c r="J8" s="1143"/>
      <c r="K8" s="1143"/>
      <c r="L8" s="1143"/>
      <c r="M8" s="1143"/>
      <c r="N8" s="1144"/>
      <c r="O8" s="1143"/>
      <c r="P8" s="1145"/>
      <c r="Q8" s="1142"/>
      <c r="V8" s="1146"/>
      <c r="AA8" s="271"/>
    </row>
    <row r="9" spans="2:31">
      <c r="B9" s="571" t="s">
        <v>141</v>
      </c>
      <c r="J9" s="557"/>
      <c r="K9" s="557"/>
      <c r="L9" s="557"/>
      <c r="M9" s="557"/>
      <c r="N9" s="557"/>
      <c r="O9" s="557"/>
      <c r="V9" s="1129"/>
      <c r="AA9" s="299"/>
    </row>
    <row r="10" spans="2:31" s="334" customFormat="1">
      <c r="C10" s="334" t="s">
        <v>142</v>
      </c>
      <c r="F10" s="334">
        <v>42</v>
      </c>
      <c r="H10" s="334">
        <f>'FPLE_Wind Annual Summary'!F47*'FPLE_Wind Annual Summary'!$A$1</f>
        <v>3587.0630843069766</v>
      </c>
      <c r="J10" s="590">
        <f>'Cerro Gordo'!D163</f>
        <v>50117.426339398015</v>
      </c>
      <c r="K10" s="590"/>
      <c r="L10" s="590">
        <v>0</v>
      </c>
      <c r="M10" s="590"/>
      <c r="N10" s="590">
        <f>J10+L10</f>
        <v>50117.426339398015</v>
      </c>
      <c r="O10" s="590"/>
      <c r="P10" s="558">
        <f>'Cerro Gordo'!C96</f>
        <v>0.09</v>
      </c>
      <c r="R10" s="1138">
        <f>T10/F10</f>
        <v>1373.194959158071</v>
      </c>
      <c r="T10" s="334">
        <f>N10+V10</f>
        <v>57674.188284638978</v>
      </c>
      <c r="V10" s="1131">
        <f>Z10*FPLE_Debt!$E$71</f>
        <v>7556.7619452409654</v>
      </c>
      <c r="X10" s="334">
        <f>Z10*FPLE_Debt!$E$60</f>
        <v>30989.652924956557</v>
      </c>
      <c r="Z10" s="578">
        <f>J10/'FPLE_Valuation Summary'!$J$25</f>
        <v>3.5430488724196546E-2</v>
      </c>
      <c r="AA10" s="565"/>
      <c r="AB10" s="334">
        <f>'Cerro Gordo'!E95</f>
        <v>2.0651370521908231E-11</v>
      </c>
      <c r="AE10" s="558"/>
    </row>
    <row r="11" spans="2:31" s="334" customFormat="1">
      <c r="C11" s="334" t="s">
        <v>143</v>
      </c>
      <c r="F11" s="334">
        <v>75</v>
      </c>
      <c r="H11" s="334">
        <f>'FPLE_Wind Annual Summary'!F48*'FPLE_Wind Annual Summary'!$A$1</f>
        <v>6786.9534493675492</v>
      </c>
      <c r="J11" s="590">
        <f>'Southwest Mesa'!D163</f>
        <v>100420.18494014685</v>
      </c>
      <c r="K11" s="590"/>
      <c r="L11" s="590">
        <v>0</v>
      </c>
      <c r="M11" s="590"/>
      <c r="N11" s="590">
        <f>J11+L11</f>
        <v>100420.18494014685</v>
      </c>
      <c r="O11" s="590"/>
      <c r="P11" s="558">
        <f>'Southwest Mesa'!C96</f>
        <v>0.09</v>
      </c>
      <c r="R11" s="1138">
        <f>T11/F11</f>
        <v>1540.8220458342246</v>
      </c>
      <c r="S11" s="1124"/>
      <c r="T11" s="1124">
        <f>N11+V11</f>
        <v>115561.65343756684</v>
      </c>
      <c r="U11" s="1124"/>
      <c r="V11" s="1131">
        <f>Z11*FPLE_Debt!$E$71</f>
        <v>15141.468497419986</v>
      </c>
      <c r="W11" s="1124"/>
      <c r="X11" s="1124">
        <f>Z11*FPLE_Debt!$E$60</f>
        <v>62093.904361340356</v>
      </c>
      <c r="Y11" s="1124"/>
      <c r="Z11" s="578">
        <f>J11/'FPLE_Valuation Summary'!$J$25</f>
        <v>7.0991997995049905E-2</v>
      </c>
      <c r="AA11" s="1124"/>
      <c r="AB11" s="334">
        <f>'Southwest Mesa'!E95</f>
        <v>-1.5853577370353794E-11</v>
      </c>
      <c r="AE11" s="558"/>
    </row>
    <row r="12" spans="2:31" s="334" customFormat="1">
      <c r="C12" s="334" t="s">
        <v>144</v>
      </c>
      <c r="F12" s="334">
        <v>24.9</v>
      </c>
      <c r="H12" s="334">
        <f>'FPLE_Wind Annual Summary'!F49*'FPLE_Wind Annual Summary'!$A$1</f>
        <v>2208.0617004485339</v>
      </c>
      <c r="J12" s="590">
        <f>Vansycle!D163</f>
        <v>44304.743470888177</v>
      </c>
      <c r="K12" s="590"/>
      <c r="L12" s="590">
        <v>0</v>
      </c>
      <c r="M12" s="590"/>
      <c r="N12" s="590">
        <f>J12+L12</f>
        <v>44304.743470888177</v>
      </c>
      <c r="O12" s="590"/>
      <c r="P12" s="558">
        <f>Vansycle!C96</f>
        <v>0.09</v>
      </c>
      <c r="R12" s="1138">
        <f>T12/F12</f>
        <v>2047.592873560814</v>
      </c>
      <c r="S12" s="1124"/>
      <c r="T12" s="24">
        <f>N12+V12</f>
        <v>50985.062551664269</v>
      </c>
      <c r="U12" s="1124"/>
      <c r="V12" s="1131">
        <f>Z12*FPLE_Debt!$E$71</f>
        <v>6680.3190807760939</v>
      </c>
      <c r="W12" s="1124"/>
      <c r="X12" s="24">
        <f>Z12*FPLE_Debt!$E$60</f>
        <v>27395.433552275888</v>
      </c>
      <c r="Y12" s="1124"/>
      <c r="Z12" s="578">
        <f>J12/'FPLE_Valuation Summary'!$J$25</f>
        <v>3.132121556568699E-2</v>
      </c>
      <c r="AA12" s="1124"/>
      <c r="AB12" s="334">
        <f>Vansycle!E95</f>
        <v>-7.5095892806939023E-12</v>
      </c>
      <c r="AE12" s="558"/>
    </row>
    <row r="13" spans="2:31" s="334" customFormat="1">
      <c r="J13" s="590"/>
      <c r="K13" s="590"/>
      <c r="L13" s="590"/>
      <c r="M13" s="590"/>
      <c r="N13" s="590"/>
      <c r="O13" s="590"/>
      <c r="P13" s="1147"/>
      <c r="R13" s="1139"/>
      <c r="S13" s="1124"/>
      <c r="T13" s="632"/>
      <c r="U13" s="1124"/>
      <c r="V13" s="1119"/>
      <c r="W13" s="1124"/>
      <c r="X13" s="632"/>
      <c r="Y13" s="1124"/>
      <c r="Z13" s="580"/>
      <c r="AA13" s="1124"/>
      <c r="AE13" s="558"/>
    </row>
    <row r="14" spans="2:31" s="334" customFormat="1">
      <c r="F14" s="1148">
        <f>SUM(F10:F13)</f>
        <v>141.9</v>
      </c>
      <c r="H14" s="1148">
        <f>SUM(H10:H13)</f>
        <v>12582.078234123061</v>
      </c>
      <c r="J14" s="1149">
        <f>SUM(J10:J13)</f>
        <v>194842.35475043303</v>
      </c>
      <c r="K14" s="590"/>
      <c r="L14" s="1149">
        <f>SUM(L10:L13)</f>
        <v>0</v>
      </c>
      <c r="M14" s="590"/>
      <c r="N14" s="1149">
        <f>SUM(N10:N13)</f>
        <v>194842.35475043303</v>
      </c>
      <c r="O14" s="590"/>
      <c r="P14" s="558"/>
      <c r="R14" s="1138">
        <f>T14/F14</f>
        <v>1580.1332225078934</v>
      </c>
      <c r="S14" s="1124"/>
      <c r="T14" s="24">
        <f>SUM(T10:T12)</f>
        <v>224220.90427387008</v>
      </c>
      <c r="U14" s="1124"/>
      <c r="V14" s="1118">
        <f>SUM(V10:V12)</f>
        <v>29378.549523437046</v>
      </c>
      <c r="W14" s="1124"/>
      <c r="X14" s="24">
        <f>SUM(X10:X12)</f>
        <v>120478.9908385728</v>
      </c>
      <c r="Y14" s="1124"/>
      <c r="Z14" s="578">
        <f>SUM(Z10:Z12)</f>
        <v>0.13774370228493343</v>
      </c>
      <c r="AA14" s="1124"/>
      <c r="AE14" s="558"/>
    </row>
    <row r="15" spans="2:31" s="334" customFormat="1">
      <c r="J15" s="590"/>
      <c r="K15" s="590"/>
      <c r="L15" s="590"/>
      <c r="M15" s="590"/>
      <c r="N15" s="590"/>
      <c r="O15" s="590"/>
      <c r="P15" s="558"/>
      <c r="R15" s="1138"/>
      <c r="S15" s="1124"/>
      <c r="T15" s="24"/>
      <c r="U15" s="1124"/>
      <c r="V15" s="1118"/>
      <c r="W15" s="1124"/>
      <c r="X15" s="24"/>
      <c r="Y15" s="1124"/>
      <c r="Z15" s="578"/>
      <c r="AA15" s="1124"/>
      <c r="AE15" s="558"/>
    </row>
    <row r="16" spans="2:31" s="334" customFormat="1">
      <c r="B16" s="582" t="s">
        <v>145</v>
      </c>
      <c r="J16" s="590"/>
      <c r="K16" s="590"/>
      <c r="L16" s="590"/>
      <c r="M16" s="590"/>
      <c r="N16" s="590"/>
      <c r="O16" s="590"/>
      <c r="P16" s="558"/>
      <c r="R16" s="1138"/>
      <c r="S16" s="1124"/>
      <c r="T16" s="24"/>
      <c r="U16" s="1124"/>
      <c r="V16" s="1118"/>
      <c r="W16" s="1124"/>
      <c r="X16" s="24"/>
      <c r="Y16" s="1124"/>
      <c r="Z16" s="578"/>
      <c r="AA16" s="1124"/>
      <c r="AE16" s="558"/>
    </row>
    <row r="17" spans="2:31" s="334" customFormat="1">
      <c r="C17" s="334" t="s">
        <v>146</v>
      </c>
      <c r="F17" s="334">
        <v>28</v>
      </c>
      <c r="H17" s="334">
        <f>'FPLE_Wind Annual Summary'!F54*'FPLE_Wind Annual Summary'!$A$1</f>
        <v>4052.1123359354269</v>
      </c>
      <c r="J17" s="590">
        <f>Cameron!D163</f>
        <v>81217.279340629015</v>
      </c>
      <c r="K17" s="590"/>
      <c r="L17" s="590">
        <v>0</v>
      </c>
      <c r="M17" s="590"/>
      <c r="N17" s="590">
        <f t="shared" ref="N17:N34" si="0">J17+L17</f>
        <v>81217.279340629015</v>
      </c>
      <c r="O17" s="590"/>
      <c r="P17" s="558">
        <f>Cameron!C96</f>
        <v>0.09</v>
      </c>
      <c r="R17" s="1138">
        <f t="shared" ref="R17:R24" si="1">T17/F17</f>
        <v>3337.9754328908434</v>
      </c>
      <c r="S17" s="1124"/>
      <c r="T17" s="24">
        <f t="shared" ref="T17:T24" si="2">N17+V17</f>
        <v>93463.312120943621</v>
      </c>
      <c r="U17" s="1124"/>
      <c r="V17" s="1131">
        <f>Z17*FPLE_Debt!$E$71</f>
        <v>12246.032780314603</v>
      </c>
      <c r="W17" s="1124"/>
      <c r="X17" s="24">
        <f>Z17*FPLE_Debt!$E$60</f>
        <v>50219.963037023925</v>
      </c>
      <c r="Y17" s="1124"/>
      <c r="Z17" s="578">
        <f>J17/'FPLE_Valuation Summary'!$J$25</f>
        <v>5.7416513777084774E-2</v>
      </c>
      <c r="AA17" s="1124"/>
      <c r="AB17" s="334">
        <f>Cameron!E95</f>
        <v>0</v>
      </c>
      <c r="AE17" s="558"/>
    </row>
    <row r="18" spans="2:31" s="334" customFormat="1">
      <c r="C18" s="334" t="s">
        <v>147</v>
      </c>
      <c r="D18" s="588"/>
      <c r="F18" s="334">
        <v>14</v>
      </c>
      <c r="H18" s="334">
        <f>'FPLE_Wind Annual Summary'!F55*'FPLE_Wind Annual Summary'!$A$1</f>
        <v>3404.2742797463397</v>
      </c>
      <c r="J18" s="590">
        <f>'Pacific Crest'!D164</f>
        <v>73884.258339400156</v>
      </c>
      <c r="K18" s="1150"/>
      <c r="L18" s="590">
        <v>0</v>
      </c>
      <c r="M18" s="590"/>
      <c r="N18" s="590">
        <f t="shared" si="0"/>
        <v>73884.258339400156</v>
      </c>
      <c r="O18" s="590"/>
      <c r="P18" s="558">
        <f>'Pacific Crest'!C96</f>
        <v>0.09</v>
      </c>
      <c r="R18" s="1138">
        <f t="shared" si="1"/>
        <v>6073.1864257586467</v>
      </c>
      <c r="S18" s="1124"/>
      <c r="T18" s="24">
        <f t="shared" si="2"/>
        <v>85024.609960621048</v>
      </c>
      <c r="U18" s="1124"/>
      <c r="V18" s="1131">
        <f>Z18*FPLE_Debt!$E$71</f>
        <v>11140.351621220898</v>
      </c>
      <c r="W18" s="1124"/>
      <c r="X18" s="24">
        <f>Z18*FPLE_Debt!$E$60</f>
        <v>45685.656463087653</v>
      </c>
      <c r="Y18" s="1124"/>
      <c r="Z18" s="578">
        <f>J18/'FPLE_Valuation Summary'!$J$25</f>
        <v>5.2232438359107992E-2</v>
      </c>
      <c r="AA18" s="1124"/>
      <c r="AB18" s="334">
        <f>'Pacific Crest'!E95</f>
        <v>-4.3388738066231434E-11</v>
      </c>
      <c r="AE18" s="558"/>
    </row>
    <row r="19" spans="2:31" s="334" customFormat="1">
      <c r="C19" s="334" t="s">
        <v>148</v>
      </c>
      <c r="F19" s="334">
        <v>38.5</v>
      </c>
      <c r="H19" s="334">
        <f>'FPLE_Wind Annual Summary'!F56*'FPLE_Wind Annual Summary'!$A$1</f>
        <v>3426.5074999999997</v>
      </c>
      <c r="J19" s="590">
        <f>'Sky River'!D163</f>
        <v>48242.767578053536</v>
      </c>
      <c r="K19" s="590"/>
      <c r="L19" s="590">
        <v>0</v>
      </c>
      <c r="M19" s="590"/>
      <c r="N19" s="590">
        <f t="shared" si="0"/>
        <v>48242.767578053536</v>
      </c>
      <c r="O19" s="590"/>
      <c r="P19" s="558">
        <f>'Sky River'!C96</f>
        <v>0.09</v>
      </c>
      <c r="R19" s="1138">
        <f t="shared" si="1"/>
        <v>1441.9965289748484</v>
      </c>
      <c r="S19" s="1124"/>
      <c r="T19" s="24">
        <f t="shared" si="2"/>
        <v>55516.866365531663</v>
      </c>
      <c r="U19" s="1124"/>
      <c r="V19" s="1131">
        <f>Z19*FPLE_Debt!$E$71</f>
        <v>7274.0987874781304</v>
      </c>
      <c r="W19" s="1124"/>
      <c r="X19" s="24">
        <f>Z19*FPLE_Debt!$E$60</f>
        <v>29830.474798502666</v>
      </c>
      <c r="Y19" s="1124"/>
      <c r="Z19" s="578">
        <f>J19/'FPLE_Valuation Summary'!$J$25</f>
        <v>3.4105199678910555E-2</v>
      </c>
      <c r="AA19" s="1124"/>
      <c r="AB19" s="334">
        <f>'Sky River'!E95</f>
        <v>6.6751904717279132E-12</v>
      </c>
      <c r="AE19" s="558"/>
    </row>
    <row r="20" spans="2:31" s="334" customFormat="1">
      <c r="C20" s="334" t="s">
        <v>149</v>
      </c>
      <c r="F20" s="334">
        <v>15</v>
      </c>
      <c r="H20" s="334">
        <f>'FPLE_Wind Annual Summary'!F57*'FPLE_Wind Annual Summary'!$A$1</f>
        <v>866.31605466938868</v>
      </c>
      <c r="J20" s="590">
        <f>Ridgetop!D163</f>
        <v>12354.516341686585</v>
      </c>
      <c r="K20" s="590"/>
      <c r="L20" s="590">
        <v>0</v>
      </c>
      <c r="M20" s="590"/>
      <c r="N20" s="590">
        <f t="shared" si="0"/>
        <v>12354.516341686585</v>
      </c>
      <c r="O20" s="590"/>
      <c r="P20" s="558">
        <f>Ridgetop!C96</f>
        <v>0.09</v>
      </c>
      <c r="R20" s="1138">
        <f t="shared" si="1"/>
        <v>947.82294795791904</v>
      </c>
      <c r="S20" s="1124"/>
      <c r="T20" s="24">
        <f t="shared" si="2"/>
        <v>14217.344219368786</v>
      </c>
      <c r="U20" s="1124"/>
      <c r="V20" s="1131">
        <f>Z20*FPLE_Debt!$E$71</f>
        <v>1862.8278776822006</v>
      </c>
      <c r="W20" s="1124"/>
      <c r="X20" s="24">
        <f>Z20*FPLE_Debt!$E$60</f>
        <v>7639.3023634495357</v>
      </c>
      <c r="Y20" s="1124"/>
      <c r="Z20" s="578">
        <f>J20/'FPLE_Valuation Summary'!$J$25</f>
        <v>8.7340189612435375E-3</v>
      </c>
      <c r="AA20" s="1124"/>
      <c r="AB20" s="334">
        <f>Ridgetop!E95</f>
        <v>2.5031964268979676E-12</v>
      </c>
      <c r="AE20" s="558"/>
    </row>
    <row r="21" spans="2:31" s="334" customFormat="1">
      <c r="C21" s="334" t="s">
        <v>150</v>
      </c>
      <c r="F21" s="334">
        <v>82.5</v>
      </c>
      <c r="H21" s="334">
        <f>'FPLE_Wind Annual Summary'!F58*'FPLE_Wind Annual Summary'!$A$1</f>
        <v>1136.1382322092743</v>
      </c>
      <c r="J21" s="590">
        <f>'Green Ridge'!D163</f>
        <v>24245.231609924969</v>
      </c>
      <c r="K21" s="590"/>
      <c r="L21" s="590">
        <v>0</v>
      </c>
      <c r="M21" s="590"/>
      <c r="N21" s="590">
        <f t="shared" si="0"/>
        <v>24245.231609924969</v>
      </c>
      <c r="O21" s="590"/>
      <c r="P21" s="558">
        <f>'Green Ridge'!C96</f>
        <v>0.09</v>
      </c>
      <c r="R21" s="1138">
        <f t="shared" si="1"/>
        <v>338.19339293910912</v>
      </c>
      <c r="S21" s="1124"/>
      <c r="T21" s="24">
        <f t="shared" si="2"/>
        <v>27900.954917476502</v>
      </c>
      <c r="U21" s="1124"/>
      <c r="V21" s="1131">
        <f>Z21*FPLE_Debt!$E$71</f>
        <v>3655.7233075515319</v>
      </c>
      <c r="W21" s="1124"/>
      <c r="X21" s="24">
        <f>Z21*FPLE_Debt!$E$60</f>
        <v>14991.817568375667</v>
      </c>
      <c r="Y21" s="1124"/>
      <c r="Z21" s="578">
        <f>J21/'FPLE_Valuation Summary'!$J$25</f>
        <v>1.714015399261818E-2</v>
      </c>
      <c r="AA21" s="1124"/>
      <c r="AB21" s="334">
        <f>'Green Ridge'!E95</f>
        <v>-2.0025571415183741E-11</v>
      </c>
      <c r="AE21" s="558"/>
    </row>
    <row r="22" spans="2:31" s="334" customFormat="1">
      <c r="C22" s="334" t="s">
        <v>151</v>
      </c>
      <c r="F22" s="334">
        <v>42.5</v>
      </c>
      <c r="H22" s="334">
        <f>'FPLE_Wind Annual Summary'!F59*'FPLE_Wind Annual Summary'!$A$1</f>
        <v>566.75388675008264</v>
      </c>
      <c r="J22" s="590">
        <f>'Mojave 16-18'!D163</f>
        <v>9202.4254532619434</v>
      </c>
      <c r="K22" s="590"/>
      <c r="L22" s="590">
        <v>0</v>
      </c>
      <c r="M22" s="590"/>
      <c r="N22" s="590">
        <f t="shared" si="0"/>
        <v>9202.4254532619434</v>
      </c>
      <c r="O22" s="590"/>
      <c r="P22" s="558">
        <f>'Mojave 16-18'!C96</f>
        <v>0.09</v>
      </c>
      <c r="R22" s="1138">
        <f t="shared" si="1"/>
        <v>249.17594163405533</v>
      </c>
      <c r="S22" s="1124"/>
      <c r="T22" s="24">
        <f t="shared" si="2"/>
        <v>10589.977519447351</v>
      </c>
      <c r="U22" s="1124"/>
      <c r="V22" s="1131">
        <f>Z22*FPLE_Debt!$E$71</f>
        <v>1387.552066185408</v>
      </c>
      <c r="W22" s="1124"/>
      <c r="X22" s="24">
        <f>Z22*FPLE_Debt!$E$60</f>
        <v>5690.2357462076952</v>
      </c>
      <c r="Y22" s="1124"/>
      <c r="Z22" s="578">
        <f>J22/'FPLE_Valuation Summary'!$J$25</f>
        <v>6.5056499320027316E-3</v>
      </c>
      <c r="AA22" s="1124"/>
      <c r="AB22" s="334">
        <f>'Mojave 16-18'!E95</f>
        <v>-8.3439880896598915E-13</v>
      </c>
      <c r="AE22" s="558"/>
    </row>
    <row r="23" spans="2:31" s="334" customFormat="1">
      <c r="C23" s="334" t="s">
        <v>152</v>
      </c>
      <c r="F23" s="334">
        <v>14.5</v>
      </c>
      <c r="H23" s="334">
        <f>'FPLE_Wind Annual Summary'!F60*'FPLE_Wind Annual Summary'!$A$1</f>
        <v>770.59806064934662</v>
      </c>
      <c r="J23" s="590">
        <f>Morwind!D163</f>
        <v>13066.242022202465</v>
      </c>
      <c r="K23" s="590"/>
      <c r="L23" s="590">
        <v>0</v>
      </c>
      <c r="M23" s="590"/>
      <c r="N23" s="590">
        <f t="shared" si="0"/>
        <v>13066.242022202465</v>
      </c>
      <c r="O23" s="590"/>
      <c r="P23" s="558">
        <f>Morwind!C96</f>
        <v>0.09</v>
      </c>
      <c r="R23" s="1138">
        <f t="shared" si="1"/>
        <v>1036.9920482043963</v>
      </c>
      <c r="S23" s="1124"/>
      <c r="T23" s="24">
        <f t="shared" si="2"/>
        <v>15036.384698963746</v>
      </c>
      <c r="U23" s="1124"/>
      <c r="V23" s="1131">
        <f>Z23*FPLE_Debt!$E$71</f>
        <v>1970.1426767612811</v>
      </c>
      <c r="W23" s="1124"/>
      <c r="X23" s="24">
        <f>Z23*FPLE_Debt!$E$60</f>
        <v>8079.391438806284</v>
      </c>
      <c r="Y23" s="1124"/>
      <c r="Z23" s="578">
        <f>J23/'FPLE_Valuation Summary'!$J$25</f>
        <v>9.2371730643187721E-3</v>
      </c>
      <c r="AA23" s="1124"/>
      <c r="AB23" s="334">
        <f>Morwind!E95</f>
        <v>1.5019178561387805E-11</v>
      </c>
      <c r="AE23" s="558"/>
    </row>
    <row r="24" spans="2:31" s="334" customFormat="1">
      <c r="C24" s="334" t="s">
        <v>153</v>
      </c>
      <c r="F24" s="334">
        <v>11</v>
      </c>
      <c r="H24" s="334">
        <f>'FPLE_Wind Annual Summary'!F61*'FPLE_Wind Annual Summary'!$A$1</f>
        <v>525.10864697484419</v>
      </c>
      <c r="J24" s="590">
        <f>VG!D163</f>
        <v>11763.366557186608</v>
      </c>
      <c r="K24" s="590"/>
      <c r="L24" s="590">
        <v>0</v>
      </c>
      <c r="M24" s="590"/>
      <c r="N24" s="590">
        <f t="shared" si="0"/>
        <v>11763.366557186608</v>
      </c>
      <c r="O24" s="590"/>
      <c r="P24" s="558">
        <f>VG!C96</f>
        <v>0.09</v>
      </c>
      <c r="R24" s="1138">
        <f t="shared" si="1"/>
        <v>1230.6418368260217</v>
      </c>
      <c r="S24" s="1124"/>
      <c r="T24" s="24">
        <f t="shared" si="2"/>
        <v>13537.06020508624</v>
      </c>
      <c r="U24" s="1124"/>
      <c r="V24" s="1131">
        <f>Z24*FPLE_Debt!$E$71</f>
        <v>1773.6936478996327</v>
      </c>
      <c r="W24" s="1124"/>
      <c r="X24" s="24">
        <f>Z24*FPLE_Debt!$E$60</f>
        <v>7273.7702923440429</v>
      </c>
      <c r="Y24" s="1124"/>
      <c r="Z24" s="578">
        <f>J24/'FPLE_Valuation Summary'!$J$25</f>
        <v>8.3161059257217448E-3</v>
      </c>
      <c r="AA24" s="1124"/>
      <c r="AB24" s="334">
        <f>VG!E95</f>
        <v>1.6687976179319783E-12</v>
      </c>
      <c r="AE24" s="558"/>
    </row>
    <row r="25" spans="2:31" s="334" customFormat="1">
      <c r="F25" s="599"/>
      <c r="H25" s="599"/>
      <c r="J25" s="1151"/>
      <c r="K25" s="590"/>
      <c r="L25" s="1151"/>
      <c r="M25" s="590"/>
      <c r="N25" s="1151"/>
      <c r="O25" s="590"/>
      <c r="P25" s="1147"/>
      <c r="R25" s="1139"/>
      <c r="S25" s="1124"/>
      <c r="T25" s="632"/>
      <c r="U25" s="1124"/>
      <c r="V25" s="1119"/>
      <c r="W25" s="1124"/>
      <c r="X25" s="632"/>
      <c r="Y25" s="1124"/>
      <c r="Z25" s="580"/>
      <c r="AA25" s="1124"/>
      <c r="AE25" s="558"/>
    </row>
    <row r="26" spans="2:31" s="334" customFormat="1">
      <c r="F26" s="334">
        <f>SUM(F17:F25)</f>
        <v>246</v>
      </c>
      <c r="H26" s="334">
        <f>SUM(H17:H25)</f>
        <v>14747.808996934704</v>
      </c>
      <c r="J26" s="590">
        <f>SUM(J17:J25)</f>
        <v>273976.08724234521</v>
      </c>
      <c r="K26" s="590"/>
      <c r="L26" s="590">
        <f>SUM(L17:L25)</f>
        <v>0</v>
      </c>
      <c r="M26" s="590"/>
      <c r="N26" s="590">
        <f>SUM(N17:N25)</f>
        <v>273976.08724234521</v>
      </c>
      <c r="O26" s="590"/>
      <c r="P26" s="558"/>
      <c r="R26" s="1138">
        <f>T26/F26</f>
        <v>1281.6524797050363</v>
      </c>
      <c r="S26" s="1124"/>
      <c r="T26" s="24">
        <f>SUM(T17:T24)</f>
        <v>315286.51000743895</v>
      </c>
      <c r="U26" s="1124"/>
      <c r="V26" s="1118">
        <f>SUM(V17:V24)</f>
        <v>41310.422765093688</v>
      </c>
      <c r="W26" s="1124"/>
      <c r="X26" s="24">
        <f>SUM(X17:X24)</f>
        <v>169410.61170779748</v>
      </c>
      <c r="Y26" s="1124"/>
      <c r="Z26" s="578">
        <f>SUM(Z17:Z24)</f>
        <v>0.19368725369100825</v>
      </c>
      <c r="AA26" s="1124"/>
      <c r="AE26" s="558"/>
    </row>
    <row r="27" spans="2:31" s="334" customFormat="1">
      <c r="J27" s="590"/>
      <c r="K27" s="590"/>
      <c r="L27" s="590"/>
      <c r="M27" s="590"/>
      <c r="N27" s="590"/>
      <c r="O27" s="590"/>
      <c r="P27" s="558"/>
      <c r="R27" s="1138"/>
      <c r="S27" s="1125"/>
      <c r="T27" s="1125"/>
      <c r="U27" s="1125"/>
      <c r="V27" s="1123"/>
      <c r="W27" s="1125"/>
      <c r="X27" s="1125"/>
      <c r="Y27" s="1125"/>
      <c r="Z27" s="578"/>
      <c r="AA27" s="1125"/>
      <c r="AE27" s="558"/>
    </row>
    <row r="28" spans="2:31" s="334" customFormat="1">
      <c r="B28" s="582" t="s">
        <v>165</v>
      </c>
      <c r="J28" s="590"/>
      <c r="K28" s="590"/>
      <c r="L28" s="590"/>
      <c r="M28" s="590"/>
      <c r="N28" s="590"/>
      <c r="O28" s="590"/>
      <c r="P28" s="558"/>
      <c r="R28" s="1138"/>
      <c r="S28" s="1124"/>
      <c r="T28" s="1124"/>
      <c r="U28" s="1124"/>
      <c r="V28" s="1122"/>
      <c r="W28" s="1124"/>
      <c r="X28" s="1124"/>
      <c r="Y28" s="1124"/>
      <c r="Z28" s="578"/>
      <c r="AA28" s="1124"/>
      <c r="AE28" s="558"/>
    </row>
    <row r="29" spans="2:31" s="334" customFormat="1">
      <c r="C29" s="334" t="s">
        <v>154</v>
      </c>
      <c r="F29" s="334">
        <v>15</v>
      </c>
      <c r="H29" s="334">
        <f>'FPLE_Wind Annual Summary'!F66*'FPLE_Wind Annual Summary'!$A$1</f>
        <v>305.32005777767631</v>
      </c>
      <c r="J29" s="1152">
        <f>'WPP 92'!D163</f>
        <v>6188.2038908639715</v>
      </c>
      <c r="K29" s="590"/>
      <c r="L29" s="590">
        <v>0</v>
      </c>
      <c r="M29" s="590"/>
      <c r="N29" s="590">
        <f t="shared" si="0"/>
        <v>6188.2038908639715</v>
      </c>
      <c r="O29" s="590"/>
      <c r="P29" s="558">
        <f>'WPP 92'!C$96</f>
        <v>0.09</v>
      </c>
      <c r="R29" s="1138">
        <f t="shared" ref="R29:R35" si="3">T29/F29</f>
        <v>474.75121584586827</v>
      </c>
      <c r="S29" s="1124"/>
      <c r="T29" s="334">
        <f t="shared" ref="T29:T35" si="4">N29+V29</f>
        <v>7121.2682376880239</v>
      </c>
      <c r="U29" s="1124"/>
      <c r="V29" s="1131">
        <f>Z29*FPLE_Debt!$E$71</f>
        <v>933.06434682405188</v>
      </c>
      <c r="W29" s="1124"/>
      <c r="X29" s="1124">
        <f>Z29*FPLE_Debt!$E$60</f>
        <v>3826.4193677476792</v>
      </c>
      <c r="Y29" s="1124"/>
      <c r="Z29" s="578">
        <f>J29/'FPLE_Valuation Summary'!$J$25</f>
        <v>4.374747551749855E-3</v>
      </c>
      <c r="AA29" s="1124"/>
      <c r="AB29" s="334">
        <f>'WPP 92'!E95</f>
        <v>1.2098782730006843E-11</v>
      </c>
      <c r="AE29" s="558"/>
    </row>
    <row r="30" spans="2:31" s="334" customFormat="1">
      <c r="C30" s="334" t="s">
        <v>155</v>
      </c>
      <c r="F30" s="334">
        <v>15.5</v>
      </c>
      <c r="H30" s="334">
        <f>'FPLE_Wind Annual Summary'!F67*'FPLE_Wind Annual Summary'!$A$1</f>
        <v>191.18869046926199</v>
      </c>
      <c r="J30" s="1152">
        <f>'WPP 91-2'!D163</f>
        <v>3209.4444927660534</v>
      </c>
      <c r="K30" s="590"/>
      <c r="L30" s="590">
        <v>0</v>
      </c>
      <c r="M30" s="590"/>
      <c r="N30" s="590">
        <f t="shared" si="0"/>
        <v>3209.4444927660534</v>
      </c>
      <c r="O30" s="590"/>
      <c r="P30" s="558">
        <f>'WPP 91-2'!C$96</f>
        <v>0.09</v>
      </c>
      <c r="R30" s="1138">
        <f t="shared" si="3"/>
        <v>238.28181582392079</v>
      </c>
      <c r="S30" s="1124"/>
      <c r="T30" s="334">
        <f t="shared" si="4"/>
        <v>3693.3681452707724</v>
      </c>
      <c r="U30" s="1124"/>
      <c r="V30" s="1131">
        <f>Z30*FPLE_Debt!$E$71</f>
        <v>483.9236525047192</v>
      </c>
      <c r="W30" s="1124"/>
      <c r="X30" s="1124">
        <f>Z30*FPLE_Debt!$E$60</f>
        <v>1984.5306947564998</v>
      </c>
      <c r="Y30" s="1124"/>
      <c r="Z30" s="578">
        <f>J30/'FPLE_Valuation Summary'!$J$25</f>
        <v>2.2689151302745891E-3</v>
      </c>
      <c r="AA30" s="1124"/>
      <c r="AB30" s="334">
        <f>'WPP 91-2'!E95</f>
        <v>1.8773973201734756E-12</v>
      </c>
      <c r="AE30" s="558"/>
    </row>
    <row r="31" spans="2:31" s="334" customFormat="1">
      <c r="C31" s="334" t="s">
        <v>193</v>
      </c>
      <c r="F31" s="334">
        <v>22.1</v>
      </c>
      <c r="H31" s="334">
        <f>'FPLE_Wind Annual Summary'!F68*'FPLE_Wind Annual Summary'!$A$1</f>
        <v>0</v>
      </c>
      <c r="J31" s="590">
        <v>0</v>
      </c>
      <c r="K31" s="590"/>
      <c r="L31" s="590">
        <v>0</v>
      </c>
      <c r="M31" s="590"/>
      <c r="N31" s="590">
        <v>0</v>
      </c>
      <c r="O31" s="590"/>
      <c r="P31" s="558"/>
      <c r="R31" s="335">
        <v>0</v>
      </c>
      <c r="S31" s="1125"/>
      <c r="T31" s="334">
        <f t="shared" si="4"/>
        <v>0</v>
      </c>
      <c r="U31" s="1125"/>
      <c r="V31" s="1131">
        <f>Z31*FPLE_Debt!$E$71</f>
        <v>0</v>
      </c>
      <c r="W31" s="1125"/>
      <c r="X31" s="27">
        <f>Z31*FPLE_Debt!$E$60</f>
        <v>0</v>
      </c>
      <c r="Y31" s="1125"/>
      <c r="Z31" s="578">
        <f>J31/'FPLE_Valuation Summary'!$J$25</f>
        <v>0</v>
      </c>
      <c r="AA31" s="1125"/>
    </row>
    <row r="32" spans="2:31" s="334" customFormat="1">
      <c r="C32" s="334" t="s">
        <v>157</v>
      </c>
      <c r="F32" s="334">
        <v>13.8</v>
      </c>
      <c r="H32" s="334">
        <f>'FPLE_Wind Annual Summary'!F69*'FPLE_Wind Annual Summary'!$A$1</f>
        <v>535.43508789738473</v>
      </c>
      <c r="J32" s="590">
        <f>('WPP 89'!D160+'WPP 89'!D162)</f>
        <v>11223.364239440438</v>
      </c>
      <c r="K32" s="590"/>
      <c r="L32" s="590">
        <v>0</v>
      </c>
      <c r="M32" s="590"/>
      <c r="N32" s="590">
        <f t="shared" si="0"/>
        <v>11223.364239440438</v>
      </c>
      <c r="O32" s="590"/>
      <c r="P32" s="558">
        <f>'WPP 89'!C$96</f>
        <v>0.09</v>
      </c>
      <c r="R32" s="1138">
        <f t="shared" si="3"/>
        <v>935.91563261997294</v>
      </c>
      <c r="S32" s="35"/>
      <c r="T32" s="334">
        <f t="shared" si="4"/>
        <v>12915.635730155627</v>
      </c>
      <c r="U32" s="35"/>
      <c r="V32" s="1131">
        <f>Z32*FPLE_Debt!$E$71</f>
        <v>1692.2714907151903</v>
      </c>
      <c r="W32" s="35"/>
      <c r="X32" s="35">
        <f>Z32*FPLE_Debt!$E$60</f>
        <v>6939.8647902478451</v>
      </c>
      <c r="Y32" s="35"/>
      <c r="Z32" s="578">
        <f>J32/'FPLE_Valuation Summary'!$J$25</f>
        <v>7.9343515654643169E-3</v>
      </c>
      <c r="AA32" s="35"/>
      <c r="AB32" s="334">
        <f>'WPP 89'!E95</f>
        <v>1.6687976179319783E-12</v>
      </c>
      <c r="AE32" s="558"/>
    </row>
    <row r="33" spans="2:31" s="334" customFormat="1">
      <c r="C33" s="334" t="s">
        <v>158</v>
      </c>
      <c r="F33" s="334">
        <v>12</v>
      </c>
      <c r="H33" s="334">
        <f>'FPLE_Wind Annual Summary'!F70*'FPLE_Wind Annual Summary'!$A$1</f>
        <v>277.55380727481224</v>
      </c>
      <c r="J33" s="1152">
        <f>'WPP 91'!D163</f>
        <v>3017.2785667747066</v>
      </c>
      <c r="K33" s="590"/>
      <c r="L33" s="590">
        <v>0</v>
      </c>
      <c r="M33" s="590"/>
      <c r="N33" s="590">
        <f t="shared" si="0"/>
        <v>3017.2785667747066</v>
      </c>
      <c r="O33" s="590"/>
      <c r="P33" s="558">
        <f>'WPP 91'!C96</f>
        <v>0.09</v>
      </c>
      <c r="R33" s="1138">
        <f t="shared" si="3"/>
        <v>289.35226872469315</v>
      </c>
      <c r="S33" s="35"/>
      <c r="T33" s="334">
        <f t="shared" si="4"/>
        <v>3472.2272246963175</v>
      </c>
      <c r="U33" s="35"/>
      <c r="V33" s="1131">
        <f>Z33*FPLE_Debt!$E$71</f>
        <v>454.94865792161067</v>
      </c>
      <c r="W33" s="35"/>
      <c r="X33" s="35">
        <f>Z33*FPLE_Debt!$E$60</f>
        <v>1865.7066492010463</v>
      </c>
      <c r="Y33" s="35"/>
      <c r="Z33" s="578">
        <f>J33/'FPLE_Valuation Summary'!$J$25</f>
        <v>2.1330635279216783E-3</v>
      </c>
      <c r="AA33" s="35"/>
      <c r="AB33" s="334">
        <f>'WPP 91'!E95</f>
        <v>2.3206716874366575E-12</v>
      </c>
      <c r="AE33" s="558"/>
    </row>
    <row r="34" spans="2:31" s="334" customFormat="1">
      <c r="C34" s="334" t="s">
        <v>159</v>
      </c>
      <c r="F34" s="334">
        <v>7.5</v>
      </c>
      <c r="H34" s="334">
        <f>'FPLE_Wind Annual Summary'!F71*'FPLE_Wind Annual Summary'!$A$1</f>
        <v>99.176483355220995</v>
      </c>
      <c r="J34" s="590">
        <f>'WPP 90'!D160</f>
        <v>2709.6832796353892</v>
      </c>
      <c r="K34" s="590"/>
      <c r="L34" s="590">
        <v>0</v>
      </c>
      <c r="M34" s="590"/>
      <c r="N34" s="590">
        <f t="shared" si="0"/>
        <v>2709.6832796353892</v>
      </c>
      <c r="O34" s="590"/>
      <c r="P34" s="558">
        <f>'WPP 90'!C$96</f>
        <v>0.09</v>
      </c>
      <c r="R34" s="1138">
        <f t="shared" si="3"/>
        <v>415.76698319955176</v>
      </c>
      <c r="T34" s="334">
        <f t="shared" si="4"/>
        <v>3118.2523739966382</v>
      </c>
      <c r="V34" s="1131">
        <f>Z34*FPLE_Debt!$E$71</f>
        <v>408.5690943612488</v>
      </c>
      <c r="X34" s="334">
        <f>Z34*FPLE_Debt!$E$60</f>
        <v>1675.5079122338539</v>
      </c>
      <c r="Z34" s="578">
        <f>J34/'FPLE_Valuation Summary'!$J$25</f>
        <v>1.9156091981881037E-3</v>
      </c>
      <c r="AB34" s="334">
        <f>'WPP 90'!E95</f>
        <v>2.5031964268979676E-12</v>
      </c>
      <c r="AE34" s="558"/>
    </row>
    <row r="35" spans="2:31" s="334" customFormat="1">
      <c r="C35" s="334" t="s">
        <v>194</v>
      </c>
      <c r="F35" s="334">
        <v>8.8000000000000007</v>
      </c>
      <c r="H35" s="334">
        <f>'FPLE_Wind Annual Summary'!F72*'FPLE_Wind Annual Summary'!$A$1</f>
        <v>0</v>
      </c>
      <c r="J35" s="590">
        <v>0</v>
      </c>
      <c r="K35" s="590"/>
      <c r="L35" s="590">
        <v>0</v>
      </c>
      <c r="M35" s="590"/>
      <c r="N35" s="590">
        <v>0</v>
      </c>
      <c r="O35" s="590"/>
      <c r="P35" s="558"/>
      <c r="R35" s="335">
        <f t="shared" si="3"/>
        <v>0</v>
      </c>
      <c r="T35" s="334">
        <f t="shared" si="4"/>
        <v>0</v>
      </c>
      <c r="V35" s="1131">
        <f>Z35*FPLE_Debt!$E$71</f>
        <v>0</v>
      </c>
      <c r="X35" s="334">
        <f>Z35*FPLE_Debt!$E$60</f>
        <v>0</v>
      </c>
      <c r="Z35" s="578">
        <f>J35/'FPLE_Valuation Summary'!$J$25</f>
        <v>0</v>
      </c>
    </row>
    <row r="36" spans="2:31" s="334" customFormat="1">
      <c r="J36" s="590"/>
      <c r="K36" s="590"/>
      <c r="L36" s="590"/>
      <c r="M36" s="590"/>
      <c r="N36" s="590"/>
      <c r="O36" s="590"/>
      <c r="P36" s="1147"/>
      <c r="R36" s="1139"/>
      <c r="S36" s="271"/>
      <c r="T36" s="914"/>
      <c r="U36" s="271"/>
      <c r="V36" s="1130"/>
      <c r="W36" s="271"/>
      <c r="X36" s="914"/>
      <c r="Y36" s="271"/>
      <c r="Z36" s="580"/>
      <c r="AA36" s="271"/>
    </row>
    <row r="37" spans="2:31" s="334" customFormat="1">
      <c r="F37" s="1148">
        <f>SUM(F29:F36)</f>
        <v>94.7</v>
      </c>
      <c r="H37" s="1148">
        <f>SUM(H29:H36)</f>
        <v>1408.6741267743564</v>
      </c>
      <c r="J37" s="1149">
        <f>SUM(J29:J36)</f>
        <v>26347.974469480559</v>
      </c>
      <c r="K37" s="590"/>
      <c r="L37" s="1149">
        <f>SUM(L29:L36)</f>
        <v>0</v>
      </c>
      <c r="M37" s="590"/>
      <c r="N37" s="1149">
        <f>SUM(N29:N36)</f>
        <v>26347.974469480559</v>
      </c>
      <c r="O37" s="590"/>
      <c r="P37" s="558"/>
      <c r="R37" s="1138">
        <f>T37/F37</f>
        <v>320.17689241612862</v>
      </c>
      <c r="S37" s="271"/>
      <c r="T37" s="334">
        <f>SUM(T29:T35)</f>
        <v>30320.751711807381</v>
      </c>
      <c r="U37" s="271"/>
      <c r="V37" s="1131">
        <f>SUM(V29:V35)</f>
        <v>3972.7772423268216</v>
      </c>
      <c r="W37" s="271"/>
      <c r="X37" s="334">
        <f>SUM(X29:X35)</f>
        <v>16292.029414186924</v>
      </c>
      <c r="Y37" s="271"/>
      <c r="Z37" s="578">
        <f>SUM(Z29:Z35)</f>
        <v>1.8626686973598542E-2</v>
      </c>
      <c r="AA37" s="271"/>
    </row>
    <row r="38" spans="2:31" s="334" customFormat="1">
      <c r="J38" s="590"/>
      <c r="K38" s="590"/>
      <c r="L38" s="590"/>
      <c r="M38" s="590"/>
      <c r="N38" s="590"/>
      <c r="O38" s="590"/>
      <c r="P38" s="558"/>
      <c r="R38" s="271"/>
      <c r="S38" s="271"/>
      <c r="T38" s="271"/>
      <c r="U38" s="271"/>
      <c r="V38" s="1129"/>
      <c r="W38" s="271"/>
      <c r="X38" s="271"/>
      <c r="Y38" s="271"/>
      <c r="Z38" s="271"/>
      <c r="AA38" s="271"/>
    </row>
    <row r="39" spans="2:31" s="334" customFormat="1" ht="13.5" thickBot="1">
      <c r="B39" s="584" t="s">
        <v>161</v>
      </c>
      <c r="F39" s="1153">
        <f>F14+F26+F37</f>
        <v>482.59999999999997</v>
      </c>
      <c r="G39" s="584"/>
      <c r="H39" s="1153">
        <f>H14+H26+H37</f>
        <v>28738.561357832121</v>
      </c>
      <c r="I39" s="584"/>
      <c r="J39" s="1154">
        <f>J14+J26+J37</f>
        <v>495166.41646225879</v>
      </c>
      <c r="K39" s="1155"/>
      <c r="L39" s="1154">
        <f>L14+L26+L37</f>
        <v>0</v>
      </c>
      <c r="M39" s="1155"/>
      <c r="N39" s="1154">
        <f>N14+N26+N37</f>
        <v>495166.41646225879</v>
      </c>
      <c r="O39" s="1155"/>
      <c r="P39" s="602"/>
      <c r="Q39" s="584"/>
      <c r="R39" s="1140">
        <f>T39/F39</f>
        <v>1180.7463033425536</v>
      </c>
      <c r="S39" s="299"/>
      <c r="T39" s="1127">
        <f>T14+T26+T37</f>
        <v>569828.16599311633</v>
      </c>
      <c r="U39" s="299"/>
      <c r="V39" s="1132">
        <f>V14+V26+V37</f>
        <v>74661.749530857545</v>
      </c>
      <c r="W39" s="299"/>
      <c r="X39" s="1127">
        <f>X14+X26+X37</f>
        <v>306181.63196055719</v>
      </c>
      <c r="Y39" s="299"/>
      <c r="Z39" s="1126">
        <f>Z14+Z26+Z37</f>
        <v>0.35005764294954023</v>
      </c>
      <c r="AA39" s="271"/>
    </row>
    <row r="40" spans="2:31" s="334" customFormat="1" ht="13.5" thickTop="1">
      <c r="J40" s="590"/>
      <c r="K40" s="590"/>
      <c r="L40" s="590"/>
      <c r="M40" s="590"/>
      <c r="N40" s="590"/>
      <c r="O40" s="590"/>
      <c r="P40" s="558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31" s="334" customFormat="1">
      <c r="P41" s="558"/>
      <c r="R41" s="7"/>
      <c r="S41" s="7"/>
      <c r="T41" s="7"/>
      <c r="U41" s="7"/>
      <c r="V41" s="7"/>
      <c r="W41" s="7"/>
      <c r="X41" s="7"/>
      <c r="Y41" s="7"/>
      <c r="AA41" s="7"/>
    </row>
    <row r="42" spans="2:31" s="334" customFormat="1">
      <c r="B42" s="588" t="s">
        <v>251</v>
      </c>
      <c r="P42" s="558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31">
      <c r="B43" s="591" t="s">
        <v>252</v>
      </c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31">
      <c r="B44" s="591" t="s">
        <v>253</v>
      </c>
      <c r="R44" s="7"/>
      <c r="S44" s="7"/>
      <c r="T44" s="7"/>
      <c r="U44" s="7"/>
      <c r="V44" s="96"/>
      <c r="W44" s="7"/>
      <c r="X44" s="7"/>
      <c r="Y44" s="7"/>
      <c r="Z44" s="7"/>
      <c r="AA44" s="7"/>
    </row>
    <row r="45" spans="2:31">
      <c r="B45" s="591" t="s">
        <v>254</v>
      </c>
      <c r="R45" s="7"/>
      <c r="S45" s="7"/>
      <c r="T45" s="7"/>
      <c r="U45" s="7"/>
      <c r="V45" s="7"/>
      <c r="W45" s="7"/>
      <c r="X45" s="7"/>
      <c r="Y45" s="7"/>
      <c r="Z45" s="7"/>
      <c r="AA45" s="7"/>
    </row>
    <row r="48" spans="2:31">
      <c r="T48" s="612">
        <f>'FPLE_Valuation Summary'!T21</f>
        <v>569828.16599311633</v>
      </c>
      <c r="V48" s="612">
        <f>'FPLE_Valuation Summary'!V21</f>
        <v>74661.749530857545</v>
      </c>
      <c r="X48" s="612">
        <f>'FPLE_Valuation Summary'!X21</f>
        <v>306181.63196055713</v>
      </c>
      <c r="Z48" s="1128">
        <f>'FPLE_Valuation Summary'!Z21</f>
        <v>0.35005764294954023</v>
      </c>
    </row>
    <row r="50" spans="20:26">
      <c r="T50" s="1156">
        <f>T39-T48</f>
        <v>0</v>
      </c>
      <c r="V50" s="1156">
        <f>V39-V48</f>
        <v>0</v>
      </c>
      <c r="X50" s="1156">
        <f>X39-X48</f>
        <v>0</v>
      </c>
      <c r="Z50" s="1156">
        <f>Z39-Z48</f>
        <v>0</v>
      </c>
    </row>
  </sheetData>
  <mergeCells count="1">
    <mergeCell ref="J6:O6"/>
  </mergeCells>
  <pageMargins left="0.5" right="0.5" top="0.75" bottom="0.5" header="0.25" footer="0.25"/>
  <pageSetup scale="7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I266"/>
  <sheetViews>
    <sheetView zoomScale="75" zoomScaleNormal="75" workbookViewId="0"/>
  </sheetViews>
  <sheetFormatPr defaultRowHeight="12.75"/>
  <cols>
    <col min="1" max="1" width="1.7109375" style="271" customWidth="1"/>
    <col min="2" max="5" width="10.7109375" style="271" customWidth="1"/>
    <col min="6" max="16384" width="9.140625" style="271"/>
  </cols>
  <sheetData>
    <row r="1" spans="1:26">
      <c r="A1" s="271">
        <v>1</v>
      </c>
      <c r="B1" s="1157" t="s">
        <v>170</v>
      </c>
      <c r="C1" s="271" t="s">
        <v>171</v>
      </c>
    </row>
    <row r="3" spans="1:26" ht="18.75">
      <c r="B3" s="270" t="s">
        <v>276</v>
      </c>
      <c r="C3" s="557"/>
      <c r="D3" s="557"/>
      <c r="E3" s="557"/>
      <c r="F3" s="557"/>
    </row>
    <row r="4" spans="1:26">
      <c r="F4" s="291"/>
    </row>
    <row r="5" spans="1:26">
      <c r="B5" s="291" t="s">
        <v>5</v>
      </c>
    </row>
    <row r="6" spans="1:26" ht="13.5" thickBot="1">
      <c r="B6" s="299"/>
      <c r="C6" s="299"/>
      <c r="D6" s="299"/>
      <c r="E6" s="299"/>
      <c r="F6" s="1158">
        <v>2001</v>
      </c>
      <c r="G6" s="1158">
        <f>+F6+1</f>
        <v>2002</v>
      </c>
      <c r="H6" s="1158">
        <f t="shared" ref="H6:Y6" si="0">+G6+1</f>
        <v>2003</v>
      </c>
      <c r="I6" s="1158">
        <f t="shared" si="0"/>
        <v>2004</v>
      </c>
      <c r="J6" s="1158">
        <f t="shared" si="0"/>
        <v>2005</v>
      </c>
      <c r="K6" s="1158">
        <f t="shared" si="0"/>
        <v>2006</v>
      </c>
      <c r="L6" s="1158">
        <f t="shared" si="0"/>
        <v>2007</v>
      </c>
      <c r="M6" s="1158">
        <f t="shared" si="0"/>
        <v>2008</v>
      </c>
      <c r="N6" s="1158">
        <f t="shared" si="0"/>
        <v>2009</v>
      </c>
      <c r="O6" s="1158">
        <f t="shared" si="0"/>
        <v>2010</v>
      </c>
      <c r="P6" s="1158">
        <f t="shared" si="0"/>
        <v>2011</v>
      </c>
      <c r="Q6" s="1158">
        <f t="shared" si="0"/>
        <v>2012</v>
      </c>
      <c r="R6" s="1158">
        <f t="shared" si="0"/>
        <v>2013</v>
      </c>
      <c r="S6" s="1158">
        <f t="shared" si="0"/>
        <v>2014</v>
      </c>
      <c r="T6" s="1158">
        <f t="shared" si="0"/>
        <v>2015</v>
      </c>
      <c r="U6" s="1158">
        <f t="shared" si="0"/>
        <v>2016</v>
      </c>
      <c r="V6" s="1158">
        <f t="shared" si="0"/>
        <v>2017</v>
      </c>
      <c r="W6" s="1158">
        <f t="shared" si="0"/>
        <v>2018</v>
      </c>
      <c r="X6" s="1158">
        <f t="shared" si="0"/>
        <v>2019</v>
      </c>
      <c r="Y6" s="1158">
        <f t="shared" si="0"/>
        <v>2020</v>
      </c>
      <c r="Z6" s="914">
        <f>Y6+1</f>
        <v>2021</v>
      </c>
    </row>
    <row r="7" spans="1:26" ht="15.75">
      <c r="B7" s="737" t="s">
        <v>195</v>
      </c>
      <c r="C7" s="1159"/>
      <c r="D7" s="1160"/>
      <c r="E7" s="565"/>
    </row>
    <row r="8" spans="1:26">
      <c r="B8" s="1042"/>
      <c r="C8" s="1042"/>
      <c r="D8" s="1042"/>
      <c r="E8" s="1042"/>
    </row>
    <row r="9" spans="1:26">
      <c r="B9" s="571" t="s">
        <v>141</v>
      </c>
    </row>
    <row r="10" spans="1:26">
      <c r="B10" s="334"/>
      <c r="C10" s="334" t="s">
        <v>142</v>
      </c>
      <c r="D10" s="334"/>
      <c r="E10" s="334"/>
      <c r="F10" s="295">
        <f>'Cerro Gordo'!F39/$A$1</f>
        <v>3951.4790000000003</v>
      </c>
      <c r="G10" s="295">
        <f>'Cerro Gordo'!G39/$A$1</f>
        <v>3840.9179999999997</v>
      </c>
      <c r="H10" s="295">
        <f>'Cerro Gordo'!H39/$A$1</f>
        <v>3854.4160000000002</v>
      </c>
      <c r="I10" s="295">
        <f>'Cerro Gordo'!I39/$A$1</f>
        <v>3879.16</v>
      </c>
      <c r="J10" s="295">
        <f>'Cerro Gordo'!J39/$A$1</f>
        <v>3788.1924045520791</v>
      </c>
      <c r="K10" s="295">
        <f>'Cerro Gordo'!K39/$A$1</f>
        <v>3802.5212467926272</v>
      </c>
      <c r="L10" s="295">
        <f>'Cerro Gordo'!L39/$A$1</f>
        <v>3818.1175678354139</v>
      </c>
      <c r="M10" s="295">
        <f>'Cerro Gordo'!M39/$A$1</f>
        <v>3833.7213309979297</v>
      </c>
      <c r="N10" s="295">
        <f>'Cerro Gordo'!N39/$A$1</f>
        <v>3849.0359092847621</v>
      </c>
      <c r="O10" s="295">
        <f>'Cerro Gordo'!O39/$A$1</f>
        <v>3866.9442656274396</v>
      </c>
      <c r="P10" s="295">
        <f>'Cerro Gordo'!P39/$A$1</f>
        <v>3886.2822654984043</v>
      </c>
      <c r="Q10" s="295">
        <f>'Cerro Gordo'!Q39/$A$1</f>
        <v>3906.3673960269812</v>
      </c>
      <c r="R10" s="295">
        <f>'Cerro Gordo'!R39/$A$1</f>
        <v>3927.191474436363</v>
      </c>
      <c r="S10" s="295">
        <f>'Cerro Gordo'!S39/$A$1</f>
        <v>3949.2279332516873</v>
      </c>
      <c r="T10" s="295">
        <f>'Cerro Gordo'!T39/$A$1</f>
        <v>3971.6974127799995</v>
      </c>
      <c r="U10" s="295">
        <f>'Cerro Gordo'!U39/$A$1</f>
        <v>3993.5313156866359</v>
      </c>
      <c r="V10" s="295">
        <f>'Cerro Gordo'!V39/$A$1</f>
        <v>4015.5879867942854</v>
      </c>
      <c r="W10" s="295">
        <f>'Cerro Gordo'!W39/$A$1</f>
        <v>2908.3758037436392</v>
      </c>
      <c r="X10" s="295">
        <f>'Cerro Gordo'!X39/$A$1</f>
        <v>1330.3810304805429</v>
      </c>
      <c r="Y10" s="295">
        <f>'Cerro Gordo'!Y39/$A$1</f>
        <v>1305.9330910995775</v>
      </c>
      <c r="Z10" s="295">
        <f>'Cerro Gordo'!Z39/$A$1</f>
        <v>0</v>
      </c>
    </row>
    <row r="11" spans="1:26">
      <c r="B11" s="334"/>
      <c r="C11" s="334" t="s">
        <v>143</v>
      </c>
      <c r="D11" s="334"/>
      <c r="E11" s="334"/>
      <c r="F11" s="295">
        <f>'Southwest Mesa'!F39/$A$1</f>
        <v>5489.6500907361888</v>
      </c>
      <c r="G11" s="295">
        <f>'Southwest Mesa'!G39/$A$1</f>
        <v>5399.6295399530018</v>
      </c>
      <c r="H11" s="295">
        <f>'Southwest Mesa'!H39/$A$1</f>
        <v>5442.1220329568314</v>
      </c>
      <c r="I11" s="295">
        <f>'Southwest Mesa'!I39/$A$1</f>
        <v>5172.4488845753858</v>
      </c>
      <c r="J11" s="295">
        <f>'Southwest Mesa'!J39/$A$1</f>
        <v>5220.8909917698911</v>
      </c>
      <c r="K11" s="295">
        <f>'Southwest Mesa'!K39/$A$1</f>
        <v>5292.1687458382521</v>
      </c>
      <c r="L11" s="295">
        <f>'Southwest Mesa'!L39/$A$1</f>
        <v>5365.5909773140138</v>
      </c>
      <c r="M11" s="295">
        <f>'Southwest Mesa'!M39/$A$1</f>
        <v>5443.3802855252234</v>
      </c>
      <c r="N11" s="295">
        <f>'Southwest Mesa'!N39/$A$1</f>
        <v>5406.7639051893057</v>
      </c>
      <c r="O11" s="295">
        <f>'Southwest Mesa'!O39/$A$1</f>
        <v>5467.3130990443469</v>
      </c>
      <c r="P11" s="295">
        <f>'Southwest Mesa'!P39/$A$1</f>
        <v>5479.4803704700798</v>
      </c>
      <c r="Q11" s="295">
        <f>'Southwest Mesa'!Q39/$A$1</f>
        <v>5453.729459931099</v>
      </c>
      <c r="R11" s="295">
        <f>'Southwest Mesa'!R39/$A$1</f>
        <v>5426.4000271622172</v>
      </c>
      <c r="S11" s="295">
        <f>'Southwest Mesa'!S39/$A$1</f>
        <v>5448.0071788487276</v>
      </c>
      <c r="T11" s="295">
        <f>'Southwest Mesa'!T39/$A$1</f>
        <v>5418.7432411423833</v>
      </c>
      <c r="U11" s="295">
        <f>'Southwest Mesa'!U39/$A$1</f>
        <v>5388.6978455951185</v>
      </c>
      <c r="V11" s="295">
        <f>'Southwest Mesa'!V39/$A$1</f>
        <v>5357.8579241347988</v>
      </c>
      <c r="W11" s="295">
        <f>'Southwest Mesa'!W39/$A$1</f>
        <v>5326.2101473278472</v>
      </c>
      <c r="X11" s="295">
        <f>'Southwest Mesa'!X39/$A$1</f>
        <v>2496.9596410466374</v>
      </c>
      <c r="Y11" s="295">
        <f>'Southwest Mesa'!Y39/$A$1</f>
        <v>0</v>
      </c>
      <c r="Z11" s="295">
        <f>'Southwest Mesa'!Z39/$A$1</f>
        <v>0</v>
      </c>
    </row>
    <row r="12" spans="1:26">
      <c r="B12" s="334"/>
      <c r="C12" s="334" t="s">
        <v>144</v>
      </c>
      <c r="D12" s="334"/>
      <c r="E12" s="334"/>
      <c r="F12" s="298">
        <f>Vansycle!F39/$A$1</f>
        <v>2512.1725854696392</v>
      </c>
      <c r="G12" s="298">
        <f>Vansycle!G39/$A$1</f>
        <v>2401.0407350514829</v>
      </c>
      <c r="H12" s="298">
        <f>Vansycle!H39/$A$1</f>
        <v>2521.2891798268301</v>
      </c>
      <c r="I12" s="298">
        <f>Vansycle!I39/$A$1</f>
        <v>2643.9815470096846</v>
      </c>
      <c r="J12" s="298">
        <f>Vansycle!J39/$A$1</f>
        <v>2768.8890526756632</v>
      </c>
      <c r="K12" s="298">
        <f>Vansycle!K39/$A$1</f>
        <v>2896.2123124335744</v>
      </c>
      <c r="L12" s="298">
        <f>Vansycle!L39/$A$1</f>
        <v>3022.9593110114597</v>
      </c>
      <c r="M12" s="298">
        <f>Vansycle!M39/$A$1</f>
        <v>3078.8883976717302</v>
      </c>
      <c r="N12" s="298">
        <f>Vansycle!N39/$A$1</f>
        <v>3176.7544504961998</v>
      </c>
      <c r="O12" s="298">
        <f>Vansycle!O39/$A$1</f>
        <v>3277.2597368062861</v>
      </c>
      <c r="P12" s="298">
        <f>Vansycle!P39/$A$1</f>
        <v>3384.3886780078856</v>
      </c>
      <c r="Q12" s="298">
        <f>Vansycle!Q39/$A$1</f>
        <v>3494.4421624765314</v>
      </c>
      <c r="R12" s="298">
        <f>Vansycle!R39/$A$1</f>
        <v>3560.3665825227845</v>
      </c>
      <c r="S12" s="298">
        <f>Vansycle!S39/$A$1</f>
        <v>3675.1696241991467</v>
      </c>
      <c r="T12" s="298">
        <f>Vansycle!T39/$A$1</f>
        <v>3793.1831795514117</v>
      </c>
      <c r="U12" s="298">
        <f>Vansycle!U39/$A$1</f>
        <v>3914.4970707528519</v>
      </c>
      <c r="V12" s="298">
        <f>Vansycle!V39/$A$1</f>
        <v>4039.2036296398355</v>
      </c>
      <c r="W12" s="298">
        <f>Vansycle!W39/$A$1</f>
        <v>4167.3977801327628</v>
      </c>
      <c r="X12" s="298">
        <f>Vansycle!X39/$A$1</f>
        <v>4299.1770985768717</v>
      </c>
      <c r="Y12" s="298">
        <f>Vansycle!Y39/$A$1</f>
        <v>4434.6418920692486</v>
      </c>
      <c r="Z12" s="298">
        <f>Vansycle!Z39/$A$1</f>
        <v>0</v>
      </c>
    </row>
    <row r="13" spans="1:26">
      <c r="B13" s="334"/>
      <c r="C13" s="334"/>
      <c r="D13" s="334"/>
      <c r="E13" s="334"/>
      <c r="F13" s="295">
        <f t="shared" ref="F13:Z13" si="1">SUM(F10:F12)</f>
        <v>11953.301676205829</v>
      </c>
      <c r="G13" s="295">
        <f t="shared" si="1"/>
        <v>11641.588275004484</v>
      </c>
      <c r="H13" s="295">
        <f t="shared" si="1"/>
        <v>11817.827212783663</v>
      </c>
      <c r="I13" s="295">
        <f t="shared" si="1"/>
        <v>11695.590431585071</v>
      </c>
      <c r="J13" s="295">
        <f t="shared" si="1"/>
        <v>11777.972448997632</v>
      </c>
      <c r="K13" s="295">
        <f t="shared" si="1"/>
        <v>11990.902305064454</v>
      </c>
      <c r="L13" s="295">
        <f t="shared" si="1"/>
        <v>12206.667856160888</v>
      </c>
      <c r="M13" s="295">
        <f t="shared" si="1"/>
        <v>12355.990014194882</v>
      </c>
      <c r="N13" s="295">
        <f t="shared" si="1"/>
        <v>12432.554264970266</v>
      </c>
      <c r="O13" s="295">
        <f t="shared" si="1"/>
        <v>12611.517101478072</v>
      </c>
      <c r="P13" s="295">
        <f t="shared" si="1"/>
        <v>12750.15131397637</v>
      </c>
      <c r="Q13" s="295">
        <f t="shared" si="1"/>
        <v>12854.539018434611</v>
      </c>
      <c r="R13" s="295">
        <f t="shared" si="1"/>
        <v>12913.958084121365</v>
      </c>
      <c r="S13" s="295">
        <f t="shared" si="1"/>
        <v>13072.404736299561</v>
      </c>
      <c r="T13" s="295">
        <f t="shared" si="1"/>
        <v>13183.623833473794</v>
      </c>
      <c r="U13" s="295">
        <f t="shared" si="1"/>
        <v>13296.726232034605</v>
      </c>
      <c r="V13" s="295">
        <f t="shared" si="1"/>
        <v>13412.64954056892</v>
      </c>
      <c r="W13" s="295">
        <f t="shared" si="1"/>
        <v>12401.983731204251</v>
      </c>
      <c r="X13" s="295">
        <f t="shared" si="1"/>
        <v>8126.517770104052</v>
      </c>
      <c r="Y13" s="295">
        <f t="shared" si="1"/>
        <v>5740.5749831688263</v>
      </c>
      <c r="Z13" s="295">
        <f t="shared" si="1"/>
        <v>0</v>
      </c>
    </row>
    <row r="14" spans="1:26">
      <c r="B14" s="334"/>
      <c r="C14" s="334"/>
      <c r="D14" s="334"/>
      <c r="E14" s="334"/>
    </row>
    <row r="15" spans="1:26">
      <c r="B15" s="334"/>
      <c r="C15" s="334"/>
      <c r="D15" s="334"/>
      <c r="E15" s="334"/>
    </row>
    <row r="16" spans="1:26">
      <c r="B16" s="582" t="s">
        <v>145</v>
      </c>
      <c r="C16" s="334"/>
      <c r="D16" s="334"/>
      <c r="E16" s="334"/>
    </row>
    <row r="17" spans="2:26">
      <c r="B17" s="334"/>
      <c r="C17" s="334" t="s">
        <v>146</v>
      </c>
      <c r="D17" s="334"/>
      <c r="E17" s="334"/>
      <c r="F17" s="295">
        <f>Cameron!F39/$A$1</f>
        <v>7348.5016384755609</v>
      </c>
      <c r="G17" s="295">
        <f>Cameron!G39/$A$1</f>
        <v>7179.8853075127881</v>
      </c>
      <c r="H17" s="295">
        <f>Cameron!H39/$A$1</f>
        <v>7385.4882558840527</v>
      </c>
      <c r="I17" s="295">
        <f>Cameron!I39/$A$1</f>
        <v>7571.7854105897359</v>
      </c>
      <c r="J17" s="295">
        <f>Cameron!J39/$A$1</f>
        <v>7785.5682259944688</v>
      </c>
      <c r="K17" s="295">
        <f>Cameron!K39/$A$1</f>
        <v>7899.8386610522193</v>
      </c>
      <c r="L17" s="295">
        <f>Cameron!L39/$A$1</f>
        <v>7976.9491759371494</v>
      </c>
      <c r="M17" s="295">
        <f>Cameron!M39/$A$1</f>
        <v>8004.6034993006979</v>
      </c>
      <c r="N17" s="295">
        <f>Cameron!N39/$A$1</f>
        <v>8009.998106887113</v>
      </c>
      <c r="O17" s="295">
        <f>Cameron!O39/$A$1</f>
        <v>7993.5412289352007</v>
      </c>
      <c r="P17" s="295">
        <f>Cameron!P39/$A$1</f>
        <v>8027.396709798446</v>
      </c>
      <c r="Q17" s="295">
        <f>Cameron!Q39/$A$1</f>
        <v>8203.2526543896074</v>
      </c>
      <c r="R17" s="295">
        <f>Cameron!R39/$A$1</f>
        <v>8281.7052761536379</v>
      </c>
      <c r="S17" s="295">
        <f>Cameron!S39/$A$1</f>
        <v>8474.6202996641368</v>
      </c>
      <c r="T17" s="295">
        <f>Cameron!T39/$A$1</f>
        <v>7961.5415438668097</v>
      </c>
      <c r="U17" s="295">
        <f>Cameron!U39/$A$1</f>
        <v>4965.4204229820189</v>
      </c>
      <c r="V17" s="295">
        <f>Cameron!V39/$A$1</f>
        <v>4965.815811909446</v>
      </c>
      <c r="W17" s="295">
        <f>Cameron!W39/$A$1</f>
        <v>5030.2273833742602</v>
      </c>
      <c r="X17" s="295">
        <f>Cameron!X39/$A$1</f>
        <v>5142.5390455834968</v>
      </c>
      <c r="Y17" s="295">
        <f>Cameron!Y39/$A$1</f>
        <v>5296.6114435448744</v>
      </c>
      <c r="Z17" s="295">
        <f>Cameron!Z39/$A$1</f>
        <v>0</v>
      </c>
    </row>
    <row r="18" spans="2:26">
      <c r="B18" s="334"/>
      <c r="C18" s="334" t="s">
        <v>162</v>
      </c>
      <c r="D18" s="588"/>
      <c r="E18" s="334"/>
      <c r="F18" s="295">
        <f>'Pacific Crest'!F39/$A$1</f>
        <v>6108.364960067327</v>
      </c>
      <c r="G18" s="295">
        <f>'Pacific Crest'!G39/$A$1</f>
        <v>6054.3684614548702</v>
      </c>
      <c r="H18" s="295">
        <f>'Pacific Crest'!H39/$A$1</f>
        <v>6067.3171526613396</v>
      </c>
      <c r="I18" s="295">
        <f>'Pacific Crest'!I39/$A$1</f>
        <v>6071.2583245503401</v>
      </c>
      <c r="J18" s="295">
        <f>'Pacific Crest'!J39/$A$1</f>
        <v>6770.0687096951624</v>
      </c>
      <c r="K18" s="295">
        <f>'Pacific Crest'!K39/$A$1</f>
        <v>6977.7998531619687</v>
      </c>
      <c r="L18" s="295">
        <f>'Pacific Crest'!L39/$A$1</f>
        <v>7169.8186449039104</v>
      </c>
      <c r="M18" s="295">
        <f>'Pacific Crest'!M39/$A$1</f>
        <v>7356.2992511771954</v>
      </c>
      <c r="N18" s="295">
        <f>'Pacific Crest'!N39/$A$1</f>
        <v>7542.3242018605915</v>
      </c>
      <c r="O18" s="295">
        <f>'Pacific Crest'!O39/$A$1</f>
        <v>7727.8843869552056</v>
      </c>
      <c r="P18" s="295">
        <f>'Pacific Crest'!P39/$A$1</f>
        <v>7867.124123154058</v>
      </c>
      <c r="Q18" s="295">
        <f>'Pacific Crest'!Q39/$A$1</f>
        <v>8005.8803237068933</v>
      </c>
      <c r="R18" s="295">
        <f>'Pacific Crest'!R39/$A$1</f>
        <v>8144.1433211993772</v>
      </c>
      <c r="S18" s="295">
        <f>'Pacific Crest'!S39/$A$1</f>
        <v>8281.9032549331987</v>
      </c>
      <c r="T18" s="295">
        <f>'Pacific Crest'!T39/$A$1</f>
        <v>6278.9860542020879</v>
      </c>
      <c r="U18" s="295">
        <f>'Pacific Crest'!U39/$A$1</f>
        <v>6719.9513873688538</v>
      </c>
      <c r="V18" s="295">
        <f>'Pacific Crest'!V39/$A$1</f>
        <v>7345.1554886327649</v>
      </c>
      <c r="W18" s="295">
        <f>'Pacific Crest'!W39/$A$1</f>
        <v>7598.8227286140709</v>
      </c>
      <c r="X18" s="295">
        <f>'Pacific Crest'!X39/$A$1</f>
        <v>4116.2601966437032</v>
      </c>
      <c r="Y18" s="295">
        <f>'Pacific Crest'!Y39/$A$1</f>
        <v>0</v>
      </c>
      <c r="Z18" s="295">
        <f>'Pacific Crest'!Z39/$A$1</f>
        <v>0</v>
      </c>
    </row>
    <row r="19" spans="2:26">
      <c r="B19" s="334"/>
      <c r="C19" s="334" t="s">
        <v>163</v>
      </c>
      <c r="D19" s="334"/>
      <c r="E19" s="334"/>
      <c r="F19" s="295">
        <f>'Sky River'!F39/$A$1</f>
        <v>19724</v>
      </c>
      <c r="G19" s="295">
        <f>'Sky River'!G39/$A$1</f>
        <v>7290</v>
      </c>
      <c r="H19" s="295">
        <f>'Sky River'!H39/$A$1</f>
        <v>7359</v>
      </c>
      <c r="I19" s="295">
        <f>'Sky River'!I39/$A$1</f>
        <v>7551</v>
      </c>
      <c r="J19" s="295">
        <f>'Sky River'!J39/$A$1</f>
        <v>9684.0071087522156</v>
      </c>
      <c r="K19" s="295">
        <f>'Sky River'!K39/$A$1</f>
        <v>10145.003503258471</v>
      </c>
      <c r="L19" s="295">
        <f>'Sky River'!L39/$A$1</f>
        <v>10336.835218293594</v>
      </c>
      <c r="M19" s="295">
        <f>'Sky River'!M39/$A$1</f>
        <v>10480.306893836248</v>
      </c>
      <c r="N19" s="295">
        <f>'Sky River'!N39/$A$1</f>
        <v>10627.652304618561</v>
      </c>
      <c r="O19" s="295">
        <f>'Sky River'!O39/$A$1</f>
        <v>10778.976041491995</v>
      </c>
      <c r="P19" s="295">
        <f>'Sky River'!P39/$A$1</f>
        <v>10940.14142584505</v>
      </c>
      <c r="Q19" s="295">
        <f>'Sky River'!Q39/$A$1</f>
        <v>11105.819440959986</v>
      </c>
      <c r="R19" s="295">
        <f>'Sky River'!R39/$A$1</f>
        <v>11276.136440498145</v>
      </c>
      <c r="S19" s="295">
        <f>'Sky River'!S39/$A$1</f>
        <v>11451.22231602337</v>
      </c>
      <c r="T19" s="295">
        <f>'Sky River'!T39/$A$1</f>
        <v>11629.614888280918</v>
      </c>
      <c r="U19" s="295">
        <f>'Sky River'!U39/$A$1</f>
        <v>11811.794547855308</v>
      </c>
      <c r="V19" s="295">
        <f>'Sky River'!V39/$A$1</f>
        <v>11999.075237897781</v>
      </c>
      <c r="W19" s="295">
        <f>'Sky River'!W39/$A$1</f>
        <v>12191.599787261444</v>
      </c>
      <c r="X19" s="295">
        <f>'Sky River'!X39/$A$1</f>
        <v>12389.515024007287</v>
      </c>
      <c r="Y19" s="295">
        <f>'Sky River'!Y39/$A$1</f>
        <v>12592.971887382017</v>
      </c>
      <c r="Z19" s="295">
        <f>'Sky River'!Z39/$A$1</f>
        <v>0</v>
      </c>
    </row>
    <row r="20" spans="2:26">
      <c r="B20" s="334"/>
      <c r="C20" s="334" t="s">
        <v>149</v>
      </c>
      <c r="D20" s="334"/>
      <c r="E20" s="334"/>
      <c r="F20" s="295">
        <f>Ridgetop!F39/$A$1</f>
        <v>2170.3039195983179</v>
      </c>
      <c r="G20" s="295">
        <f>Ridgetop!G39/$A$1</f>
        <v>2163.9803092494813</v>
      </c>
      <c r="H20" s="295">
        <f>Ridgetop!H39/$A$1</f>
        <v>2133.3573459280365</v>
      </c>
      <c r="I20" s="295">
        <f>Ridgetop!I39/$A$1</f>
        <v>2098.8456862600333</v>
      </c>
      <c r="J20" s="295">
        <f>Ridgetop!J39/$A$1</f>
        <v>2328.689224439609</v>
      </c>
      <c r="K20" s="295">
        <f>Ridgetop!K39/$A$1</f>
        <v>2383.4195286448039</v>
      </c>
      <c r="L20" s="295">
        <f>Ridgetop!L39/$A$1</f>
        <v>2437.6027526094849</v>
      </c>
      <c r="M20" s="295">
        <f>Ridgetop!M39/$A$1</f>
        <v>2491.2279728273957</v>
      </c>
      <c r="N20" s="295">
        <f>Ridgetop!N39/$A$1</f>
        <v>2544.2840476750844</v>
      </c>
      <c r="O20" s="295">
        <f>Ridgetop!O39/$A$1</f>
        <v>2596.7596130564252</v>
      </c>
      <c r="P20" s="295">
        <f>Ridgetop!P39/$A$1</f>
        <v>2630.6501853453055</v>
      </c>
      <c r="Q20" s="295">
        <f>Ridgetop!Q39/$A$1</f>
        <v>2663.9368346991373</v>
      </c>
      <c r="R20" s="295">
        <f>Ridgetop!R39/$A$1</f>
        <v>2696.6075025925629</v>
      </c>
      <c r="S20" s="295">
        <f>Ridgetop!S39/$A$1</f>
        <v>2728.6498897184151</v>
      </c>
      <c r="T20" s="295">
        <f>Ridgetop!T39/$A$1</f>
        <v>1950.9555255727464</v>
      </c>
      <c r="U20" s="295">
        <f>Ridgetop!U39/$A$1</f>
        <v>2064.1592658360923</v>
      </c>
      <c r="V20" s="295">
        <f>Ridgetop!V39/$A$1</f>
        <v>2231.7972757641246</v>
      </c>
      <c r="W20" s="295">
        <f>Ridgetop!W39/$A$1</f>
        <v>1806.5637301421475</v>
      </c>
      <c r="X20" s="295">
        <f>Ridgetop!X39/$A$1</f>
        <v>430.23042092311152</v>
      </c>
      <c r="Y20" s="295">
        <f>Ridgetop!Y39/$A$1</f>
        <v>0</v>
      </c>
      <c r="Z20" s="295">
        <f>Ridgetop!Z39/$A$1</f>
        <v>0</v>
      </c>
    </row>
    <row r="21" spans="2:26">
      <c r="B21" s="334"/>
      <c r="C21" s="334" t="s">
        <v>150</v>
      </c>
      <c r="D21" s="334"/>
      <c r="E21" s="334"/>
      <c r="F21" s="295">
        <f>'Green Ridge'!F39/$A$1</f>
        <v>3468.2443657421027</v>
      </c>
      <c r="G21" s="295">
        <f>'Green Ridge'!G39/$A$1</f>
        <v>2453.3336168511742</v>
      </c>
      <c r="H21" s="295">
        <f>'Green Ridge'!H39/$A$1</f>
        <v>2920.1831765981078</v>
      </c>
      <c r="I21" s="295">
        <f>'Green Ridge'!I39/$A$1</f>
        <v>3403.4869801054301</v>
      </c>
      <c r="J21" s="295">
        <f>'Green Ridge'!J39/$A$1</f>
        <v>3844.706134496535</v>
      </c>
      <c r="K21" s="295">
        <f>'Green Ridge'!K39/$A$1</f>
        <v>4270.6491840962717</v>
      </c>
      <c r="L21" s="295">
        <f>'Green Ridge'!L39/$A$1</f>
        <v>4688.0734781565934</v>
      </c>
      <c r="M21" s="295">
        <f>'Green Ridge'!M39/$A$1</f>
        <v>4784.0187673721848</v>
      </c>
      <c r="N21" s="295">
        <f>'Green Ridge'!N39/$A$1</f>
        <v>4833.1898812405743</v>
      </c>
      <c r="O21" s="295">
        <f>'Green Ridge'!O39/$A$1</f>
        <v>5034.7546256074911</v>
      </c>
      <c r="P21" s="295">
        <f>'Green Ridge'!P39/$A$1</f>
        <v>5230.5326319562755</v>
      </c>
      <c r="Q21" s="295">
        <f>'Green Ridge'!Q39/$A$1</f>
        <v>5420.3850617168719</v>
      </c>
      <c r="R21" s="295">
        <f>'Green Ridge'!R39/$A$1</f>
        <v>4916.3085574389352</v>
      </c>
      <c r="S21" s="295">
        <f>'Green Ridge'!S39/$A$1</f>
        <v>0</v>
      </c>
      <c r="T21" s="295">
        <f>'Green Ridge'!T39/$A$1</f>
        <v>0</v>
      </c>
      <c r="U21" s="295">
        <f>'Green Ridge'!U39/$A$1</f>
        <v>0</v>
      </c>
      <c r="V21" s="295">
        <f>'Green Ridge'!V39/$A$1</f>
        <v>0</v>
      </c>
      <c r="W21" s="295">
        <f>'Green Ridge'!W39/$A$1</f>
        <v>0</v>
      </c>
      <c r="X21" s="295">
        <f>'Green Ridge'!X39/$A$1</f>
        <v>0</v>
      </c>
      <c r="Y21" s="295">
        <f>'Green Ridge'!Y39/$A$1</f>
        <v>0</v>
      </c>
      <c r="Z21" s="295">
        <f>'Green Ridge'!Z39/$A$1</f>
        <v>0</v>
      </c>
    </row>
    <row r="22" spans="2:26">
      <c r="B22" s="334"/>
      <c r="C22" s="334" t="s">
        <v>164</v>
      </c>
      <c r="D22" s="334"/>
      <c r="E22" s="334"/>
      <c r="F22" s="295">
        <f>'Mojave 16-18'!F39/$A$1</f>
        <v>1015.6658356277982</v>
      </c>
      <c r="G22" s="295">
        <f>'Mojave 16-18'!G39/$A$1</f>
        <v>967.54888155007598</v>
      </c>
      <c r="H22" s="295">
        <f>'Mojave 16-18'!H39/$A$1</f>
        <v>1017.2546353833422</v>
      </c>
      <c r="I22" s="295">
        <f>'Mojave 16-18'!I39/$A$1</f>
        <v>1063.1366617171579</v>
      </c>
      <c r="J22" s="295">
        <f>'Mojave 16-18'!J39/$A$1</f>
        <v>1093.037670139536</v>
      </c>
      <c r="K22" s="295">
        <f>'Mojave 16-18'!K39/$A$1</f>
        <v>1103.3573156008129</v>
      </c>
      <c r="L22" s="295">
        <f>'Mojave 16-18'!L39/$A$1</f>
        <v>1131.9905097861579</v>
      </c>
      <c r="M22" s="295">
        <f>'Mojave 16-18'!M39/$A$1</f>
        <v>1159.4587104503021</v>
      </c>
      <c r="N22" s="295">
        <f>'Mojave 16-18'!N39/$A$1</f>
        <v>1051.7275587870797</v>
      </c>
      <c r="O22" s="295">
        <f>'Mojave 16-18'!O39/$A$1</f>
        <v>1062.159044995542</v>
      </c>
      <c r="P22" s="295">
        <f>'Mojave 16-18'!P39/$A$1</f>
        <v>1100.9780705033338</v>
      </c>
      <c r="Q22" s="295">
        <f>'Mojave 16-18'!Q39/$A$1</f>
        <v>1139.3711043178405</v>
      </c>
      <c r="R22" s="295">
        <f>'Mojave 16-18'!R39/$A$1</f>
        <v>1177.5034854995704</v>
      </c>
      <c r="S22" s="295">
        <f>'Mojave 16-18'!S39/$A$1</f>
        <v>1192.7981876824881</v>
      </c>
      <c r="T22" s="295">
        <f>'Mojave 16-18'!T39/$A$1</f>
        <v>1211.2678703500005</v>
      </c>
      <c r="U22" s="295">
        <f>'Mojave 16-18'!U39/$A$1</f>
        <v>1225.6985669080896</v>
      </c>
      <c r="V22" s="295">
        <f>'Mojave 16-18'!V39/$A$1</f>
        <v>1238.9686069606767</v>
      </c>
      <c r="W22" s="295">
        <f>'Mojave 16-18'!W39/$A$1</f>
        <v>1278.9785889227646</v>
      </c>
      <c r="X22" s="295">
        <f>'Mojave 16-18'!X39/$A$1</f>
        <v>370.37215973544232</v>
      </c>
      <c r="Y22" s="295">
        <f>'Mojave 16-18'!Y39/$A$1</f>
        <v>0</v>
      </c>
      <c r="Z22" s="295">
        <f>'Mojave 16-18'!Z39/$A$1</f>
        <v>0</v>
      </c>
    </row>
    <row r="23" spans="2:26">
      <c r="B23" s="334"/>
      <c r="C23" s="334" t="s">
        <v>152</v>
      </c>
      <c r="D23" s="334"/>
      <c r="E23" s="334"/>
      <c r="F23" s="295">
        <f>Morwind!F39/$A$1</f>
        <v>1926.6139616173173</v>
      </c>
      <c r="G23" s="295">
        <f>Morwind!G39/$A$1</f>
        <v>1617.0415206852572</v>
      </c>
      <c r="H23" s="295">
        <f>Morwind!H39/$A$1</f>
        <v>1955.2879946885087</v>
      </c>
      <c r="I23" s="295">
        <f>Morwind!I39/$A$1</f>
        <v>1945.6150149365803</v>
      </c>
      <c r="J23" s="295">
        <f>Morwind!J39/$A$1</f>
        <v>2051.6955928502862</v>
      </c>
      <c r="K23" s="295">
        <f>Morwind!K39/$A$1</f>
        <v>2136.8457629618297</v>
      </c>
      <c r="L23" s="295">
        <f>Morwind!L39/$A$1</f>
        <v>2217.0588259629867</v>
      </c>
      <c r="M23" s="295">
        <f>Morwind!M39/$A$1</f>
        <v>2294.6093222245863</v>
      </c>
      <c r="N23" s="295">
        <f>Morwind!N39/$A$1</f>
        <v>2371.9654871587099</v>
      </c>
      <c r="O23" s="295">
        <f>Morwind!O39/$A$1</f>
        <v>2414.5539019695143</v>
      </c>
      <c r="P23" s="295">
        <f>Morwind!P39/$A$1</f>
        <v>1542.1310082517221</v>
      </c>
      <c r="Q23" s="295">
        <f>Morwind!Q39/$A$1</f>
        <v>1553.7991473174038</v>
      </c>
      <c r="R23" s="295">
        <f>Morwind!R39/$A$1</f>
        <v>1568.0182889342216</v>
      </c>
      <c r="S23" s="295">
        <f>Morwind!S39/$A$1</f>
        <v>1574.0233799225846</v>
      </c>
      <c r="T23" s="295">
        <f>Morwind!T39/$A$1</f>
        <v>1675.3834363780995</v>
      </c>
      <c r="U23" s="295">
        <f>Morwind!U39/$A$1</f>
        <v>1971.9738196119349</v>
      </c>
      <c r="V23" s="295">
        <f>Morwind!V39/$A$1</f>
        <v>0</v>
      </c>
      <c r="W23" s="295">
        <f>Morwind!W39/$A$1</f>
        <v>0</v>
      </c>
      <c r="X23" s="295">
        <f>Morwind!X39/$A$1</f>
        <v>0</v>
      </c>
      <c r="Y23" s="295">
        <f>Morwind!Y39/$A$1</f>
        <v>0</v>
      </c>
      <c r="Z23" s="295">
        <f>Morwind!Z39/$A$1</f>
        <v>0</v>
      </c>
    </row>
    <row r="24" spans="2:26" ht="15">
      <c r="B24" s="334"/>
      <c r="C24" s="334" t="s">
        <v>153</v>
      </c>
      <c r="D24" s="334"/>
      <c r="E24" s="334"/>
      <c r="F24" s="1161">
        <f>VG!F39/$A$1</f>
        <v>2218.3307193355276</v>
      </c>
      <c r="G24" s="1161">
        <f>VG!G39/$A$1</f>
        <v>2235.5502601441094</v>
      </c>
      <c r="H24" s="1161">
        <f>VG!H39/$A$1</f>
        <v>2253.0170985989948</v>
      </c>
      <c r="I24" s="1161">
        <f>VG!I39/$A$1</f>
        <v>2270.7342387439426</v>
      </c>
      <c r="J24" s="1161">
        <f>VG!J39/$A$1</f>
        <v>2288.704705864508</v>
      </c>
      <c r="K24" s="1161">
        <f>VG!K39/$A$1</f>
        <v>2282.0803541755827</v>
      </c>
      <c r="L24" s="1161">
        <f>VG!L39/$A$1</f>
        <v>2274.7213946499401</v>
      </c>
      <c r="M24" s="1161">
        <f>VG!M39/$A$1</f>
        <v>2266.6010926653375</v>
      </c>
      <c r="N24" s="1161">
        <f>VG!N39/$A$1</f>
        <v>2257.691938056817</v>
      </c>
      <c r="O24" s="1161">
        <f>VG!O39/$A$1</f>
        <v>2280.5587232049147</v>
      </c>
      <c r="P24" s="1161">
        <f>VG!P39/$A$1</f>
        <v>2303.8829508932472</v>
      </c>
      <c r="Q24" s="1161">
        <f>VG!Q39/$A$1</f>
        <v>2327.6737720559477</v>
      </c>
      <c r="R24" s="1161">
        <f>VG!R39/$A$1</f>
        <v>2351.9405206864517</v>
      </c>
      <c r="S24" s="1161">
        <f>VG!S39/$A$1</f>
        <v>2336.6269878145249</v>
      </c>
      <c r="T24" s="1161">
        <f>VG!T39/$A$1</f>
        <v>0</v>
      </c>
      <c r="U24" s="1161">
        <f>VG!U39/$A$1</f>
        <v>0</v>
      </c>
      <c r="V24" s="1161">
        <f>VG!V39/$A$1</f>
        <v>0</v>
      </c>
      <c r="W24" s="1161">
        <f>VG!W39/$A$1</f>
        <v>0</v>
      </c>
      <c r="X24" s="1161">
        <f>VG!X39/$A$1</f>
        <v>0</v>
      </c>
      <c r="Y24" s="1161">
        <f>VG!Y39/$A$1</f>
        <v>0</v>
      </c>
      <c r="Z24" s="1161">
        <f>VG!Z39/$A$1</f>
        <v>0</v>
      </c>
    </row>
    <row r="25" spans="2:26">
      <c r="B25" s="334"/>
      <c r="C25" s="334"/>
      <c r="D25" s="334"/>
      <c r="E25" s="334"/>
      <c r="F25" s="295">
        <f t="shared" ref="F25:Z25" si="2">SUM(F17:F24)</f>
        <v>43980.02540046395</v>
      </c>
      <c r="G25" s="295">
        <f t="shared" si="2"/>
        <v>29961.708357447751</v>
      </c>
      <c r="H25" s="295">
        <f t="shared" si="2"/>
        <v>31090.905659742381</v>
      </c>
      <c r="I25" s="295">
        <f t="shared" si="2"/>
        <v>31975.862316903222</v>
      </c>
      <c r="J25" s="295">
        <f t="shared" si="2"/>
        <v>35846.477372232323</v>
      </c>
      <c r="K25" s="295">
        <f t="shared" si="2"/>
        <v>37198.99416295196</v>
      </c>
      <c r="L25" s="295">
        <f t="shared" si="2"/>
        <v>38233.050000299816</v>
      </c>
      <c r="M25" s="295">
        <f t="shared" si="2"/>
        <v>38837.125509853948</v>
      </c>
      <c r="N25" s="295">
        <f t="shared" si="2"/>
        <v>39238.833526284536</v>
      </c>
      <c r="O25" s="295">
        <f t="shared" si="2"/>
        <v>39889.187566216286</v>
      </c>
      <c r="P25" s="295">
        <f t="shared" si="2"/>
        <v>39642.837105747436</v>
      </c>
      <c r="Q25" s="295">
        <f t="shared" si="2"/>
        <v>40420.118339163681</v>
      </c>
      <c r="R25" s="295">
        <f t="shared" si="2"/>
        <v>40412.36339300291</v>
      </c>
      <c r="S25" s="295">
        <f t="shared" si="2"/>
        <v>36039.844315758717</v>
      </c>
      <c r="T25" s="295">
        <f t="shared" si="2"/>
        <v>30707.749318650662</v>
      </c>
      <c r="U25" s="295">
        <f t="shared" si="2"/>
        <v>28758.9980105623</v>
      </c>
      <c r="V25" s="295">
        <f t="shared" si="2"/>
        <v>27780.812421164796</v>
      </c>
      <c r="W25" s="295">
        <f t="shared" si="2"/>
        <v>27906.192218314685</v>
      </c>
      <c r="X25" s="295">
        <f t="shared" si="2"/>
        <v>22448.91684689304</v>
      </c>
      <c r="Y25" s="295">
        <f t="shared" si="2"/>
        <v>17889.583330926893</v>
      </c>
      <c r="Z25" s="295">
        <f t="shared" si="2"/>
        <v>0</v>
      </c>
    </row>
    <row r="26" spans="2:26">
      <c r="B26" s="334"/>
      <c r="C26" s="334"/>
      <c r="D26" s="334"/>
      <c r="E26" s="334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</row>
    <row r="27" spans="2:26">
      <c r="B27" s="334"/>
      <c r="C27" s="334"/>
      <c r="D27" s="334"/>
      <c r="E27" s="334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</row>
    <row r="28" spans="2:26">
      <c r="B28" s="582" t="s">
        <v>165</v>
      </c>
      <c r="C28" s="334"/>
      <c r="D28" s="334"/>
      <c r="E28" s="334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</row>
    <row r="29" spans="2:26">
      <c r="B29" s="334"/>
      <c r="C29" s="334" t="s">
        <v>154</v>
      </c>
      <c r="D29" s="334"/>
      <c r="E29" s="334"/>
      <c r="F29" s="295">
        <f>'WPP 92'!F$39</f>
        <v>1359.8908753932835</v>
      </c>
      <c r="G29" s="295">
        <f>'WPP 92'!G$39</f>
        <v>1133.0969187777596</v>
      </c>
      <c r="H29" s="295">
        <f>'WPP 92'!H$39</f>
        <v>1151.7251088147264</v>
      </c>
      <c r="I29" s="295">
        <f>'WPP 92'!I$39</f>
        <v>1157.5745363054691</v>
      </c>
      <c r="J29" s="295">
        <f>'WPP 92'!J$39</f>
        <v>1181.5235261750499</v>
      </c>
      <c r="K29" s="295">
        <f>'WPP 92'!K$39</f>
        <v>1197.9809268342337</v>
      </c>
      <c r="L29" s="295">
        <f>'WPP 92'!L$39</f>
        <v>1215.3300433193181</v>
      </c>
      <c r="M29" s="295">
        <f>'WPP 92'!M$39</f>
        <v>1249.8938172872527</v>
      </c>
      <c r="N29" s="295">
        <f>'WPP 92'!N$39</f>
        <v>1262.7786754603194</v>
      </c>
      <c r="O29" s="295">
        <f>'WPP 92'!O$39</f>
        <v>1276.8153191651472</v>
      </c>
      <c r="P29" s="295">
        <f>'WPP 92'!P$39</f>
        <v>1291.0871415916231</v>
      </c>
      <c r="Q29" s="295">
        <f>'WPP 92'!Q$39</f>
        <v>1333.378319847779</v>
      </c>
      <c r="R29" s="295">
        <f>'WPP 92'!R$39</f>
        <v>1328.2132389926096</v>
      </c>
      <c r="S29" s="295">
        <f>'WPP 92'!S$39</f>
        <v>1323.07693732704</v>
      </c>
      <c r="T29" s="295">
        <f>'WPP 92'!T$39</f>
        <v>1317.0301185501962</v>
      </c>
      <c r="U29" s="295">
        <f>'WPP 92'!U$39</f>
        <v>1310.929266189703</v>
      </c>
      <c r="V29" s="295">
        <f>'WPP 92'!V$39</f>
        <v>0</v>
      </c>
      <c r="W29" s="295">
        <f>'WPP 92'!W$39</f>
        <v>0</v>
      </c>
      <c r="X29" s="295">
        <f>'WPP 92'!X$39</f>
        <v>0</v>
      </c>
      <c r="Y29" s="295">
        <f>'WPP 92'!Y$39</f>
        <v>0</v>
      </c>
      <c r="Z29" s="295">
        <f>'WPP 92'!Z$39</f>
        <v>0</v>
      </c>
    </row>
    <row r="30" spans="2:26">
      <c r="B30" s="334"/>
      <c r="C30" s="334" t="s">
        <v>155</v>
      </c>
      <c r="D30" s="334"/>
      <c r="E30" s="334"/>
      <c r="F30" s="295">
        <f>'WPP 91-2'!F$39</f>
        <v>812.23462500165829</v>
      </c>
      <c r="G30" s="295">
        <f>'WPP 91-2'!G$39</f>
        <v>619.9295568627615</v>
      </c>
      <c r="H30" s="295">
        <f>'WPP 91-2'!H$39</f>
        <v>630.08918466569298</v>
      </c>
      <c r="I30" s="295">
        <f>'WPP 91-2'!I$39</f>
        <v>630.02462292940845</v>
      </c>
      <c r="J30" s="295">
        <f>'WPP 91-2'!J$39</f>
        <v>644.22560475743376</v>
      </c>
      <c r="K30" s="295">
        <f>'WPP 91-2'!K$39</f>
        <v>615.6293225192851</v>
      </c>
      <c r="L30" s="295">
        <f>'WPP 91-2'!L$39</f>
        <v>615.36227644165137</v>
      </c>
      <c r="M30" s="295">
        <f>'WPP 91-2'!M$39</f>
        <v>636.191055680403</v>
      </c>
      <c r="N30" s="295">
        <f>'WPP 91-2'!N$39</f>
        <v>640.02620357546471</v>
      </c>
      <c r="O30" s="295">
        <f>'WPP 91-2'!O$39</f>
        <v>644.59121476644782</v>
      </c>
      <c r="P30" s="295">
        <f>'WPP 91-2'!P$39</f>
        <v>649.15915171575489</v>
      </c>
      <c r="Q30" s="295">
        <f>'WPP 91-2'!Q$39</f>
        <v>675.30863279110008</v>
      </c>
      <c r="R30" s="295">
        <f>'WPP 91-2'!R$39</f>
        <v>663.74983868797972</v>
      </c>
      <c r="S30" s="295">
        <f>'WPP 91-2'!S$39</f>
        <v>652.00900275999948</v>
      </c>
      <c r="T30" s="295">
        <f>'WPP 91-2'!T$39</f>
        <v>639.3065601249823</v>
      </c>
      <c r="U30" s="295">
        <f>'WPP 91-2'!U$39</f>
        <v>0</v>
      </c>
      <c r="V30" s="295">
        <f>'WPP 91-2'!V$39</f>
        <v>0</v>
      </c>
      <c r="W30" s="295">
        <f>'WPP 91-2'!W$39</f>
        <v>0</v>
      </c>
      <c r="X30" s="295">
        <f>'WPP 91-2'!X$39</f>
        <v>0</v>
      </c>
      <c r="Y30" s="295">
        <f>'WPP 91-2'!Y$39</f>
        <v>0</v>
      </c>
      <c r="Z30" s="295">
        <f>'WPP 91-2'!Z$39</f>
        <v>0</v>
      </c>
    </row>
    <row r="31" spans="2:26">
      <c r="B31" s="334"/>
      <c r="C31" s="334" t="s">
        <v>156</v>
      </c>
      <c r="D31" s="334"/>
      <c r="E31" s="334"/>
      <c r="F31" s="295">
        <v>0</v>
      </c>
      <c r="G31" s="295">
        <v>0</v>
      </c>
      <c r="H31" s="295">
        <v>0</v>
      </c>
      <c r="I31" s="295">
        <v>0</v>
      </c>
      <c r="J31" s="295">
        <v>0</v>
      </c>
      <c r="K31" s="295">
        <v>0</v>
      </c>
      <c r="L31" s="295">
        <v>0</v>
      </c>
      <c r="M31" s="295">
        <v>0</v>
      </c>
      <c r="N31" s="295">
        <v>0</v>
      </c>
      <c r="O31" s="295">
        <v>0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0</v>
      </c>
      <c r="V31" s="295">
        <v>0</v>
      </c>
      <c r="W31" s="295">
        <v>0</v>
      </c>
      <c r="X31" s="295">
        <v>0</v>
      </c>
      <c r="Y31" s="295">
        <v>0</v>
      </c>
      <c r="Z31" s="295">
        <v>0</v>
      </c>
    </row>
    <row r="32" spans="2:26">
      <c r="B32" s="334"/>
      <c r="C32" s="334" t="s">
        <v>157</v>
      </c>
      <c r="D32" s="334"/>
      <c r="E32" s="334"/>
      <c r="F32" s="295">
        <f>'WPP 89'!F$39</f>
        <v>2407.2027138376834</v>
      </c>
      <c r="G32" s="295">
        <f>'WPP 89'!G39</f>
        <v>2004.1379953160927</v>
      </c>
      <c r="H32" s="295">
        <f>'WPP 89'!H39</f>
        <v>2043.4277211093886</v>
      </c>
      <c r="I32" s="295">
        <f>'WPP 89'!I39</f>
        <v>2057.6411734743911</v>
      </c>
      <c r="J32" s="295">
        <f>'WPP 89'!J39</f>
        <v>2107.022892335558</v>
      </c>
      <c r="K32" s="295">
        <f>'WPP 89'!K39</f>
        <v>2141.2321267577199</v>
      </c>
      <c r="L32" s="295">
        <f>'WPP 89'!L39</f>
        <v>2176.9588967140353</v>
      </c>
      <c r="M32" s="295">
        <f>'WPP 89'!M39</f>
        <v>2245.7432977896242</v>
      </c>
      <c r="N32" s="295">
        <f>'WPP 89'!N39</f>
        <v>2268.8939277252539</v>
      </c>
      <c r="O32" s="295">
        <f>'WPP 89'!O39</f>
        <v>2293.0231523762131</v>
      </c>
      <c r="P32" s="295">
        <f>'WPP 89'!P39</f>
        <v>2316.232079902542</v>
      </c>
      <c r="Q32" s="295">
        <f>'WPP 89'!Q39</f>
        <v>2392.1535603870852</v>
      </c>
      <c r="R32" s="295">
        <f>'WPP 89'!R39</f>
        <v>2369.848313739787</v>
      </c>
      <c r="S32" s="295">
        <f>'WPP 89'!S39</f>
        <v>2344.798378837876</v>
      </c>
      <c r="T32" s="295">
        <f>'WPP 89'!T39</f>
        <v>2314.6367405619958</v>
      </c>
      <c r="U32" s="295">
        <f>'WPP 89'!U39</f>
        <v>2280.2864567615034</v>
      </c>
      <c r="V32" s="295">
        <f>'WPP 89'!V39</f>
        <v>2379.8907326295885</v>
      </c>
      <c r="W32" s="295">
        <f>'WPP 89'!W39</f>
        <v>2482.4125324978459</v>
      </c>
      <c r="X32" s="295">
        <f>'WPP 89'!X39</f>
        <v>2587.9364645622845</v>
      </c>
      <c r="Y32" s="295">
        <f>'WPP 89'!Y39</f>
        <v>0</v>
      </c>
      <c r="Z32" s="295">
        <f>'WPP 89'!Z39</f>
        <v>0</v>
      </c>
    </row>
    <row r="33" spans="1:35">
      <c r="B33" s="334"/>
      <c r="C33" s="334" t="s">
        <v>158</v>
      </c>
      <c r="D33" s="334"/>
      <c r="E33" s="334"/>
      <c r="F33" s="295">
        <f>'WPP 91'!F$39</f>
        <v>1079.9596996755051</v>
      </c>
      <c r="G33" s="295">
        <f>'WPP 91'!G$39</f>
        <v>790.57897149868245</v>
      </c>
      <c r="H33" s="295">
        <f>'WPP 91'!H$39</f>
        <v>801.00348068967151</v>
      </c>
      <c r="I33" s="295">
        <f>'WPP 91'!I$39</f>
        <v>805.76700044674158</v>
      </c>
      <c r="J33" s="295">
        <f>'WPP 91'!J$39</f>
        <v>818.61334236363564</v>
      </c>
      <c r="K33" s="295">
        <f>'WPP 91'!K$39</f>
        <v>828.68652129614293</v>
      </c>
      <c r="L33" s="295">
        <f>'WPP 91'!L$39</f>
        <v>822.78029054963372</v>
      </c>
      <c r="M33" s="295">
        <f>'WPP 91'!M$39</f>
        <v>823.89606377838845</v>
      </c>
      <c r="N33" s="295">
        <f>'WPP 91'!N$39</f>
        <v>815.35358904605596</v>
      </c>
      <c r="O33" s="295">
        <f>'WPP 91'!O$39</f>
        <v>806.53389836437668</v>
      </c>
      <c r="P33" s="295">
        <f>'WPP 91'!P$39</f>
        <v>805.05045763929525</v>
      </c>
      <c r="Q33" s="295">
        <f>'WPP 91'!Q$39</f>
        <v>815.03305947204058</v>
      </c>
      <c r="R33" s="295">
        <f>'WPP 91'!R$39</f>
        <v>805.62277014703659</v>
      </c>
      <c r="S33" s="295">
        <f>'WPP 91'!S$39</f>
        <v>795.74801158897139</v>
      </c>
      <c r="T33" s="295">
        <f>'WPP 91'!T$39</f>
        <v>821.2279662106364</v>
      </c>
      <c r="U33" s="295">
        <f>'WPP 91'!U$39</f>
        <v>128.98912677218686</v>
      </c>
      <c r="V33" s="295">
        <f>'WPP 91'!V$39</f>
        <v>110.68404867453432</v>
      </c>
      <c r="W33" s="295">
        <f>'WPP 91'!W$39</f>
        <v>91.54907979741688</v>
      </c>
      <c r="X33" s="295">
        <f>'WPP 91'!X$39</f>
        <v>0</v>
      </c>
      <c r="Y33" s="295">
        <f>'WPP 91'!Y$39</f>
        <v>0</v>
      </c>
      <c r="Z33" s="295">
        <f>'WPP 91'!Z$39</f>
        <v>0</v>
      </c>
    </row>
    <row r="34" spans="1:35">
      <c r="B34" s="334"/>
      <c r="C34" s="334" t="s">
        <v>159</v>
      </c>
      <c r="D34" s="334"/>
      <c r="E34" s="334"/>
      <c r="F34" s="295">
        <f>'WPP 90'!F$39</f>
        <v>484.2193792881651</v>
      </c>
      <c r="G34" s="295">
        <f>'WPP 90'!G$39</f>
        <v>502.81123907598226</v>
      </c>
      <c r="H34" s="295">
        <f>'WPP 90'!H$39</f>
        <v>514.93574630042713</v>
      </c>
      <c r="I34" s="295">
        <f>'WPP 90'!I$39</f>
        <v>519.81520191580057</v>
      </c>
      <c r="J34" s="295">
        <f>'WPP 90'!J$39</f>
        <v>534.71223761051328</v>
      </c>
      <c r="K34" s="295">
        <f>'WPP 90'!K$39</f>
        <v>522.08101464667584</v>
      </c>
      <c r="L34" s="295">
        <f>'WPP 90'!L$39</f>
        <v>527.55755726443113</v>
      </c>
      <c r="M34" s="295">
        <f>'WPP 90'!M$39</f>
        <v>547.63614513707262</v>
      </c>
      <c r="N34" s="295">
        <f>'WPP 90'!N$39</f>
        <v>555.06905988089306</v>
      </c>
      <c r="O34" s="295">
        <f>'WPP 90'!O$39</f>
        <v>563.18604473466303</v>
      </c>
      <c r="P34" s="295">
        <f>'WPP 90'!P$39</f>
        <v>570.1975964072717</v>
      </c>
      <c r="Q34" s="295">
        <f>'WPP 90'!Q$39</f>
        <v>592.6228067558884</v>
      </c>
      <c r="R34" s="295">
        <f>'WPP 90'!R$39</f>
        <v>588.11576583910778</v>
      </c>
      <c r="S34" s="295">
        <f>'WPP 90'!S$39</f>
        <v>583.55129676251181</v>
      </c>
      <c r="T34" s="295">
        <f>'WPP 90'!T$39</f>
        <v>578.43540665774321</v>
      </c>
      <c r="U34" s="295">
        <f>'WPP 90'!U$39</f>
        <v>573.2348274014123</v>
      </c>
      <c r="V34" s="295">
        <f>'WPP 90'!V$39</f>
        <v>581.16091522365105</v>
      </c>
      <c r="W34" s="295">
        <f>'WPP 90'!W$39</f>
        <v>608.12049625920395</v>
      </c>
      <c r="X34" s="295">
        <f>'WPP 90'!X$39</f>
        <v>0</v>
      </c>
      <c r="Y34" s="295">
        <f>'WPP 90'!Y$39</f>
        <v>0</v>
      </c>
      <c r="Z34" s="295">
        <f>'WPP 90'!Z$39</f>
        <v>0</v>
      </c>
    </row>
    <row r="35" spans="1:35" ht="15">
      <c r="B35" s="334"/>
      <c r="C35" s="334" t="s">
        <v>160</v>
      </c>
      <c r="D35" s="334"/>
      <c r="E35" s="334"/>
      <c r="F35" s="1161">
        <v>0</v>
      </c>
      <c r="G35" s="1161">
        <v>0</v>
      </c>
      <c r="H35" s="1161">
        <v>0</v>
      </c>
      <c r="I35" s="1161">
        <v>0</v>
      </c>
      <c r="J35" s="1161">
        <v>0</v>
      </c>
      <c r="K35" s="1161">
        <v>0</v>
      </c>
      <c r="L35" s="1161">
        <v>0</v>
      </c>
      <c r="M35" s="1161">
        <v>0</v>
      </c>
      <c r="N35" s="1161">
        <v>0</v>
      </c>
      <c r="O35" s="1161">
        <v>0</v>
      </c>
      <c r="P35" s="1161">
        <v>0</v>
      </c>
      <c r="Q35" s="1161">
        <v>0</v>
      </c>
      <c r="R35" s="1161">
        <v>0</v>
      </c>
      <c r="S35" s="1161">
        <v>0</v>
      </c>
      <c r="T35" s="1161">
        <v>0</v>
      </c>
      <c r="U35" s="1161">
        <v>0</v>
      </c>
      <c r="V35" s="1161">
        <v>0</v>
      </c>
      <c r="W35" s="1161">
        <v>0</v>
      </c>
      <c r="X35" s="1161">
        <v>0</v>
      </c>
      <c r="Y35" s="1161">
        <v>0</v>
      </c>
      <c r="Z35" s="1161">
        <v>0</v>
      </c>
    </row>
    <row r="36" spans="1:35">
      <c r="B36" s="334"/>
      <c r="C36" s="334"/>
      <c r="D36" s="334"/>
      <c r="E36" s="334"/>
      <c r="F36" s="302">
        <f t="shared" ref="F36:Z36" si="3">SUM(F29:F35)</f>
        <v>6143.5072931962959</v>
      </c>
      <c r="G36" s="302">
        <f t="shared" si="3"/>
        <v>5050.5546815312782</v>
      </c>
      <c r="H36" s="302">
        <f t="shared" si="3"/>
        <v>5141.1812415799068</v>
      </c>
      <c r="I36" s="302">
        <f t="shared" si="3"/>
        <v>5170.8225350718112</v>
      </c>
      <c r="J36" s="302">
        <f t="shared" si="3"/>
        <v>5286.0976032421904</v>
      </c>
      <c r="K36" s="302">
        <f t="shared" si="3"/>
        <v>5305.6099120540575</v>
      </c>
      <c r="L36" s="302">
        <f t="shared" si="3"/>
        <v>5357.9890642890696</v>
      </c>
      <c r="M36" s="302">
        <f t="shared" si="3"/>
        <v>5503.3603796727402</v>
      </c>
      <c r="N36" s="302">
        <f t="shared" si="3"/>
        <v>5542.1214556879877</v>
      </c>
      <c r="O36" s="302">
        <f t="shared" si="3"/>
        <v>5584.1496294068475</v>
      </c>
      <c r="P36" s="302">
        <f t="shared" si="3"/>
        <v>5631.7264272564871</v>
      </c>
      <c r="Q36" s="302">
        <f t="shared" si="3"/>
        <v>5808.4963792538938</v>
      </c>
      <c r="R36" s="302">
        <f t="shared" si="3"/>
        <v>5755.5499274065205</v>
      </c>
      <c r="S36" s="302">
        <f t="shared" si="3"/>
        <v>5699.1836272763985</v>
      </c>
      <c r="T36" s="302">
        <f t="shared" si="3"/>
        <v>5670.6367921055544</v>
      </c>
      <c r="U36" s="302">
        <f t="shared" si="3"/>
        <v>4293.4396771248057</v>
      </c>
      <c r="V36" s="302">
        <f t="shared" si="3"/>
        <v>3071.7356965277736</v>
      </c>
      <c r="W36" s="302">
        <f t="shared" si="3"/>
        <v>3182.0821085544667</v>
      </c>
      <c r="X36" s="302">
        <f t="shared" si="3"/>
        <v>2587.9364645622845</v>
      </c>
      <c r="Y36" s="302">
        <f t="shared" si="3"/>
        <v>0</v>
      </c>
      <c r="Z36" s="302">
        <f t="shared" si="3"/>
        <v>0</v>
      </c>
    </row>
    <row r="37" spans="1:35">
      <c r="B37" s="334"/>
      <c r="C37" s="334"/>
      <c r="D37" s="334"/>
      <c r="E37" s="334"/>
    </row>
    <row r="38" spans="1:35">
      <c r="B38" s="334"/>
      <c r="C38" s="334"/>
      <c r="D38" s="334"/>
      <c r="E38" s="334"/>
    </row>
    <row r="39" spans="1:35" ht="13.5" thickBot="1">
      <c r="B39" s="584" t="s">
        <v>196</v>
      </c>
      <c r="C39" s="334"/>
      <c r="D39" s="334"/>
      <c r="E39" s="334"/>
      <c r="F39" s="1127">
        <f>F36+F13+F25</f>
        <v>62076.834369866076</v>
      </c>
      <c r="G39" s="1127">
        <f t="shared" ref="G39:Z39" si="4">G36+G13+G25</f>
        <v>46653.851313983512</v>
      </c>
      <c r="H39" s="1127">
        <f t="shared" si="4"/>
        <v>48049.914114105952</v>
      </c>
      <c r="I39" s="1127">
        <f t="shared" si="4"/>
        <v>48842.275283560106</v>
      </c>
      <c r="J39" s="1127">
        <f t="shared" si="4"/>
        <v>52910.547424472141</v>
      </c>
      <c r="K39" s="1127">
        <f t="shared" si="4"/>
        <v>54495.506380070467</v>
      </c>
      <c r="L39" s="1127">
        <f t="shared" si="4"/>
        <v>55797.70692074977</v>
      </c>
      <c r="M39" s="1127">
        <f t="shared" si="4"/>
        <v>56696.47590372157</v>
      </c>
      <c r="N39" s="1127">
        <f t="shared" si="4"/>
        <v>57213.509246942791</v>
      </c>
      <c r="O39" s="1127">
        <f t="shared" si="4"/>
        <v>58084.854297101207</v>
      </c>
      <c r="P39" s="1127">
        <f t="shared" si="4"/>
        <v>58024.714846980292</v>
      </c>
      <c r="Q39" s="1127">
        <f t="shared" si="4"/>
        <v>59083.153736852182</v>
      </c>
      <c r="R39" s="1127">
        <f t="shared" si="4"/>
        <v>59081.871404530793</v>
      </c>
      <c r="S39" s="1127">
        <f t="shared" si="4"/>
        <v>54811.432679334677</v>
      </c>
      <c r="T39" s="1127">
        <f t="shared" si="4"/>
        <v>49562.009944230012</v>
      </c>
      <c r="U39" s="1127">
        <f t="shared" si="4"/>
        <v>46349.163919721716</v>
      </c>
      <c r="V39" s="1127">
        <f t="shared" si="4"/>
        <v>44265.197658261488</v>
      </c>
      <c r="W39" s="1127">
        <f t="shared" si="4"/>
        <v>43490.258058073407</v>
      </c>
      <c r="X39" s="1127">
        <f t="shared" si="4"/>
        <v>33163.37108155938</v>
      </c>
      <c r="Y39" s="1127">
        <f t="shared" si="4"/>
        <v>23630.158314095719</v>
      </c>
      <c r="Z39" s="1127">
        <f t="shared" si="4"/>
        <v>0</v>
      </c>
    </row>
    <row r="40" spans="1:35" ht="13.5" thickTop="1">
      <c r="B40" s="334"/>
      <c r="C40" s="334"/>
      <c r="D40" s="334"/>
      <c r="E40" s="334"/>
    </row>
    <row r="41" spans="1:35">
      <c r="A41" s="313"/>
      <c r="B41" s="723"/>
      <c r="C41" s="723"/>
      <c r="D41" s="723"/>
      <c r="E41" s="72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313"/>
      <c r="Q41" s="313"/>
      <c r="R41" s="313"/>
      <c r="S41" s="313"/>
      <c r="T41" s="313"/>
      <c r="U41" s="313"/>
      <c r="V41" s="313"/>
      <c r="W41" s="313"/>
      <c r="X41" s="313"/>
      <c r="Y41" s="313"/>
      <c r="Z41" s="313"/>
      <c r="AA41" s="313"/>
      <c r="AB41" s="313"/>
      <c r="AC41" s="313"/>
      <c r="AD41" s="313"/>
      <c r="AE41" s="313"/>
      <c r="AF41" s="313"/>
      <c r="AG41" s="313"/>
      <c r="AH41" s="313"/>
      <c r="AI41" s="313"/>
    </row>
    <row r="43" spans="1:35" ht="13.5" thickBot="1">
      <c r="A43" s="299"/>
      <c r="B43" s="299"/>
      <c r="C43" s="299"/>
      <c r="D43" s="299"/>
      <c r="E43" s="299"/>
      <c r="F43" s="1158">
        <v>2001</v>
      </c>
      <c r="G43" s="1158">
        <f>+F43+1</f>
        <v>2002</v>
      </c>
      <c r="H43" s="1158">
        <f t="shared" ref="H43:Y43" si="5">+G43+1</f>
        <v>2003</v>
      </c>
      <c r="I43" s="1158">
        <f t="shared" si="5"/>
        <v>2004</v>
      </c>
      <c r="J43" s="1158">
        <f t="shared" si="5"/>
        <v>2005</v>
      </c>
      <c r="K43" s="1158">
        <f t="shared" si="5"/>
        <v>2006</v>
      </c>
      <c r="L43" s="1158">
        <f t="shared" si="5"/>
        <v>2007</v>
      </c>
      <c r="M43" s="1158">
        <f t="shared" si="5"/>
        <v>2008</v>
      </c>
      <c r="N43" s="1158">
        <f t="shared" si="5"/>
        <v>2009</v>
      </c>
      <c r="O43" s="1158">
        <f t="shared" si="5"/>
        <v>2010</v>
      </c>
      <c r="P43" s="1158">
        <f t="shared" si="5"/>
        <v>2011</v>
      </c>
      <c r="Q43" s="1158">
        <f t="shared" si="5"/>
        <v>2012</v>
      </c>
      <c r="R43" s="1158">
        <f t="shared" si="5"/>
        <v>2013</v>
      </c>
      <c r="S43" s="1158">
        <f t="shared" si="5"/>
        <v>2014</v>
      </c>
      <c r="T43" s="1158">
        <f t="shared" si="5"/>
        <v>2015</v>
      </c>
      <c r="U43" s="1158">
        <f t="shared" si="5"/>
        <v>2016</v>
      </c>
      <c r="V43" s="1158">
        <f t="shared" si="5"/>
        <v>2017</v>
      </c>
      <c r="W43" s="1158">
        <f t="shared" si="5"/>
        <v>2018</v>
      </c>
      <c r="X43" s="1158">
        <f t="shared" si="5"/>
        <v>2019</v>
      </c>
      <c r="Y43" s="1158">
        <f t="shared" si="5"/>
        <v>2020</v>
      </c>
      <c r="Z43" s="998">
        <f>Y43+1</f>
        <v>2021</v>
      </c>
      <c r="AB43" s="299"/>
      <c r="AC43" s="299"/>
      <c r="AD43" s="299"/>
      <c r="AE43" s="299"/>
      <c r="AF43" s="299"/>
      <c r="AG43" s="299"/>
      <c r="AH43" s="299"/>
      <c r="AI43" s="299"/>
    </row>
    <row r="44" spans="1:35" ht="15.75">
      <c r="A44" s="565"/>
      <c r="B44" s="737" t="s">
        <v>30</v>
      </c>
      <c r="C44" s="1159"/>
      <c r="D44" s="565"/>
      <c r="E44" s="565"/>
      <c r="AB44" s="565"/>
      <c r="AC44" s="565"/>
      <c r="AD44" s="565"/>
      <c r="AE44" s="565"/>
      <c r="AF44" s="565"/>
      <c r="AG44" s="565"/>
      <c r="AH44" s="565"/>
      <c r="AI44" s="565"/>
    </row>
    <row r="45" spans="1:35">
      <c r="A45" s="1042"/>
      <c r="B45" s="1042"/>
      <c r="C45" s="1042"/>
      <c r="D45" s="1042"/>
      <c r="E45" s="1042"/>
      <c r="AB45" s="1042"/>
      <c r="AC45" s="1042"/>
      <c r="AD45" s="1042"/>
      <c r="AE45" s="1042"/>
      <c r="AF45" s="1042"/>
      <c r="AG45" s="1042"/>
      <c r="AH45" s="1042"/>
      <c r="AI45" s="1042"/>
    </row>
    <row r="46" spans="1:35">
      <c r="B46" s="571" t="s">
        <v>141</v>
      </c>
    </row>
    <row r="47" spans="1:35">
      <c r="A47" s="334"/>
      <c r="B47" s="334"/>
      <c r="C47" s="334" t="s">
        <v>142</v>
      </c>
      <c r="D47" s="334"/>
      <c r="E47" s="334"/>
      <c r="F47" s="295">
        <f>'Cerro Gordo'!F145/$A$1</f>
        <v>3587.0630843069766</v>
      </c>
      <c r="G47" s="295">
        <f>'Cerro Gordo'!G145/$A$1</f>
        <v>3525.5381923069763</v>
      </c>
      <c r="H47" s="295">
        <f>'Cerro Gordo'!H145/$A$1</f>
        <v>3650.6019981018085</v>
      </c>
      <c r="I47" s="295">
        <f>'Cerro Gordo'!I145/$A$1</f>
        <v>3666.4715661018081</v>
      </c>
      <c r="J47" s="295">
        <f>'Cerro Gordo'!J145/$A$1</f>
        <v>3731.9526513004294</v>
      </c>
      <c r="K47" s="295">
        <f>'Cerro Gordo'!K145/$A$1</f>
        <v>3742.0741010620227</v>
      </c>
      <c r="L47" s="295">
        <f>'Cerro Gordo'!L145/$A$1</f>
        <v>3752.9590557384968</v>
      </c>
      <c r="M47" s="295">
        <f>'Cerro Gordo'!M145/$A$1</f>
        <v>3879.5144942830884</v>
      </c>
      <c r="N47" s="295">
        <f>'Cerro Gordo'!N145/$A$1</f>
        <v>2466.6806117947417</v>
      </c>
      <c r="O47" s="295">
        <f>'Cerro Gordo'!O145/$A$1</f>
        <v>1474.4793290690316</v>
      </c>
      <c r="P47" s="295">
        <f>'Cerro Gordo'!P145/$A$1</f>
        <v>1487.6664091778264</v>
      </c>
      <c r="Q47" s="295">
        <f>'Cerro Gordo'!Q145/$A$1</f>
        <v>1501.3233629064271</v>
      </c>
      <c r="R47" s="295">
        <f>'Cerro Gordo'!R145/$A$1</f>
        <v>1515.4463600041736</v>
      </c>
      <c r="S47" s="295">
        <f>'Cerro Gordo'!S145/$A$1</f>
        <v>1530.3070711790704</v>
      </c>
      <c r="T47" s="295">
        <f>'Cerro Gordo'!T145/$A$1</f>
        <v>1545.4605873364469</v>
      </c>
      <c r="U47" s="295">
        <f>'Cerro Gordo'!U145/$A$1</f>
        <v>1560.296573143569</v>
      </c>
      <c r="V47" s="295">
        <f>'Cerro Gordo'!V145/$A$1</f>
        <v>1575.3069222285603</v>
      </c>
      <c r="W47" s="295">
        <f>'Cerro Gordo'!W145/$A$1</f>
        <v>944.42336539923565</v>
      </c>
      <c r="X47" s="295">
        <f>'Cerro Gordo'!X145/$A$1</f>
        <v>44.301003205901935</v>
      </c>
      <c r="Y47" s="295">
        <f>'Cerro Gordo'!Y145/$A$1</f>
        <v>32.857242955410342</v>
      </c>
      <c r="Z47" s="295">
        <f>'Cerro Gordo'!Z145/$A$1</f>
        <v>0</v>
      </c>
      <c r="AB47" s="334"/>
      <c r="AC47" s="334"/>
      <c r="AD47" s="334"/>
      <c r="AE47" s="334"/>
      <c r="AF47" s="334"/>
      <c r="AG47" s="334"/>
      <c r="AH47" s="334"/>
      <c r="AI47" s="334"/>
    </row>
    <row r="48" spans="1:35">
      <c r="A48" s="334"/>
      <c r="B48" s="334"/>
      <c r="C48" s="334" t="s">
        <v>143</v>
      </c>
      <c r="D48" s="334"/>
      <c r="E48" s="334"/>
      <c r="F48" s="295">
        <f>'Southwest Mesa'!F145/$A$1</f>
        <v>6786.9534493675492</v>
      </c>
      <c r="G48" s="295">
        <f>'Southwest Mesa'!G145/$A$1</f>
        <v>6729.7926113584781</v>
      </c>
      <c r="H48" s="295">
        <f>'Southwest Mesa'!H145/$A$1</f>
        <v>7041.8953516770243</v>
      </c>
      <c r="I48" s="295">
        <f>'Southwest Mesa'!I145/$A$1</f>
        <v>6868.0149670370847</v>
      </c>
      <c r="J48" s="295">
        <f>'Southwest Mesa'!J145/$A$1</f>
        <v>7184.0406912237304</v>
      </c>
      <c r="K48" s="295">
        <f>'Southwest Mesa'!K145/$A$1</f>
        <v>7231.835242513208</v>
      </c>
      <c r="L48" s="295">
        <f>'Southwest Mesa'!L145/$A$1</f>
        <v>7281.0529843403965</v>
      </c>
      <c r="M48" s="295">
        <f>'Southwest Mesa'!M145/$A$1</f>
        <v>7616.2422413390432</v>
      </c>
      <c r="N48" s="295">
        <f>'Southwest Mesa'!N145/$A$1</f>
        <v>2294.8732605922623</v>
      </c>
      <c r="O48" s="295">
        <f>'Southwest Mesa'!O145/$A$1</f>
        <v>1689.7728444244781</v>
      </c>
      <c r="P48" s="295">
        <f>'Southwest Mesa'!P145/$A$1</f>
        <v>1699.2979574521173</v>
      </c>
      <c r="Q48" s="295">
        <f>'Southwest Mesa'!Q145/$A$1</f>
        <v>1684.208579934711</v>
      </c>
      <c r="R48" s="295">
        <f>'Southwest Mesa'!R145/$A$1</f>
        <v>1668.1261372545277</v>
      </c>
      <c r="S48" s="295">
        <f>'Southwest Mesa'!S145/$A$1</f>
        <v>1683.8861082427416</v>
      </c>
      <c r="T48" s="295">
        <f>'Southwest Mesa'!T145/$A$1</f>
        <v>1666.6141775734391</v>
      </c>
      <c r="U48" s="295">
        <f>'Southwest Mesa'!U145/$A$1</f>
        <v>1648.8692918843349</v>
      </c>
      <c r="V48" s="295">
        <f>'Southwest Mesa'!V145/$A$1</f>
        <v>1630.6436567800772</v>
      </c>
      <c r="W48" s="295">
        <f>'Southwest Mesa'!W145/$A$1</f>
        <v>1611.9293219774077</v>
      </c>
      <c r="X48" s="295">
        <f>'Southwest Mesa'!X145/$A$1</f>
        <v>-273.87987410410938</v>
      </c>
      <c r="Y48" s="295">
        <f>'Southwest Mesa'!Y145/$A$1</f>
        <v>0</v>
      </c>
      <c r="Z48" s="295">
        <f>'Southwest Mesa'!Z145/$A$1</f>
        <v>0</v>
      </c>
      <c r="AB48" s="334"/>
      <c r="AC48" s="334"/>
      <c r="AD48" s="334"/>
      <c r="AE48" s="334"/>
      <c r="AF48" s="334"/>
      <c r="AG48" s="334"/>
      <c r="AH48" s="334"/>
      <c r="AI48" s="334"/>
    </row>
    <row r="49" spans="1:35">
      <c r="A49" s="334"/>
      <c r="B49" s="334"/>
      <c r="C49" s="334" t="s">
        <v>144</v>
      </c>
      <c r="D49" s="334"/>
      <c r="E49" s="334"/>
      <c r="F49" s="298">
        <f>Vansycle!F145/$A$1</f>
        <v>2208.0617004485339</v>
      </c>
      <c r="G49" s="298">
        <f>Vansycle!G145/$A$1</f>
        <v>2140.1869264250827</v>
      </c>
      <c r="H49" s="298">
        <f>Vansycle!H145/$A$1</f>
        <v>2291.2704607047472</v>
      </c>
      <c r="I49" s="298">
        <f>Vansycle!I145/$A$1</f>
        <v>2367.7964060284962</v>
      </c>
      <c r="J49" s="298">
        <f>Vansycle!J145/$A$1</f>
        <v>2521.7708113975127</v>
      </c>
      <c r="K49" s="298">
        <f>Vansycle!K145/$A$1</f>
        <v>2677.2581134750449</v>
      </c>
      <c r="L49" s="298">
        <f>Vansycle!L145/$A$1</f>
        <v>2756.3513143816335</v>
      </c>
      <c r="M49" s="298">
        <f>Vansycle!M145/$A$1</f>
        <v>2398.0200906946411</v>
      </c>
      <c r="N49" s="298">
        <f>Vansycle!N145/$A$1</f>
        <v>1179.7212556852692</v>
      </c>
      <c r="O49" s="298">
        <f>Vansycle!O145/$A$1</f>
        <v>1242.6790053093521</v>
      </c>
      <c r="P49" s="298">
        <f>Vansycle!P145/$A$1</f>
        <v>1309.7510466827894</v>
      </c>
      <c r="Q49" s="298">
        <f>Vansycle!Q145/$A$1</f>
        <v>1378.6888224065399</v>
      </c>
      <c r="R49" s="298">
        <f>Vansycle!R145/$A$1</f>
        <v>1420.4043338232652</v>
      </c>
      <c r="S49" s="298">
        <f>Vansycle!S145/$A$1</f>
        <v>1492.3305951936513</v>
      </c>
      <c r="T49" s="298">
        <f>Vansycle!T145/$A$1</f>
        <v>1566.2683394866938</v>
      </c>
      <c r="U49" s="298">
        <f>Vansycle!U145/$A$1</f>
        <v>1642.2738436347665</v>
      </c>
      <c r="V49" s="298">
        <f>Vansycle!V145/$A$1</f>
        <v>1720.4049570159359</v>
      </c>
      <c r="W49" s="298">
        <f>Vansycle!W145/$A$1</f>
        <v>1800.7211529852918</v>
      </c>
      <c r="X49" s="298">
        <f>Vansycle!X145/$A$1</f>
        <v>1883.2835667896218</v>
      </c>
      <c r="Y49" s="298">
        <f>Vansycle!Y145/$A$1</f>
        <v>1968.1550446068798</v>
      </c>
      <c r="Z49" s="298">
        <f>Vansycle!Z145/$A$1</f>
        <v>0</v>
      </c>
      <c r="AB49" s="334"/>
      <c r="AC49" s="334"/>
      <c r="AD49" s="334"/>
      <c r="AE49" s="334"/>
      <c r="AF49" s="334"/>
      <c r="AG49" s="334"/>
      <c r="AH49" s="334"/>
      <c r="AI49" s="334"/>
    </row>
    <row r="50" spans="1:35">
      <c r="A50" s="334"/>
      <c r="B50" s="334"/>
      <c r="C50" s="334"/>
      <c r="D50" s="334"/>
      <c r="E50" s="334"/>
      <c r="F50" s="295">
        <f>SUM(F47:F49)</f>
        <v>12582.078234123061</v>
      </c>
      <c r="G50" s="295">
        <f t="shared" ref="G50:Z50" si="6">SUM(G47:G49)</f>
        <v>12395.517730090538</v>
      </c>
      <c r="H50" s="295">
        <f t="shared" si="6"/>
        <v>12983.76781048358</v>
      </c>
      <c r="I50" s="295">
        <f t="shared" si="6"/>
        <v>12902.282939167389</v>
      </c>
      <c r="J50" s="295">
        <f t="shared" si="6"/>
        <v>13437.764153921673</v>
      </c>
      <c r="K50" s="295">
        <f t="shared" si="6"/>
        <v>13651.167457050276</v>
      </c>
      <c r="L50" s="295">
        <f t="shared" si="6"/>
        <v>13790.363354460525</v>
      </c>
      <c r="M50" s="295">
        <f t="shared" si="6"/>
        <v>13893.776826316773</v>
      </c>
      <c r="N50" s="295">
        <f t="shared" si="6"/>
        <v>5941.2751280722732</v>
      </c>
      <c r="O50" s="295">
        <f t="shared" si="6"/>
        <v>4406.9311788028617</v>
      </c>
      <c r="P50" s="295">
        <f t="shared" si="6"/>
        <v>4496.7154133127333</v>
      </c>
      <c r="Q50" s="295">
        <f t="shared" si="6"/>
        <v>4564.2207652476782</v>
      </c>
      <c r="R50" s="295">
        <f t="shared" si="6"/>
        <v>4603.9768310819663</v>
      </c>
      <c r="S50" s="295">
        <f t="shared" si="6"/>
        <v>4706.5237746154635</v>
      </c>
      <c r="T50" s="295">
        <f t="shared" si="6"/>
        <v>4778.3431043965793</v>
      </c>
      <c r="U50" s="295">
        <f t="shared" si="6"/>
        <v>4851.4397086626705</v>
      </c>
      <c r="V50" s="295">
        <f t="shared" si="6"/>
        <v>4926.3555360245737</v>
      </c>
      <c r="W50" s="295">
        <f t="shared" si="6"/>
        <v>4357.0738403619353</v>
      </c>
      <c r="X50" s="295">
        <f t="shared" si="6"/>
        <v>1653.7046958914143</v>
      </c>
      <c r="Y50" s="295">
        <f t="shared" si="6"/>
        <v>2001.0122875622901</v>
      </c>
      <c r="Z50" s="295">
        <f t="shared" si="6"/>
        <v>0</v>
      </c>
      <c r="AB50" s="334"/>
      <c r="AC50" s="334"/>
      <c r="AD50" s="334"/>
      <c r="AE50" s="334"/>
      <c r="AF50" s="334"/>
      <c r="AG50" s="334"/>
      <c r="AH50" s="334"/>
      <c r="AI50" s="334"/>
    </row>
    <row r="51" spans="1:35">
      <c r="A51" s="334"/>
      <c r="B51" s="334"/>
      <c r="C51" s="334"/>
      <c r="D51" s="334"/>
      <c r="E51" s="334"/>
      <c r="AB51" s="334"/>
      <c r="AC51" s="334"/>
      <c r="AD51" s="334"/>
      <c r="AE51" s="334"/>
      <c r="AF51" s="334"/>
      <c r="AG51" s="334"/>
      <c r="AH51" s="334"/>
      <c r="AI51" s="334"/>
    </row>
    <row r="52" spans="1:35">
      <c r="A52" s="334"/>
      <c r="B52" s="334"/>
      <c r="C52" s="334"/>
      <c r="D52" s="334"/>
      <c r="E52" s="334"/>
      <c r="AB52" s="334"/>
      <c r="AC52" s="334"/>
      <c r="AD52" s="334"/>
      <c r="AE52" s="334"/>
      <c r="AF52" s="334"/>
      <c r="AG52" s="334"/>
      <c r="AH52" s="334"/>
      <c r="AI52" s="334"/>
    </row>
    <row r="53" spans="1:35">
      <c r="A53" s="334"/>
      <c r="B53" s="582" t="s">
        <v>145</v>
      </c>
      <c r="C53" s="334"/>
      <c r="D53" s="334"/>
      <c r="E53" s="334"/>
      <c r="AB53" s="334"/>
      <c r="AC53" s="334"/>
      <c r="AD53" s="334"/>
      <c r="AE53" s="334"/>
      <c r="AF53" s="334"/>
      <c r="AG53" s="334"/>
      <c r="AH53" s="334"/>
      <c r="AI53" s="334"/>
    </row>
    <row r="54" spans="1:35">
      <c r="A54" s="334"/>
      <c r="B54" s="334"/>
      <c r="C54" s="334" t="s">
        <v>146</v>
      </c>
      <c r="D54" s="334"/>
      <c r="E54" s="334"/>
      <c r="F54" s="295">
        <f>Cameron!F145/$A$1</f>
        <v>4052.1123359354269</v>
      </c>
      <c r="G54" s="295">
        <f>Cameron!G145/$A$1</f>
        <v>4053.4843579205753</v>
      </c>
      <c r="H54" s="295">
        <f>Cameron!H145/$A$1</f>
        <v>4076.977030404596</v>
      </c>
      <c r="I54" s="295">
        <f>Cameron!I145/$A$1</f>
        <v>4182.5615493477517</v>
      </c>
      <c r="J54" s="295">
        <f>Cameron!J145/$A$1</f>
        <v>4198.4560716285569</v>
      </c>
      <c r="K54" s="295">
        <f>Cameron!K145/$A$1</f>
        <v>4270.910340167743</v>
      </c>
      <c r="L54" s="295">
        <f>Cameron!L145/$A$1</f>
        <v>4234.2871332836494</v>
      </c>
      <c r="M54" s="295">
        <f>Cameron!M145/$A$1</f>
        <v>4270.6561063189183</v>
      </c>
      <c r="N54" s="295">
        <f>Cameron!N145/$A$1</f>
        <v>2565.5288364758781</v>
      </c>
      <c r="O54" s="295">
        <f>Cameron!O145/$A$1</f>
        <v>2080.6917269172968</v>
      </c>
      <c r="P54" s="295">
        <f>Cameron!P145/$A$1</f>
        <v>2009.6642675939329</v>
      </c>
      <c r="Q54" s="295">
        <f>Cameron!Q145/$A$1</f>
        <v>1975.1382044373308</v>
      </c>
      <c r="R54" s="295">
        <f>Cameron!R145/$A$1</f>
        <v>1901.1006868574582</v>
      </c>
      <c r="S54" s="295">
        <f>Cameron!S145/$A$1</f>
        <v>2030.0317697488094</v>
      </c>
      <c r="T54" s="295">
        <f>Cameron!T145/$A$1</f>
        <v>1589.5521774704071</v>
      </c>
      <c r="U54" s="295">
        <f>Cameron!U145/$A$1</f>
        <v>579.63248141407485</v>
      </c>
      <c r="V54" s="295">
        <f>Cameron!V145/$A$1</f>
        <v>582.16228089087747</v>
      </c>
      <c r="W54" s="295">
        <f>Cameron!W145/$A$1</f>
        <v>604.51726980473472</v>
      </c>
      <c r="X54" s="295">
        <f>Cameron!X145/$A$1</f>
        <v>641.72310964153485</v>
      </c>
      <c r="Y54" s="295">
        <f>Cameron!Y145/$A$1</f>
        <v>691.88581699505073</v>
      </c>
      <c r="Z54" s="295">
        <f>Cameron!Z145/$A$1</f>
        <v>0</v>
      </c>
      <c r="AB54" s="334"/>
      <c r="AC54" s="334"/>
      <c r="AD54" s="334"/>
      <c r="AE54" s="334"/>
      <c r="AF54" s="334"/>
      <c r="AG54" s="334"/>
      <c r="AH54" s="334"/>
      <c r="AI54" s="334"/>
    </row>
    <row r="55" spans="1:35">
      <c r="A55" s="334"/>
      <c r="B55" s="334"/>
      <c r="C55" s="334" t="s">
        <v>162</v>
      </c>
      <c r="D55" s="588"/>
      <c r="E55" s="334"/>
      <c r="F55" s="295">
        <f>'Pacific Crest'!F145/$A$1</f>
        <v>3404.2742797463397</v>
      </c>
      <c r="G55" s="295">
        <f>'Pacific Crest'!G145/$A$1</f>
        <v>3353.0347833183955</v>
      </c>
      <c r="H55" s="295">
        <f>'Pacific Crest'!H145/$A$1</f>
        <v>3401.2511311836779</v>
      </c>
      <c r="I55" s="295">
        <f>'Pacific Crest'!I145/$A$1</f>
        <v>3365.529620125194</v>
      </c>
      <c r="J55" s="295">
        <f>'Pacific Crest'!J145/$A$1</f>
        <v>3539.9767318667891</v>
      </c>
      <c r="K55" s="295">
        <f>'Pacific Crest'!K145/$A$1</f>
        <v>3632.1453712680513</v>
      </c>
      <c r="L55" s="295">
        <f>'Pacific Crest'!L145/$A$1</f>
        <v>3632.6079046769887</v>
      </c>
      <c r="M55" s="295">
        <f>'Pacific Crest'!M145/$A$1</f>
        <v>3704.3475267356739</v>
      </c>
      <c r="N55" s="295">
        <f>'Pacific Crest'!N145/$A$1</f>
        <v>3084.7050569096177</v>
      </c>
      <c r="O55" s="295">
        <f>'Pacific Crest'!O145/$A$1</f>
        <v>1978.4250821046078</v>
      </c>
      <c r="P55" s="295">
        <f>'Pacific Crest'!P145/$A$1</f>
        <v>1927.6638894231105</v>
      </c>
      <c r="Q55" s="295">
        <f>'Pacific Crest'!Q145/$A$1</f>
        <v>1866.6481405169352</v>
      </c>
      <c r="R55" s="295">
        <f>'Pacific Crest'!R145/$A$1</f>
        <v>1794.2947399458888</v>
      </c>
      <c r="S55" s="295">
        <f>'Pacific Crest'!S145/$A$1</f>
        <v>1720.0655011623205</v>
      </c>
      <c r="T55" s="295">
        <f>'Pacific Crest'!T145/$A$1</f>
        <v>1075.1492028795674</v>
      </c>
      <c r="U55" s="295">
        <f>'Pacific Crest'!U145/$A$1</f>
        <v>1212.1449446676997</v>
      </c>
      <c r="V55" s="295">
        <f>'Pacific Crest'!V145/$A$1</f>
        <v>1406.0413600092838</v>
      </c>
      <c r="W55" s="295">
        <f>'Pacific Crest'!W145/$A$1</f>
        <v>1485.2430624113902</v>
      </c>
      <c r="X55" s="295">
        <f>'Pacific Crest'!X145/$A$1</f>
        <v>387.6479114757974</v>
      </c>
      <c r="Y55" s="295">
        <f>'Pacific Crest'!Y145/$A$1</f>
        <v>0</v>
      </c>
      <c r="Z55" s="295">
        <f>'Pacific Crest'!Z145/$A$1</f>
        <v>0</v>
      </c>
      <c r="AB55" s="334"/>
      <c r="AC55" s="334"/>
      <c r="AD55" s="334"/>
      <c r="AE55" s="334"/>
      <c r="AF55" s="334"/>
      <c r="AG55" s="334"/>
      <c r="AH55" s="334"/>
      <c r="AI55" s="334"/>
    </row>
    <row r="56" spans="1:35">
      <c r="A56" s="334"/>
      <c r="B56" s="334"/>
      <c r="C56" s="334" t="s">
        <v>163</v>
      </c>
      <c r="D56" s="334"/>
      <c r="E56" s="334"/>
      <c r="F56" s="295">
        <f>'Sky River'!F145/$A$1</f>
        <v>3426.5074999999997</v>
      </c>
      <c r="G56" s="295">
        <f>'Sky River'!G145/$A$1</f>
        <v>551.58187499999997</v>
      </c>
      <c r="H56" s="295">
        <f>'Sky River'!H145/$A$1</f>
        <v>571.88218749999999</v>
      </c>
      <c r="I56" s="295">
        <f>'Sky River'!I145/$A$1</f>
        <v>621.28218749999996</v>
      </c>
      <c r="J56" s="295">
        <f>'Sky River'!J145/$A$1</f>
        <v>1120.691898620435</v>
      </c>
      <c r="K56" s="295">
        <f>'Sky River'!K145/$A$1</f>
        <v>1233.0747305407897</v>
      </c>
      <c r="L56" s="295">
        <f>'Sky River'!L145/$A$1</f>
        <v>1283.281216937683</v>
      </c>
      <c r="M56" s="295">
        <f>'Sky River'!M145/$A$1</f>
        <v>1322.4455389714713</v>
      </c>
      <c r="N56" s="295">
        <f>'Sky River'!N145/$A$1</f>
        <v>1362.6672977001733</v>
      </c>
      <c r="O56" s="295">
        <f>'Sky River'!O145/$A$1</f>
        <v>1403.9750439145503</v>
      </c>
      <c r="P56" s="295">
        <f>'Sky River'!P145/$A$1</f>
        <v>1447.969323549388</v>
      </c>
      <c r="Q56" s="295">
        <f>'Sky River'!Q145/$A$1</f>
        <v>1493.1954430140004</v>
      </c>
      <c r="R56" s="295">
        <f>'Sky River'!R145/$A$1</f>
        <v>1539.6878938236232</v>
      </c>
      <c r="S56" s="295">
        <f>'Sky River'!S145/$A$1</f>
        <v>1587.4821332559145</v>
      </c>
      <c r="T56" s="295">
        <f>'Sky River'!T145/$A$1</f>
        <v>1636.2451053089521</v>
      </c>
      <c r="U56" s="295">
        <f>'Sky River'!U145/$A$1</f>
        <v>1686.0937351459061</v>
      </c>
      <c r="V56" s="295">
        <f>'Sky River'!V145/$A$1</f>
        <v>1737.3381266182951</v>
      </c>
      <c r="W56" s="295">
        <f>'Sky River'!W145/$A$1</f>
        <v>1790.0173610519107</v>
      </c>
      <c r="X56" s="295">
        <f>'Sky River'!X145/$A$1</f>
        <v>1844.1716140496669</v>
      </c>
      <c r="Y56" s="295">
        <f>'Sky River'!Y145/$A$1</f>
        <v>1899.8421861313614</v>
      </c>
      <c r="Z56" s="295">
        <f>'Sky River'!Z145/$A$1</f>
        <v>0</v>
      </c>
      <c r="AB56" s="334"/>
      <c r="AC56" s="334"/>
      <c r="AD56" s="334"/>
      <c r="AE56" s="334"/>
      <c r="AF56" s="334"/>
      <c r="AG56" s="334"/>
      <c r="AH56" s="334"/>
      <c r="AI56" s="334"/>
    </row>
    <row r="57" spans="1:35">
      <c r="A57" s="334"/>
      <c r="B57" s="334"/>
      <c r="C57" s="334" t="s">
        <v>149</v>
      </c>
      <c r="D57" s="334"/>
      <c r="E57" s="334"/>
      <c r="F57" s="295">
        <f>Ridgetop!F145/$A$1</f>
        <v>866.31605466938868</v>
      </c>
      <c r="G57" s="295">
        <f>Ridgetop!G145/$A$1</f>
        <v>886.50774639048598</v>
      </c>
      <c r="H57" s="295">
        <f>Ridgetop!H145/$A$1</f>
        <v>877.70820240498983</v>
      </c>
      <c r="I57" s="295">
        <f>Ridgetop!I145/$A$1</f>
        <v>591.45526514501603</v>
      </c>
      <c r="J57" s="295">
        <f>Ridgetop!J145/$A$1</f>
        <v>530.83556274050522</v>
      </c>
      <c r="K57" s="295">
        <f>Ridgetop!K145/$A$1</f>
        <v>548.4289494577547</v>
      </c>
      <c r="L57" s="295">
        <f>Ridgetop!L145/$A$1</f>
        <v>565.86733325662351</v>
      </c>
      <c r="M57" s="295">
        <f>Ridgetop!M145/$A$1</f>
        <v>583.14761966667231</v>
      </c>
      <c r="N57" s="295">
        <f>Ridgetop!N145/$A$1</f>
        <v>600.26665243702041</v>
      </c>
      <c r="O57" s="295">
        <f>Ridgetop!O145/$A$1</f>
        <v>617.2212123028562</v>
      </c>
      <c r="P57" s="295">
        <f>Ridgetop!P145/$A$1</f>
        <v>628.4527101324818</v>
      </c>
      <c r="Q57" s="295">
        <f>Ridgetop!Q145/$A$1</f>
        <v>639.51310242861973</v>
      </c>
      <c r="R57" s="295">
        <f>Ridgetop!R145/$A$1</f>
        <v>650.39897323501998</v>
      </c>
      <c r="S57" s="295">
        <f>Ridgetop!S145/$A$1</f>
        <v>661.10683839631815</v>
      </c>
      <c r="T57" s="295">
        <f>Ridgetop!T145/$A$1</f>
        <v>421.82477716525813</v>
      </c>
      <c r="U57" s="295">
        <f>Ridgetop!U145/$A$1</f>
        <v>457.62412714445964</v>
      </c>
      <c r="V57" s="295">
        <f>Ridgetop!V145/$A$1</f>
        <v>510.24701178609092</v>
      </c>
      <c r="W57" s="295">
        <f>Ridgetop!W145/$A$1</f>
        <v>366.0363074972903</v>
      </c>
      <c r="X57" s="295">
        <f>Ridgetop!X145/$A$1</f>
        <v>-90.083857539989324</v>
      </c>
      <c r="Y57" s="295">
        <f>Ridgetop!Y145/$A$1</f>
        <v>0</v>
      </c>
      <c r="Z57" s="295">
        <f>Ridgetop!Z145/$A$1</f>
        <v>0</v>
      </c>
      <c r="AB57" s="334"/>
      <c r="AC57" s="334"/>
      <c r="AD57" s="334"/>
      <c r="AE57" s="334"/>
      <c r="AF57" s="334"/>
      <c r="AG57" s="334"/>
      <c r="AH57" s="334"/>
      <c r="AI57" s="334"/>
    </row>
    <row r="58" spans="1:35">
      <c r="A58" s="334"/>
      <c r="B58" s="334"/>
      <c r="C58" s="334" t="s">
        <v>150</v>
      </c>
      <c r="D58" s="334"/>
      <c r="E58" s="334"/>
      <c r="F58" s="295">
        <f>'Green Ridge'!F145/$A$1</f>
        <v>1136.1382322092743</v>
      </c>
      <c r="G58" s="295">
        <f>'Green Ridge'!G145/$A$1</f>
        <v>827.58077025409614</v>
      </c>
      <c r="H58" s="295">
        <f>'Green Ridge'!H145/$A$1</f>
        <v>993.47893419265142</v>
      </c>
      <c r="I58" s="295">
        <f>'Green Ridge'!I145/$A$1</f>
        <v>869.18768313154965</v>
      </c>
      <c r="J58" s="295">
        <f>'Green Ridge'!J145/$A$1</f>
        <v>1010.7875830943551</v>
      </c>
      <c r="K58" s="295">
        <f>'Green Ridge'!K145/$A$1</f>
        <v>1148.0335791959189</v>
      </c>
      <c r="L58" s="295">
        <f>'Green Ridge'!L145/$A$1</f>
        <v>1282.7870754335922</v>
      </c>
      <c r="M58" s="295">
        <f>'Green Ridge'!M145/$A$1</f>
        <v>1318.4248988161721</v>
      </c>
      <c r="N58" s="295">
        <f>'Green Ridge'!N145/$A$1</f>
        <v>1339.7655487283973</v>
      </c>
      <c r="O58" s="295">
        <f>'Green Ridge'!O145/$A$1</f>
        <v>1408.3055497011719</v>
      </c>
      <c r="P58" s="295">
        <f>'Green Ridge'!P145/$A$1</f>
        <v>1475.2102605784357</v>
      </c>
      <c r="Q58" s="295">
        <f>'Green Ridge'!Q145/$A$1</f>
        <v>1540.4404477181063</v>
      </c>
      <c r="R58" s="295">
        <f>'Green Ridge'!R145/$A$1</f>
        <v>1391.5787944602057</v>
      </c>
      <c r="S58" s="295">
        <f>'Green Ridge'!S145/$A$1</f>
        <v>0</v>
      </c>
      <c r="T58" s="295">
        <f>'Green Ridge'!T145/$A$1</f>
        <v>0</v>
      </c>
      <c r="U58" s="295">
        <f>'Green Ridge'!U145/$A$1</f>
        <v>0</v>
      </c>
      <c r="V58" s="295">
        <f>'Green Ridge'!V145/$A$1</f>
        <v>0</v>
      </c>
      <c r="W58" s="295">
        <f>'Green Ridge'!W145/$A$1</f>
        <v>0</v>
      </c>
      <c r="X58" s="295">
        <f>'Green Ridge'!X145/$A$1</f>
        <v>0</v>
      </c>
      <c r="Y58" s="295">
        <f>'Green Ridge'!Y145/$A$1</f>
        <v>0</v>
      </c>
      <c r="Z58" s="295">
        <f>'Green Ridge'!Z145/$A$1</f>
        <v>0</v>
      </c>
      <c r="AB58" s="334"/>
      <c r="AC58" s="334"/>
      <c r="AD58" s="334"/>
      <c r="AE58" s="334"/>
      <c r="AF58" s="334"/>
      <c r="AG58" s="334"/>
      <c r="AH58" s="334"/>
      <c r="AI58" s="334"/>
    </row>
    <row r="59" spans="1:35">
      <c r="A59" s="334"/>
      <c r="B59" s="334"/>
      <c r="C59" s="334" t="s">
        <v>164</v>
      </c>
      <c r="D59" s="334"/>
      <c r="E59" s="334"/>
      <c r="F59" s="295">
        <f>'Mojave 16-18'!F145/$A$1</f>
        <v>566.75388675008264</v>
      </c>
      <c r="G59" s="295">
        <f>'Mojave 16-18'!G145/$A$1</f>
        <v>551.8977771785859</v>
      </c>
      <c r="H59" s="295">
        <f>'Mojave 16-18'!H145/$A$1</f>
        <v>567.24442867460687</v>
      </c>
      <c r="I59" s="295">
        <f>'Mojave 16-18'!I145/$A$1</f>
        <v>604.94367430517252</v>
      </c>
      <c r="J59" s="295">
        <f>'Mojave 16-18'!J145/$A$1</f>
        <v>614.17561065558175</v>
      </c>
      <c r="K59" s="295">
        <f>'Mojave 16-18'!K145/$A$1</f>
        <v>640.89497119175098</v>
      </c>
      <c r="L59" s="295">
        <f>'Mojave 16-18'!L145/$A$1</f>
        <v>649.73546989647616</v>
      </c>
      <c r="M59" s="295">
        <f>'Mojave 16-18'!M145/$A$1</f>
        <v>658.21627685153067</v>
      </c>
      <c r="N59" s="295">
        <f>'Mojave 16-18'!N145/$A$1</f>
        <v>401.38916877551083</v>
      </c>
      <c r="O59" s="295">
        <f>'Mojave 16-18'!O145/$A$1</f>
        <v>157.51160514237358</v>
      </c>
      <c r="P59" s="295">
        <f>'Mojave 16-18'!P145/$A$1</f>
        <v>169.49697926790435</v>
      </c>
      <c r="Q59" s="295">
        <f>'Mojave 16-18'!Q145/$A$1</f>
        <v>181.35082845813326</v>
      </c>
      <c r="R59" s="295">
        <f>'Mojave 16-18'!R145/$A$1</f>
        <v>193.12420114799235</v>
      </c>
      <c r="S59" s="295">
        <f>'Mojave 16-18'!S145/$A$1</f>
        <v>197.84644044696822</v>
      </c>
      <c r="T59" s="295">
        <f>'Mojave 16-18'!T145/$A$1</f>
        <v>203.54895497056268</v>
      </c>
      <c r="U59" s="295">
        <f>'Mojave 16-18'!U145/$A$1</f>
        <v>208.00443253287267</v>
      </c>
      <c r="V59" s="295">
        <f>'Mojave 16-18'!V145/$A$1</f>
        <v>212.10155739910891</v>
      </c>
      <c r="W59" s="295">
        <f>'Mojave 16-18'!W145/$A$1</f>
        <v>224.45463932990361</v>
      </c>
      <c r="X59" s="295">
        <f>'Mojave 16-18'!X145/$A$1</f>
        <v>-56.077595681682183</v>
      </c>
      <c r="Y59" s="295">
        <f>'Mojave 16-18'!Y145/$A$1</f>
        <v>0</v>
      </c>
      <c r="Z59" s="295">
        <f>'Mojave 16-18'!Z145/$A$1</f>
        <v>0</v>
      </c>
      <c r="AB59" s="334"/>
      <c r="AC59" s="334"/>
      <c r="AD59" s="334"/>
      <c r="AE59" s="334"/>
      <c r="AF59" s="334"/>
      <c r="AG59" s="334"/>
      <c r="AH59" s="334"/>
      <c r="AI59" s="334"/>
    </row>
    <row r="60" spans="1:35">
      <c r="A60" s="334"/>
      <c r="B60" s="334"/>
      <c r="C60" s="334" t="s">
        <v>152</v>
      </c>
      <c r="D60" s="334"/>
      <c r="E60" s="334"/>
      <c r="F60" s="295">
        <f>Morwind!F145/$A$1</f>
        <v>770.59806064934662</v>
      </c>
      <c r="G60" s="295">
        <f>Morwind!G145/$A$1</f>
        <v>675.01756951157313</v>
      </c>
      <c r="H60" s="295">
        <f>Morwind!H145/$A$1</f>
        <v>779.45116836007696</v>
      </c>
      <c r="I60" s="295">
        <f>Morwind!I145/$A$1</f>
        <v>799.67663586166918</v>
      </c>
      <c r="J60" s="295">
        <f>Morwind!J145/$A$1</f>
        <v>832.42901429252584</v>
      </c>
      <c r="K60" s="295">
        <f>Morwind!K145/$A$1</f>
        <v>858.71912931446491</v>
      </c>
      <c r="L60" s="295">
        <f>Morwind!L145/$A$1</f>
        <v>906.69691251607219</v>
      </c>
      <c r="M60" s="295">
        <f>Morwind!M145/$A$1</f>
        <v>930.64062823684105</v>
      </c>
      <c r="N60" s="295">
        <f>Morwind!N145/$A$1</f>
        <v>734.01034416025175</v>
      </c>
      <c r="O60" s="295">
        <f>Morwind!O145/$A$1</f>
        <v>503.43351723308757</v>
      </c>
      <c r="P60" s="295">
        <f>Morwind!P145/$A$1</f>
        <v>234.07294879771922</v>
      </c>
      <c r="Q60" s="295">
        <f>Morwind!Q145/$A$1</f>
        <v>237.67548673424847</v>
      </c>
      <c r="R60" s="295">
        <f>Morwind!R145/$A$1</f>
        <v>242.06564670844091</v>
      </c>
      <c r="S60" s="295">
        <f>Morwind!S145/$A$1</f>
        <v>243.91971855109801</v>
      </c>
      <c r="T60" s="295">
        <f>Morwind!T145/$A$1</f>
        <v>275.21463598173818</v>
      </c>
      <c r="U60" s="295">
        <f>Morwind!U145/$A$1</f>
        <v>366.78691680518489</v>
      </c>
      <c r="V60" s="295">
        <f>Morwind!V145/$A$1</f>
        <v>0</v>
      </c>
      <c r="W60" s="295">
        <f>Morwind!W145/$A$1</f>
        <v>0</v>
      </c>
      <c r="X60" s="295">
        <f>Morwind!X145/$A$1</f>
        <v>0</v>
      </c>
      <c r="Y60" s="295">
        <f>Morwind!Y145/$A$1</f>
        <v>0</v>
      </c>
      <c r="Z60" s="295">
        <f>Morwind!Z145/$A$1</f>
        <v>0</v>
      </c>
      <c r="AB60" s="334"/>
      <c r="AC60" s="334"/>
      <c r="AD60" s="334"/>
      <c r="AE60" s="334"/>
      <c r="AF60" s="334"/>
      <c r="AG60" s="334"/>
      <c r="AH60" s="334"/>
      <c r="AI60" s="334"/>
    </row>
    <row r="61" spans="1:35" ht="15">
      <c r="A61" s="334"/>
      <c r="B61" s="334"/>
      <c r="C61" s="334" t="s">
        <v>153</v>
      </c>
      <c r="D61" s="334"/>
      <c r="E61" s="334"/>
      <c r="F61" s="1161">
        <f>VG!F145/$A$1</f>
        <v>525.10864697484419</v>
      </c>
      <c r="G61" s="1161">
        <f>VG!G145/$A$1</f>
        <v>531.43433594709381</v>
      </c>
      <c r="H61" s="1161">
        <f>VG!H145/$A$1</f>
        <v>537.85656118259169</v>
      </c>
      <c r="I61" s="1161">
        <f>VG!I145/$A$1</f>
        <v>544.37665384214733</v>
      </c>
      <c r="J61" s="1161">
        <f>VG!J145/$A$1</f>
        <v>550.995959718221</v>
      </c>
      <c r="K61" s="1161">
        <f>VG!K145/$A$1</f>
        <v>550.04303376991641</v>
      </c>
      <c r="L61" s="1161">
        <f>VG!L145/$A$1</f>
        <v>548.88514450473838</v>
      </c>
      <c r="M61" s="1161">
        <f>VG!M145/$A$1</f>
        <v>547.51447454512368</v>
      </c>
      <c r="N61" s="1161">
        <f>VG!N145/$A$1</f>
        <v>545.922975803437</v>
      </c>
      <c r="O61" s="1161">
        <f>VG!O145/$A$1</f>
        <v>554.1654825164801</v>
      </c>
      <c r="P61" s="1161">
        <f>VG!P145/$A$1</f>
        <v>562.57287234979196</v>
      </c>
      <c r="Q61" s="1161">
        <f>VG!Q145/$A$1</f>
        <v>571.14844360900577</v>
      </c>
      <c r="R61" s="1161">
        <f>VG!R145/$A$1</f>
        <v>579.89556057840844</v>
      </c>
      <c r="S61" s="1161">
        <f>VG!S145/$A$1</f>
        <v>576.44736080053053</v>
      </c>
      <c r="T61" s="1161">
        <f>VG!T145/$A$1</f>
        <v>0</v>
      </c>
      <c r="U61" s="1161">
        <f>VG!U145/$A$1</f>
        <v>0</v>
      </c>
      <c r="V61" s="1161">
        <f>VG!V145/$A$1</f>
        <v>0</v>
      </c>
      <c r="W61" s="1161">
        <f>VG!W145/$A$1</f>
        <v>0</v>
      </c>
      <c r="X61" s="1161">
        <f>VG!X145/$A$1</f>
        <v>0</v>
      </c>
      <c r="Y61" s="1161">
        <f>VG!Y145/$A$1</f>
        <v>0</v>
      </c>
      <c r="Z61" s="1161">
        <f>VG!Z145/$A$1</f>
        <v>0</v>
      </c>
      <c r="AB61" s="334"/>
      <c r="AC61" s="334"/>
      <c r="AD61" s="334"/>
      <c r="AE61" s="334"/>
      <c r="AF61" s="334"/>
      <c r="AG61" s="334"/>
      <c r="AH61" s="334"/>
      <c r="AI61" s="334"/>
    </row>
    <row r="62" spans="1:35">
      <c r="A62" s="334"/>
      <c r="B62" s="334"/>
      <c r="C62" s="334"/>
      <c r="D62" s="334"/>
      <c r="E62" s="334"/>
      <c r="F62" s="295">
        <f>SUM(F54:F61)</f>
        <v>14747.808996934704</v>
      </c>
      <c r="G62" s="295">
        <f t="shared" ref="G62:Z62" si="7">SUM(G54:G61)</f>
        <v>11430.539215520805</v>
      </c>
      <c r="H62" s="295">
        <f t="shared" si="7"/>
        <v>11805.849643903193</v>
      </c>
      <c r="I62" s="295">
        <f t="shared" si="7"/>
        <v>11579.013269258501</v>
      </c>
      <c r="J62" s="295">
        <f t="shared" si="7"/>
        <v>12398.348432616971</v>
      </c>
      <c r="K62" s="295">
        <f t="shared" si="7"/>
        <v>12882.250104906389</v>
      </c>
      <c r="L62" s="295">
        <f t="shared" si="7"/>
        <v>13104.148190505823</v>
      </c>
      <c r="M62" s="295">
        <f t="shared" si="7"/>
        <v>13335.393070142401</v>
      </c>
      <c r="N62" s="295">
        <f t="shared" si="7"/>
        <v>10634.255880990286</v>
      </c>
      <c r="O62" s="295">
        <f t="shared" si="7"/>
        <v>8703.729219832423</v>
      </c>
      <c r="P62" s="295">
        <f t="shared" si="7"/>
        <v>8455.1032516927644</v>
      </c>
      <c r="Q62" s="295">
        <f t="shared" si="7"/>
        <v>8505.1100969163799</v>
      </c>
      <c r="R62" s="295">
        <f t="shared" si="7"/>
        <v>8292.1464967570373</v>
      </c>
      <c r="S62" s="295">
        <f t="shared" si="7"/>
        <v>7016.8997623619598</v>
      </c>
      <c r="T62" s="295">
        <f t="shared" si="7"/>
        <v>5201.5348537764849</v>
      </c>
      <c r="U62" s="295">
        <f t="shared" si="7"/>
        <v>4510.2866377101973</v>
      </c>
      <c r="V62" s="295">
        <f t="shared" si="7"/>
        <v>4447.8903367036564</v>
      </c>
      <c r="W62" s="295">
        <f t="shared" si="7"/>
        <v>4470.2686400952289</v>
      </c>
      <c r="X62" s="295">
        <f t="shared" si="7"/>
        <v>2727.3811819453276</v>
      </c>
      <c r="Y62" s="295">
        <f t="shared" si="7"/>
        <v>2591.7280031264122</v>
      </c>
      <c r="Z62" s="295">
        <f t="shared" si="7"/>
        <v>0</v>
      </c>
      <c r="AB62" s="334"/>
      <c r="AC62" s="334"/>
      <c r="AD62" s="334"/>
      <c r="AE62" s="334"/>
      <c r="AF62" s="334"/>
      <c r="AG62" s="334"/>
      <c r="AH62" s="334"/>
      <c r="AI62" s="334"/>
    </row>
    <row r="63" spans="1:35">
      <c r="A63" s="334"/>
      <c r="B63" s="334"/>
      <c r="C63" s="334"/>
      <c r="D63" s="334"/>
      <c r="E63" s="334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B63" s="334"/>
      <c r="AC63" s="334"/>
      <c r="AD63" s="334"/>
      <c r="AE63" s="334"/>
      <c r="AF63" s="334"/>
      <c r="AG63" s="334"/>
      <c r="AH63" s="334"/>
      <c r="AI63" s="334"/>
    </row>
    <row r="64" spans="1:35">
      <c r="A64" s="334"/>
      <c r="B64" s="334"/>
      <c r="C64" s="334"/>
      <c r="D64" s="334"/>
      <c r="E64" s="334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B64" s="334"/>
      <c r="AC64" s="334"/>
      <c r="AD64" s="334"/>
      <c r="AE64" s="334"/>
      <c r="AF64" s="334"/>
      <c r="AG64" s="334"/>
      <c r="AH64" s="334"/>
      <c r="AI64" s="334"/>
    </row>
    <row r="65" spans="1:35">
      <c r="A65" s="334"/>
      <c r="B65" s="582" t="s">
        <v>165</v>
      </c>
      <c r="C65" s="334"/>
      <c r="D65" s="334"/>
      <c r="E65" s="334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B65" s="334"/>
      <c r="AC65" s="334"/>
      <c r="AD65" s="334"/>
      <c r="AE65" s="334"/>
      <c r="AF65" s="334"/>
      <c r="AG65" s="334"/>
      <c r="AH65" s="334"/>
      <c r="AI65" s="334"/>
    </row>
    <row r="66" spans="1:35">
      <c r="A66" s="334"/>
      <c r="B66" s="334"/>
      <c r="C66" s="334" t="s">
        <v>154</v>
      </c>
      <c r="D66" s="334"/>
      <c r="E66" s="334"/>
      <c r="F66" s="295">
        <f>'WPP 92'!F$145</f>
        <v>305.32005777767631</v>
      </c>
      <c r="G66" s="295">
        <f>'WPP 92'!G$145</f>
        <v>235.2974236726333</v>
      </c>
      <c r="H66" s="295">
        <f>'WPP 92'!H$145</f>
        <v>241.04887734654676</v>
      </c>
      <c r="I66" s="295">
        <f>'WPP 92'!I$145</f>
        <v>242.85488808431359</v>
      </c>
      <c r="J66" s="295">
        <f>'WPP 92'!J$145</f>
        <v>250.24913870654669</v>
      </c>
      <c r="K66" s="295">
        <f>'WPP 92'!K$145</f>
        <v>255.33036116006969</v>
      </c>
      <c r="L66" s="295">
        <f>'WPP 92'!L$145</f>
        <v>260.68690087483947</v>
      </c>
      <c r="M66" s="295">
        <f>'WPP 92'!M$145</f>
        <v>271.3584660874393</v>
      </c>
      <c r="N66" s="295">
        <f>'WPP 92'!N$145</f>
        <v>275.33666604837367</v>
      </c>
      <c r="O66" s="295">
        <f>'WPP 92'!O$145</f>
        <v>279.67047979223923</v>
      </c>
      <c r="P66" s="295">
        <f>'WPP 92'!P$145</f>
        <v>284.07690496641362</v>
      </c>
      <c r="Q66" s="295">
        <f>'WPP 92'!Q$145</f>
        <v>297.1343062530018</v>
      </c>
      <c r="R66" s="295">
        <f>'WPP 92'!R$145</f>
        <v>295.53958753896825</v>
      </c>
      <c r="S66" s="295">
        <f>'WPP 92'!S$145</f>
        <v>293.95375439972361</v>
      </c>
      <c r="T66" s="295">
        <f>'WPP 92'!T$145</f>
        <v>292.08679910237311</v>
      </c>
      <c r="U66" s="295">
        <f>'WPP 92'!U$145</f>
        <v>290.20316093607079</v>
      </c>
      <c r="V66" s="295">
        <f>'WPP 92'!V$145</f>
        <v>0</v>
      </c>
      <c r="W66" s="295">
        <f>'WPP 92'!W$145</f>
        <v>0</v>
      </c>
      <c r="X66" s="295">
        <f>'WPP 92'!X$145</f>
        <v>0</v>
      </c>
      <c r="Y66" s="295">
        <f>'WPP 92'!Y$145</f>
        <v>0</v>
      </c>
      <c r="Z66" s="295">
        <f>'WPP 92'!Z$145</f>
        <v>0</v>
      </c>
      <c r="AB66" s="334"/>
      <c r="AC66" s="334"/>
      <c r="AD66" s="334"/>
      <c r="AE66" s="334"/>
      <c r="AF66" s="334"/>
      <c r="AG66" s="334"/>
      <c r="AH66" s="334"/>
      <c r="AI66" s="334"/>
    </row>
    <row r="67" spans="1:35">
      <c r="A67" s="334"/>
      <c r="B67" s="334"/>
      <c r="C67" s="334" t="s">
        <v>155</v>
      </c>
      <c r="D67" s="334"/>
      <c r="E67" s="334"/>
      <c r="F67" s="295">
        <f>'WPP 91-2'!F$145</f>
        <v>191.18869046926199</v>
      </c>
      <c r="G67" s="295">
        <f>'WPP 91-2'!G$145</f>
        <v>131.81450068137764</v>
      </c>
      <c r="H67" s="295">
        <f>'WPP 91-2'!H$145</f>
        <v>134.9512857655327</v>
      </c>
      <c r="I67" s="295">
        <f>'WPP 91-2'!I$145</f>
        <v>134.93135232945485</v>
      </c>
      <c r="J67" s="295">
        <f>'WPP 91-2'!J$145</f>
        <v>139.31590546885769</v>
      </c>
      <c r="K67" s="295">
        <f>'WPP 91-2'!K$145</f>
        <v>130.48680332782928</v>
      </c>
      <c r="L67" s="295">
        <f>'WPP 91-2'!L$145</f>
        <v>130.40435285135987</v>
      </c>
      <c r="M67" s="295">
        <f>'WPP 91-2'!M$145</f>
        <v>136.83523844132444</v>
      </c>
      <c r="N67" s="295">
        <f>'WPP 91-2'!N$145</f>
        <v>138.01934035392475</v>
      </c>
      <c r="O67" s="295">
        <f>'WPP 91-2'!O$145</f>
        <v>139.42878755914074</v>
      </c>
      <c r="P67" s="295">
        <f>'WPP 91-2'!P$145</f>
        <v>140.83913809223932</v>
      </c>
      <c r="Q67" s="295">
        <f>'WPP 91-2'!Q$145</f>
        <v>148.91279037425215</v>
      </c>
      <c r="R67" s="295">
        <f>'WPP 91-2'!R$145</f>
        <v>145.34401269491374</v>
      </c>
      <c r="S67" s="295">
        <f>'WPP 91-2'!S$145</f>
        <v>141.71902960214985</v>
      </c>
      <c r="T67" s="295">
        <f>'WPP 91-2'!T$145</f>
        <v>137.79715043858829</v>
      </c>
      <c r="U67" s="295">
        <f>'WPP 91-2'!U$145</f>
        <v>0</v>
      </c>
      <c r="V67" s="295">
        <f>'WPP 91-2'!V$145</f>
        <v>0</v>
      </c>
      <c r="W67" s="295">
        <f>'WPP 91-2'!W$145</f>
        <v>0</v>
      </c>
      <c r="X67" s="295">
        <f>'WPP 91-2'!X$145</f>
        <v>0</v>
      </c>
      <c r="Y67" s="295">
        <f>'WPP 91-2'!Y$145</f>
        <v>0</v>
      </c>
      <c r="Z67" s="295">
        <f>'WPP 91-2'!Z$145</f>
        <v>0</v>
      </c>
      <c r="AB67" s="334"/>
      <c r="AC67" s="334"/>
      <c r="AD67" s="334"/>
      <c r="AE67" s="334"/>
      <c r="AF67" s="334"/>
      <c r="AG67" s="334"/>
      <c r="AH67" s="334"/>
      <c r="AI67" s="334"/>
    </row>
    <row r="68" spans="1:35">
      <c r="A68" s="334"/>
      <c r="B68" s="334"/>
      <c r="C68" s="334" t="s">
        <v>156</v>
      </c>
      <c r="D68" s="334"/>
      <c r="E68" s="334"/>
      <c r="F68" s="295">
        <v>0</v>
      </c>
      <c r="G68" s="295">
        <v>0</v>
      </c>
      <c r="H68" s="295">
        <v>0</v>
      </c>
      <c r="I68" s="295">
        <v>0</v>
      </c>
      <c r="J68" s="295">
        <v>0</v>
      </c>
      <c r="K68" s="295">
        <v>0</v>
      </c>
      <c r="L68" s="295">
        <v>0</v>
      </c>
      <c r="M68" s="295">
        <v>0</v>
      </c>
      <c r="N68" s="295">
        <v>0</v>
      </c>
      <c r="O68" s="295">
        <v>0</v>
      </c>
      <c r="P68" s="295">
        <v>0</v>
      </c>
      <c r="Q68" s="295">
        <v>0</v>
      </c>
      <c r="R68" s="295">
        <v>0</v>
      </c>
      <c r="S68" s="295">
        <v>0</v>
      </c>
      <c r="T68" s="295">
        <v>0</v>
      </c>
      <c r="U68" s="295">
        <v>0</v>
      </c>
      <c r="V68" s="295">
        <v>0</v>
      </c>
      <c r="W68" s="295">
        <v>0</v>
      </c>
      <c r="X68" s="295">
        <v>0</v>
      </c>
      <c r="Y68" s="295">
        <v>0</v>
      </c>
      <c r="Z68" s="295">
        <v>0</v>
      </c>
      <c r="AB68" s="334"/>
      <c r="AC68" s="334"/>
      <c r="AD68" s="334"/>
      <c r="AE68" s="334"/>
      <c r="AF68" s="334"/>
      <c r="AG68" s="334"/>
      <c r="AH68" s="334"/>
      <c r="AI68" s="334"/>
    </row>
    <row r="69" spans="1:35">
      <c r="A69" s="334"/>
      <c r="B69" s="334"/>
      <c r="C69" s="334" t="s">
        <v>157</v>
      </c>
      <c r="D69" s="334"/>
      <c r="E69" s="334"/>
      <c r="F69" s="295">
        <f>'WPP 89'!F$145</f>
        <v>535.43508789738473</v>
      </c>
      <c r="G69" s="295">
        <f>'WPP 89'!G$145</f>
        <v>410.98885605384362</v>
      </c>
      <c r="H69" s="295">
        <f>'WPP 89'!H$145</f>
        <v>423.11955889252374</v>
      </c>
      <c r="I69" s="295">
        <f>'WPP 89'!I$145</f>
        <v>427.5079623102182</v>
      </c>
      <c r="J69" s="295">
        <f>'WPP 89'!J$145</f>
        <v>442.7545680086036</v>
      </c>
      <c r="K69" s="295">
        <f>'WPP 89'!K$145</f>
        <v>453.31666913644602</v>
      </c>
      <c r="L69" s="295">
        <f>'WPP 89'!L$145</f>
        <v>464.34730936045844</v>
      </c>
      <c r="M69" s="295">
        <f>'WPP 89'!M$145</f>
        <v>485.58449319254646</v>
      </c>
      <c r="N69" s="295">
        <f>'WPP 89'!N$145</f>
        <v>492.73225018517212</v>
      </c>
      <c r="O69" s="295">
        <f>'WPP 89'!O$145</f>
        <v>500.18214829615584</v>
      </c>
      <c r="P69" s="295">
        <f>'WPP 89'!P$145</f>
        <v>507.34790466990984</v>
      </c>
      <c r="Q69" s="295">
        <f>'WPP 89'!Q$145</f>
        <v>530.7886617695126</v>
      </c>
      <c r="R69" s="295">
        <f>'WPP 89'!R$145</f>
        <v>523.90191686715923</v>
      </c>
      <c r="S69" s="295">
        <f>'WPP 89'!S$145</f>
        <v>516.16774946619421</v>
      </c>
      <c r="T69" s="295">
        <f>'WPP 89'!T$145</f>
        <v>506.85534364851623</v>
      </c>
      <c r="U69" s="295">
        <f>'WPP 89'!U$145</f>
        <v>496.2496935251142</v>
      </c>
      <c r="V69" s="295">
        <f>'WPP 89'!V$145</f>
        <v>527.00251369938542</v>
      </c>
      <c r="W69" s="295">
        <f>'WPP 89'!W$145</f>
        <v>558.65611940870997</v>
      </c>
      <c r="X69" s="295">
        <f>'WPP 89'!X$145</f>
        <v>591.23663343360545</v>
      </c>
      <c r="Y69" s="295">
        <f>'WPP 89'!Y$145</f>
        <v>0</v>
      </c>
      <c r="Z69" s="295">
        <f>'WPP 89'!Z$145</f>
        <v>0</v>
      </c>
      <c r="AB69" s="334"/>
      <c r="AC69" s="334"/>
      <c r="AD69" s="334"/>
      <c r="AE69" s="334"/>
      <c r="AF69" s="334"/>
      <c r="AG69" s="334"/>
      <c r="AH69" s="334"/>
      <c r="AI69" s="334"/>
    </row>
    <row r="70" spans="1:35">
      <c r="A70" s="334"/>
      <c r="B70" s="334"/>
      <c r="C70" s="334" t="s">
        <v>158</v>
      </c>
      <c r="D70" s="334"/>
      <c r="E70" s="334"/>
      <c r="F70" s="295">
        <f>'WPP 91'!F$145</f>
        <v>277.55380727481224</v>
      </c>
      <c r="G70" s="295">
        <f>'WPP 91'!G$145</f>
        <v>188.20750745021823</v>
      </c>
      <c r="H70" s="295">
        <f>'WPP 91'!H$145</f>
        <v>191.42607466293606</v>
      </c>
      <c r="I70" s="295">
        <f>'WPP 91'!I$145</f>
        <v>192.89681138793148</v>
      </c>
      <c r="J70" s="295">
        <f>'WPP 91'!J$145</f>
        <v>196.86311945477252</v>
      </c>
      <c r="K70" s="295">
        <f>'WPP 91'!K$145</f>
        <v>199.97321345018412</v>
      </c>
      <c r="L70" s="295">
        <f>'WPP 91'!L$145</f>
        <v>198.14966470719941</v>
      </c>
      <c r="M70" s="295">
        <f>'WPP 91'!M$145</f>
        <v>198.49415969157741</v>
      </c>
      <c r="N70" s="295">
        <f>'WPP 91'!N$145</f>
        <v>195.85667061796977</v>
      </c>
      <c r="O70" s="295">
        <f>'WPP 91'!O$145</f>
        <v>193.13359112000131</v>
      </c>
      <c r="P70" s="295">
        <f>'WPP 91'!P$145</f>
        <v>192.67557879613241</v>
      </c>
      <c r="Q70" s="295">
        <f>'WPP 91'!Q$145</f>
        <v>195.75770711199254</v>
      </c>
      <c r="R70" s="295">
        <f>'WPP 91'!R$145</f>
        <v>192.85228028289754</v>
      </c>
      <c r="S70" s="295">
        <f>'WPP 91'!S$145</f>
        <v>189.8034485780949</v>
      </c>
      <c r="T70" s="295">
        <f>'WPP 91'!T$145</f>
        <v>197.67038456753397</v>
      </c>
      <c r="U70" s="295">
        <f>'WPP 91'!U$145</f>
        <v>-16.058357109087304</v>
      </c>
      <c r="V70" s="295">
        <f>'WPP 91'!V$145</f>
        <v>-21.710049971737529</v>
      </c>
      <c r="W70" s="295">
        <f>'WPP 91'!W$145</f>
        <v>-27.617971612547542</v>
      </c>
      <c r="X70" s="295">
        <f>'WPP 91'!X$145</f>
        <v>0</v>
      </c>
      <c r="Y70" s="295">
        <f>'WPP 91'!Y$145</f>
        <v>0</v>
      </c>
      <c r="Z70" s="295">
        <f>'WPP 91'!Z$145</f>
        <v>0</v>
      </c>
      <c r="AB70" s="334"/>
      <c r="AC70" s="334"/>
      <c r="AD70" s="334"/>
      <c r="AE70" s="334"/>
      <c r="AF70" s="334"/>
      <c r="AG70" s="334"/>
      <c r="AH70" s="334"/>
      <c r="AI70" s="334"/>
    </row>
    <row r="71" spans="1:35">
      <c r="A71" s="334"/>
      <c r="B71" s="334"/>
      <c r="C71" s="334" t="s">
        <v>159</v>
      </c>
      <c r="D71" s="334"/>
      <c r="E71" s="334"/>
      <c r="F71" s="295">
        <f>'WPP 90'!F$145</f>
        <v>99.176483355220995</v>
      </c>
      <c r="G71" s="295">
        <f>'WPP 90'!G$145</f>
        <v>104.91672006470952</v>
      </c>
      <c r="H71" s="295">
        <f>'WPP 90'!H$145</f>
        <v>108.66016167025688</v>
      </c>
      <c r="I71" s="295">
        <f>'WPP 90'!I$145</f>
        <v>110.16669359150343</v>
      </c>
      <c r="J71" s="295">
        <f>'WPP 90'!J$145</f>
        <v>114.76615336224597</v>
      </c>
      <c r="K71" s="295">
        <f>'WPP 90'!K$145</f>
        <v>110.86626327216118</v>
      </c>
      <c r="L71" s="295">
        <f>'WPP 90'!L$145</f>
        <v>112.55714580539311</v>
      </c>
      <c r="M71" s="295">
        <f>'WPP 90'!M$145</f>
        <v>118.75640981107117</v>
      </c>
      <c r="N71" s="295">
        <f>'WPP 90'!N$145</f>
        <v>121.05132223822575</v>
      </c>
      <c r="O71" s="295">
        <f>'WPP 90'!O$145</f>
        <v>123.5574413118272</v>
      </c>
      <c r="P71" s="295">
        <f>'WPP 90'!P$145</f>
        <v>125.72225789074514</v>
      </c>
      <c r="Q71" s="295">
        <f>'WPP 90'!Q$145</f>
        <v>132.64604158588054</v>
      </c>
      <c r="R71" s="295">
        <f>'WPP 90'!R$145</f>
        <v>131.25449270282451</v>
      </c>
      <c r="S71" s="295">
        <f>'WPP 90'!S$145</f>
        <v>129.84521287542552</v>
      </c>
      <c r="T71" s="295">
        <f>'WPP 90'!T$145</f>
        <v>128.26568180557823</v>
      </c>
      <c r="U71" s="295">
        <f>'WPP 90'!U$145</f>
        <v>126.66000296018605</v>
      </c>
      <c r="V71" s="295">
        <f>'WPP 90'!V$145</f>
        <v>129.10718257530226</v>
      </c>
      <c r="W71" s="295">
        <f>'WPP 90'!W$145</f>
        <v>137.43095322002921</v>
      </c>
      <c r="X71" s="295">
        <f>'WPP 90'!X$145</f>
        <v>0</v>
      </c>
      <c r="Y71" s="295">
        <f>'WPP 90'!Y$145</f>
        <v>0</v>
      </c>
      <c r="Z71" s="295">
        <f>'WPP 90'!Z$145</f>
        <v>0</v>
      </c>
      <c r="AB71" s="334"/>
      <c r="AC71" s="334"/>
      <c r="AD71" s="334"/>
      <c r="AE71" s="334"/>
      <c r="AF71" s="334"/>
      <c r="AG71" s="334"/>
      <c r="AH71" s="334"/>
      <c r="AI71" s="334"/>
    </row>
    <row r="72" spans="1:35" ht="15">
      <c r="A72" s="334"/>
      <c r="B72" s="334"/>
      <c r="C72" s="334" t="s">
        <v>160</v>
      </c>
      <c r="D72" s="334"/>
      <c r="E72" s="334"/>
      <c r="F72" s="1161">
        <v>0</v>
      </c>
      <c r="G72" s="1161">
        <v>0</v>
      </c>
      <c r="H72" s="1161">
        <v>0</v>
      </c>
      <c r="I72" s="1161">
        <v>0</v>
      </c>
      <c r="J72" s="1161">
        <v>0</v>
      </c>
      <c r="K72" s="1161">
        <v>0</v>
      </c>
      <c r="L72" s="1161">
        <v>0</v>
      </c>
      <c r="M72" s="1161">
        <v>0</v>
      </c>
      <c r="N72" s="1161">
        <v>0</v>
      </c>
      <c r="O72" s="1161">
        <v>0</v>
      </c>
      <c r="P72" s="1161">
        <v>0</v>
      </c>
      <c r="Q72" s="1161">
        <v>0</v>
      </c>
      <c r="R72" s="1161">
        <v>0</v>
      </c>
      <c r="S72" s="1161">
        <v>0</v>
      </c>
      <c r="T72" s="1161">
        <v>0</v>
      </c>
      <c r="U72" s="1161">
        <v>0</v>
      </c>
      <c r="V72" s="1161">
        <v>0</v>
      </c>
      <c r="W72" s="1161">
        <v>0</v>
      </c>
      <c r="X72" s="1161">
        <v>0</v>
      </c>
      <c r="Y72" s="1161">
        <v>0</v>
      </c>
      <c r="Z72" s="1161">
        <v>0</v>
      </c>
      <c r="AB72" s="334"/>
      <c r="AC72" s="334"/>
      <c r="AD72" s="334"/>
      <c r="AE72" s="334"/>
      <c r="AF72" s="334"/>
      <c r="AG72" s="334"/>
      <c r="AH72" s="334"/>
      <c r="AI72" s="334"/>
    </row>
    <row r="73" spans="1:35">
      <c r="A73" s="334"/>
      <c r="B73" s="334"/>
      <c r="C73" s="334"/>
      <c r="D73" s="334"/>
      <c r="E73" s="334"/>
      <c r="F73" s="302">
        <f>SUM(F66:F72)</f>
        <v>1408.6741267743564</v>
      </c>
      <c r="G73" s="302">
        <f t="shared" ref="G73:Z73" si="8">SUM(G66:G72)</f>
        <v>1071.2250079227824</v>
      </c>
      <c r="H73" s="302">
        <f t="shared" si="8"/>
        <v>1099.2059583377961</v>
      </c>
      <c r="I73" s="302">
        <f t="shared" si="8"/>
        <v>1108.3577077034217</v>
      </c>
      <c r="J73" s="302">
        <f t="shared" si="8"/>
        <v>1143.9488850010266</v>
      </c>
      <c r="K73" s="302">
        <f t="shared" si="8"/>
        <v>1149.9733103466904</v>
      </c>
      <c r="L73" s="302">
        <f t="shared" si="8"/>
        <v>1166.1453735992502</v>
      </c>
      <c r="M73" s="302">
        <f t="shared" si="8"/>
        <v>1211.0287672239588</v>
      </c>
      <c r="N73" s="302">
        <f t="shared" si="8"/>
        <v>1222.9962494436661</v>
      </c>
      <c r="O73" s="302">
        <f t="shared" si="8"/>
        <v>1235.9724480793643</v>
      </c>
      <c r="P73" s="302">
        <f t="shared" si="8"/>
        <v>1250.6617844154403</v>
      </c>
      <c r="Q73" s="302">
        <f t="shared" si="8"/>
        <v>1305.2395070946395</v>
      </c>
      <c r="R73" s="302">
        <f t="shared" si="8"/>
        <v>1288.8922900867633</v>
      </c>
      <c r="S73" s="302">
        <f t="shared" si="8"/>
        <v>1271.489194921588</v>
      </c>
      <c r="T73" s="302">
        <f t="shared" si="8"/>
        <v>1262.6753595625898</v>
      </c>
      <c r="U73" s="302">
        <f t="shared" si="8"/>
        <v>897.05450031228372</v>
      </c>
      <c r="V73" s="302">
        <f t="shared" si="8"/>
        <v>634.39964630295015</v>
      </c>
      <c r="W73" s="302">
        <f t="shared" si="8"/>
        <v>668.46910101619164</v>
      </c>
      <c r="X73" s="302">
        <f t="shared" si="8"/>
        <v>591.23663343360545</v>
      </c>
      <c r="Y73" s="302">
        <f t="shared" si="8"/>
        <v>0</v>
      </c>
      <c r="Z73" s="302">
        <f t="shared" si="8"/>
        <v>0</v>
      </c>
      <c r="AB73" s="334"/>
      <c r="AC73" s="334"/>
      <c r="AD73" s="334"/>
      <c r="AE73" s="334"/>
      <c r="AF73" s="334"/>
      <c r="AG73" s="334"/>
      <c r="AH73" s="334"/>
      <c r="AI73" s="334"/>
    </row>
    <row r="74" spans="1:35">
      <c r="A74" s="334"/>
      <c r="B74" s="334"/>
      <c r="C74" s="334"/>
      <c r="D74" s="334"/>
      <c r="E74" s="334"/>
      <c r="AB74" s="334"/>
      <c r="AC74" s="334"/>
      <c r="AD74" s="334"/>
      <c r="AE74" s="334"/>
      <c r="AF74" s="334"/>
      <c r="AG74" s="334"/>
      <c r="AH74" s="334"/>
      <c r="AI74" s="334"/>
    </row>
    <row r="75" spans="1:35">
      <c r="A75" s="334"/>
      <c r="B75" s="334"/>
      <c r="C75" s="334"/>
      <c r="D75" s="334"/>
      <c r="E75" s="334"/>
      <c r="AB75" s="334"/>
      <c r="AC75" s="334"/>
      <c r="AD75" s="334"/>
      <c r="AE75" s="334"/>
      <c r="AF75" s="334"/>
      <c r="AG75" s="334"/>
      <c r="AH75" s="334"/>
      <c r="AI75" s="334"/>
    </row>
    <row r="76" spans="1:35" ht="13.5" thickBot="1">
      <c r="A76" s="334"/>
      <c r="B76" s="584" t="s">
        <v>166</v>
      </c>
      <c r="C76" s="334"/>
      <c r="D76" s="334"/>
      <c r="E76" s="334"/>
      <c r="F76" s="1127">
        <f>F73+F50+F62</f>
        <v>28738.561357832121</v>
      </c>
      <c r="G76" s="1127">
        <f t="shared" ref="G76:Z76" si="9">G73+G50+G62</f>
        <v>24897.281953534126</v>
      </c>
      <c r="H76" s="1127">
        <f t="shared" si="9"/>
        <v>25888.823412724567</v>
      </c>
      <c r="I76" s="1127">
        <f t="shared" si="9"/>
        <v>25589.653916129311</v>
      </c>
      <c r="J76" s="1127">
        <f t="shared" si="9"/>
        <v>26980.06147153967</v>
      </c>
      <c r="K76" s="1127">
        <f t="shared" si="9"/>
        <v>27683.390872303353</v>
      </c>
      <c r="L76" s="1127">
        <f t="shared" si="9"/>
        <v>28060.656918565597</v>
      </c>
      <c r="M76" s="1127">
        <f t="shared" si="9"/>
        <v>28440.198663683135</v>
      </c>
      <c r="N76" s="1127">
        <f t="shared" si="9"/>
        <v>17798.527258506227</v>
      </c>
      <c r="O76" s="1127">
        <f t="shared" si="9"/>
        <v>14346.632846714649</v>
      </c>
      <c r="P76" s="1127">
        <f t="shared" si="9"/>
        <v>14202.480449420938</v>
      </c>
      <c r="Q76" s="1127">
        <f t="shared" si="9"/>
        <v>14374.570369258698</v>
      </c>
      <c r="R76" s="1127">
        <f t="shared" si="9"/>
        <v>14185.015617925766</v>
      </c>
      <c r="S76" s="1127">
        <f t="shared" si="9"/>
        <v>12994.91273189901</v>
      </c>
      <c r="T76" s="1127">
        <f t="shared" si="9"/>
        <v>11242.553317735654</v>
      </c>
      <c r="U76" s="1127">
        <f t="shared" si="9"/>
        <v>10258.780846685151</v>
      </c>
      <c r="V76" s="1127">
        <f t="shared" si="9"/>
        <v>10008.645519031179</v>
      </c>
      <c r="W76" s="1127">
        <f t="shared" si="9"/>
        <v>9495.8115814733555</v>
      </c>
      <c r="X76" s="1127">
        <f t="shared" si="9"/>
        <v>4972.3225112703476</v>
      </c>
      <c r="Y76" s="1127">
        <f t="shared" si="9"/>
        <v>4592.7402906887019</v>
      </c>
      <c r="Z76" s="1127">
        <f t="shared" si="9"/>
        <v>0</v>
      </c>
      <c r="AB76" s="334"/>
      <c r="AC76" s="334"/>
      <c r="AD76" s="334"/>
      <c r="AE76" s="334"/>
      <c r="AF76" s="334"/>
      <c r="AG76" s="334"/>
      <c r="AH76" s="334"/>
      <c r="AI76" s="334"/>
    </row>
    <row r="77" spans="1:35" ht="13.5" thickTop="1">
      <c r="A77" s="334"/>
      <c r="B77" s="334"/>
      <c r="C77" s="334"/>
      <c r="D77" s="334"/>
      <c r="E77" s="334"/>
      <c r="AB77" s="334"/>
      <c r="AC77" s="334"/>
      <c r="AD77" s="334"/>
      <c r="AE77" s="334"/>
      <c r="AF77" s="334"/>
      <c r="AG77" s="334"/>
      <c r="AH77" s="334"/>
      <c r="AI77" s="334"/>
    </row>
    <row r="78" spans="1:35">
      <c r="A78" s="334"/>
      <c r="B78" s="723"/>
      <c r="C78" s="723"/>
      <c r="D78" s="723"/>
      <c r="E78" s="72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/>
      <c r="AB78" s="723"/>
      <c r="AC78" s="723"/>
      <c r="AD78" s="723"/>
      <c r="AE78" s="723"/>
      <c r="AF78" s="723"/>
      <c r="AG78" s="723"/>
      <c r="AH78" s="723"/>
      <c r="AI78" s="723"/>
    </row>
    <row r="79" spans="1:35">
      <c r="A79" s="334"/>
      <c r="B79" s="588"/>
      <c r="C79" s="334"/>
      <c r="D79" s="334"/>
      <c r="E79" s="334"/>
      <c r="AB79" s="334"/>
      <c r="AC79" s="334"/>
      <c r="AD79" s="334"/>
      <c r="AE79" s="334"/>
      <c r="AF79" s="334"/>
      <c r="AG79" s="334"/>
      <c r="AH79" s="334"/>
      <c r="AI79" s="334"/>
    </row>
    <row r="81" spans="2:26" ht="13.5" thickBot="1">
      <c r="B81" s="299"/>
      <c r="C81" s="299"/>
      <c r="D81" s="299"/>
      <c r="E81" s="299"/>
      <c r="F81" s="1158">
        <v>2001</v>
      </c>
      <c r="G81" s="1158">
        <f>+F81+1</f>
        <v>2002</v>
      </c>
      <c r="H81" s="1158">
        <f t="shared" ref="H81:Y81" si="10">+G81+1</f>
        <v>2003</v>
      </c>
      <c r="I81" s="1158">
        <f t="shared" si="10"/>
        <v>2004</v>
      </c>
      <c r="J81" s="1158">
        <f t="shared" si="10"/>
        <v>2005</v>
      </c>
      <c r="K81" s="1158">
        <f t="shared" si="10"/>
        <v>2006</v>
      </c>
      <c r="L81" s="1158">
        <f t="shared" si="10"/>
        <v>2007</v>
      </c>
      <c r="M81" s="1158">
        <f t="shared" si="10"/>
        <v>2008</v>
      </c>
      <c r="N81" s="1158">
        <f t="shared" si="10"/>
        <v>2009</v>
      </c>
      <c r="O81" s="1158">
        <f t="shared" si="10"/>
        <v>2010</v>
      </c>
      <c r="P81" s="1158">
        <f t="shared" si="10"/>
        <v>2011</v>
      </c>
      <c r="Q81" s="1158">
        <f t="shared" si="10"/>
        <v>2012</v>
      </c>
      <c r="R81" s="1158">
        <f t="shared" si="10"/>
        <v>2013</v>
      </c>
      <c r="S81" s="1158">
        <f t="shared" si="10"/>
        <v>2014</v>
      </c>
      <c r="T81" s="1158">
        <f t="shared" si="10"/>
        <v>2015</v>
      </c>
      <c r="U81" s="1158">
        <f t="shared" si="10"/>
        <v>2016</v>
      </c>
      <c r="V81" s="1158">
        <f t="shared" si="10"/>
        <v>2017</v>
      </c>
      <c r="W81" s="1158">
        <f t="shared" si="10"/>
        <v>2018</v>
      </c>
      <c r="X81" s="1158">
        <f t="shared" si="10"/>
        <v>2019</v>
      </c>
      <c r="Y81" s="1158">
        <f t="shared" si="10"/>
        <v>2020</v>
      </c>
      <c r="Z81" s="998">
        <f>Y81+1</f>
        <v>2021</v>
      </c>
    </row>
    <row r="82" spans="2:26" ht="15.75">
      <c r="B82" s="737" t="s">
        <v>35</v>
      </c>
      <c r="C82" s="1159"/>
      <c r="D82" s="1159"/>
      <c r="E82" s="565"/>
    </row>
    <row r="83" spans="2:26">
      <c r="B83" s="1042"/>
      <c r="C83" s="1042"/>
      <c r="D83" s="1042"/>
      <c r="E83" s="1042"/>
    </row>
    <row r="84" spans="2:26">
      <c r="B84" s="571" t="s">
        <v>141</v>
      </c>
    </row>
    <row r="85" spans="2:26">
      <c r="B85" s="334"/>
      <c r="C85" s="334" t="s">
        <v>142</v>
      </c>
      <c r="D85" s="334"/>
      <c r="E85" s="578">
        <f>E123</f>
        <v>1</v>
      </c>
      <c r="F85" s="295">
        <f>('Cerro Gordo'!F152+$E85*('Cerro Gordo'!F73+'Cerro Gordo'!F90)/$A$1)</f>
        <v>8219.8367868367732</v>
      </c>
      <c r="G85" s="295">
        <f>('Cerro Gordo'!G152+$E85*('Cerro Gordo'!G73+'Cerro Gordo'!G90)/$A$1)</f>
        <v>10431.756116354652</v>
      </c>
      <c r="H85" s="295">
        <f>('Cerro Gordo'!H152+$E85*('Cerro Gordo'!H73+'Cerro Gordo'!H90)/$A$1)</f>
        <v>8131.8127525304135</v>
      </c>
      <c r="I85" s="295">
        <f>('Cerro Gordo'!I152+$E85*('Cerro Gordo'!I73+'Cerro Gordo'!I90)/$A$1)</f>
        <v>6692.6780187589711</v>
      </c>
      <c r="J85" s="295">
        <f>('Cerro Gordo'!J152+$E85*('Cerro Gordo'!J73+'Cerro Gordo'!J90)/$A$1)</f>
        <v>6758.1591039575933</v>
      </c>
      <c r="K85" s="295">
        <f>('Cerro Gordo'!K152+$E85*('Cerro Gordo'!K73+'Cerro Gordo'!K90)/$A$1)</f>
        <v>5677.027327390605</v>
      </c>
      <c r="L85" s="295">
        <f>('Cerro Gordo'!L152+$E85*('Cerro Gordo'!L73+'Cerro Gordo'!L90)/$A$1)</f>
        <v>4596.659055738497</v>
      </c>
      <c r="M85" s="295">
        <f>('Cerro Gordo'!M152+$E85*('Cerro Gordo'!M73+'Cerro Gordo'!M90)/$A$1)</f>
        <v>4723.2144942830892</v>
      </c>
      <c r="N85" s="295">
        <f>('Cerro Gordo'!N152+$E85*('Cerro Gordo'!N73+'Cerro Gordo'!N90)/$A$1)</f>
        <v>3310.3806117947415</v>
      </c>
      <c r="O85" s="295">
        <f>('Cerro Gordo'!O152+$E85*('Cerro Gordo'!O73+'Cerro Gordo'!O90)/$A$1)</f>
        <v>2318.1793290690321</v>
      </c>
      <c r="P85" s="295">
        <f>('Cerro Gordo'!P152+$E85*('Cerro Gordo'!P73+'Cerro Gordo'!P90)/$A$1)</f>
        <v>2331.366409177826</v>
      </c>
      <c r="Q85" s="295">
        <f>('Cerro Gordo'!Q152+$E85*('Cerro Gordo'!Q73+'Cerro Gordo'!Q90)/$A$1)</f>
        <v>2345.0233629064269</v>
      </c>
      <c r="R85" s="295">
        <f>('Cerro Gordo'!R152+$E85*('Cerro Gordo'!R73+'Cerro Gordo'!R90)/$A$1)</f>
        <v>2359.1463600041734</v>
      </c>
      <c r="S85" s="295">
        <f>('Cerro Gordo'!S152+$E85*('Cerro Gordo'!S73+'Cerro Gordo'!S90)/$A$1)</f>
        <v>2374.0070711790704</v>
      </c>
      <c r="T85" s="295">
        <f>('Cerro Gordo'!T152+$E85*('Cerro Gordo'!T73+'Cerro Gordo'!T90)/$A$1)</f>
        <v>2389.160587336447</v>
      </c>
      <c r="U85" s="295">
        <f>('Cerro Gordo'!U152+$E85*('Cerro Gordo'!U73+'Cerro Gordo'!U90)/$A$1)</f>
        <v>2403.9965731435686</v>
      </c>
      <c r="V85" s="295">
        <f>('Cerro Gordo'!V152+$E85*('Cerro Gordo'!V73+'Cerro Gordo'!V90)/$A$1)</f>
        <v>2419.0069222285606</v>
      </c>
      <c r="W85" s="295">
        <f>('Cerro Gordo'!W152+$E85*('Cerro Gordo'!W73+'Cerro Gordo'!W90)/$A$1)</f>
        <v>1788.1233653992354</v>
      </c>
      <c r="X85" s="295">
        <f>('Cerro Gordo'!X152+$E85*('Cerro Gordo'!X73+'Cerro Gordo'!X90)/$A$1)</f>
        <v>888.00100320590207</v>
      </c>
      <c r="Y85" s="295">
        <f>('Cerro Gordo'!Y152+$E85*('Cerro Gordo'!Y73+'Cerro Gordo'!Y90)/$A$1)</f>
        <v>876.55724295541029</v>
      </c>
      <c r="Z85" s="295">
        <f>('Cerro Gordo'!Z152+$E85*('Cerro Gordo'!Z73+'Cerro Gordo'!Z90)/$A$1)</f>
        <v>0</v>
      </c>
    </row>
    <row r="86" spans="2:26">
      <c r="B86" s="334"/>
      <c r="C86" s="334" t="s">
        <v>143</v>
      </c>
      <c r="D86" s="334"/>
      <c r="E86" s="578">
        <f>E124</f>
        <v>1</v>
      </c>
      <c r="F86" s="295">
        <f>('Southwest Mesa'!F152+('Southwest Mesa'!F73+'Southwest Mesa'!F90)*$E86)/$A$1</f>
        <v>10940.288165429234</v>
      </c>
      <c r="G86" s="295">
        <f>('Southwest Mesa'!G152+('Southwest Mesa'!G73+'Southwest Mesa'!G90)*$E86)/$A$1</f>
        <v>14701.560448723838</v>
      </c>
      <c r="H86" s="295">
        <f>('Southwest Mesa'!H152+('Southwest Mesa'!H73+'Southwest Mesa'!H90)*$E86)/$A$1</f>
        <v>10848.592845762907</v>
      </c>
      <c r="I86" s="295">
        <f>('Southwest Mesa'!I152+('Southwest Mesa'!I73+'Southwest Mesa'!I90)*$E86)/$A$1</f>
        <v>8381.4308822386156</v>
      </c>
      <c r="J86" s="295">
        <f>('Southwest Mesa'!J152+('Southwest Mesa'!J73+'Southwest Mesa'!J90)*$E86)/$A$1</f>
        <v>8559.6654085085938</v>
      </c>
      <c r="K86" s="295">
        <f>('Southwest Mesa'!K152+('Southwest Mesa'!K73+'Southwest Mesa'!K90)*$E86)/$A$1</f>
        <v>6682.7784136556393</v>
      </c>
      <c r="L86" s="295">
        <f>('Southwest Mesa'!L152+('Southwest Mesa'!L73+'Southwest Mesa'!L90)*$E86)/$A$1</f>
        <v>4801.6472760070637</v>
      </c>
      <c r="M86" s="295">
        <f>('Southwest Mesa'!M152+('Southwest Mesa'!M73+'Southwest Mesa'!M90)*$E86)/$A$1</f>
        <v>4931.8338038390448</v>
      </c>
      <c r="N86" s="295">
        <f>('Southwest Mesa'!N152+('Southwest Mesa'!N73+'Southwest Mesa'!N90)*$E86)/$A$1</f>
        <v>502.82653142559542</v>
      </c>
      <c r="O86" s="295">
        <f>('Southwest Mesa'!O152+('Southwest Mesa'!O73+'Southwest Mesa'!O90)*$E86)/$A$1</f>
        <v>337.73369859114479</v>
      </c>
      <c r="P86" s="295">
        <f>('Southwest Mesa'!P152+('Southwest Mesa'!P73+'Southwest Mesa'!P90)*$E86)/$A$1</f>
        <v>256.31278036878422</v>
      </c>
      <c r="Q86" s="295">
        <f>('Southwest Mesa'!Q152+('Southwest Mesa'!Q73+'Southwest Mesa'!Q90)*$E86)/$A$1</f>
        <v>155.88851743471125</v>
      </c>
      <c r="R86" s="295">
        <f>('Southwest Mesa'!R152+('Southwest Mesa'!R73+'Southwest Mesa'!R90)*$E86)/$A$1</f>
        <v>79.758460171194585</v>
      </c>
      <c r="S86" s="295">
        <f>('Southwest Mesa'!S152+('Southwest Mesa'!S73+'Southwest Mesa'!S90)*$E86)/$A$1</f>
        <v>36.736108242741366</v>
      </c>
      <c r="T86" s="295">
        <f>('Southwest Mesa'!T152+('Southwest Mesa'!T73+'Southwest Mesa'!T90)*$E86)/$A$1</f>
        <v>-44.690780759894338</v>
      </c>
      <c r="U86" s="295">
        <f>('Southwest Mesa'!U152+('Southwest Mesa'!U73+'Southwest Mesa'!U90)*$E86)/$A$1</f>
        <v>2330.1140106343346</v>
      </c>
      <c r="V86" s="295">
        <f>('Southwest Mesa'!V152+('Southwest Mesa'!V73+'Southwest Mesa'!V90)*$E86)/$A$1</f>
        <v>3575.4436567800772</v>
      </c>
      <c r="W86" s="295">
        <f>('Southwest Mesa'!W152+('Southwest Mesa'!W73+'Southwest Mesa'!W90)*$E86)/$A$1</f>
        <v>3556.7293219774078</v>
      </c>
      <c r="X86" s="295">
        <f>('Southwest Mesa'!X152+('Southwest Mesa'!X73+'Southwest Mesa'!X90)*$E86)/$A$1</f>
        <v>1670.9201258958906</v>
      </c>
      <c r="Y86" s="295">
        <f>('Southwest Mesa'!Y152+('Southwest Mesa'!Y73+'Southwest Mesa'!Y90)*$E86)/$A$1</f>
        <v>0</v>
      </c>
      <c r="Z86" s="295">
        <f>('Southwest Mesa'!Z152+('Southwest Mesa'!Z73+'Southwest Mesa'!Z90)*$E86)/$A$1</f>
        <v>0</v>
      </c>
    </row>
    <row r="87" spans="2:26">
      <c r="B87" s="334"/>
      <c r="C87" s="334" t="s">
        <v>144</v>
      </c>
      <c r="D87" s="334"/>
      <c r="E87" s="578">
        <f>E125</f>
        <v>1</v>
      </c>
      <c r="F87" s="298">
        <f>(Vansycle!F152+(Vansycle!F73+Vansycle!F90)*$E87)/$A$1</f>
        <v>6053.1294987163265</v>
      </c>
      <c r="G87" s="298">
        <f>(Vansycle!G152+(Vansycle!G73+Vansycle!G90)*$E87)/$A$1</f>
        <v>7803.2354036535507</v>
      </c>
      <c r="H87" s="298">
        <f>(Vansycle!H152+(Vansycle!H73+Vansycle!H90)*$E87)/$A$1</f>
        <v>6015.1395470418274</v>
      </c>
      <c r="I87" s="298">
        <f>(Vansycle!I152+(Vansycle!I73+Vansycle!I90)*$E87)/$A$1</f>
        <v>4928.1578578307435</v>
      </c>
      <c r="J87" s="298">
        <f>(Vansycle!J152+(Vansycle!J73+Vansycle!J90)*$E87)/$A$1</f>
        <v>5082.1322631997618</v>
      </c>
      <c r="K87" s="298">
        <f>(Vansycle!K152+(Vansycle!K73+Vansycle!K90)*$E87)/$A$1</f>
        <v>4364.9888393761685</v>
      </c>
      <c r="L87" s="298">
        <f>(Vansycle!L152+(Vansycle!L73+Vansycle!L90)*$E87)/$A$1</f>
        <v>3571.4513143816339</v>
      </c>
      <c r="M87" s="298">
        <f>(Vansycle!M152+(Vansycle!M73+Vansycle!M90)*$E87)/$A$1</f>
        <v>3213.1200906946415</v>
      </c>
      <c r="N87" s="298">
        <f>(Vansycle!N152+(Vansycle!N73+Vansycle!N90)*$E87)/$A$1</f>
        <v>1994.8212556852693</v>
      </c>
      <c r="O87" s="298">
        <f>(Vansycle!O152+(Vansycle!O73+Vansycle!O90)*$E87)/$A$1</f>
        <v>2057.7790053093522</v>
      </c>
      <c r="P87" s="298">
        <f>(Vansycle!P152+(Vansycle!P73+Vansycle!P90)*$E87)/$A$1</f>
        <v>2124.8510466827897</v>
      </c>
      <c r="Q87" s="298">
        <f>(Vansycle!Q152+(Vansycle!Q73+Vansycle!Q90)*$E87)/$A$1</f>
        <v>2193.78882240654</v>
      </c>
      <c r="R87" s="298">
        <f>(Vansycle!R152+(Vansycle!R73+Vansycle!R90)*$E87)/$A$1</f>
        <v>2235.5043338232654</v>
      </c>
      <c r="S87" s="298">
        <f>(Vansycle!S152+(Vansycle!S73+Vansycle!S90)*$E87)/$A$1</f>
        <v>2307.4305951936508</v>
      </c>
      <c r="T87" s="298">
        <f>(Vansycle!T152+(Vansycle!T73+Vansycle!T90)*$E87)/$A$1</f>
        <v>2381.3683394866939</v>
      </c>
      <c r="U87" s="298">
        <f>(Vansycle!U152+(Vansycle!U73+Vansycle!U90)*$E87)/$A$1</f>
        <v>2457.3738436347667</v>
      </c>
      <c r="V87" s="298">
        <f>(Vansycle!V152+(Vansycle!V73+Vansycle!V90)*$E87)/$A$1</f>
        <v>2535.5049570159354</v>
      </c>
      <c r="W87" s="298">
        <f>(Vansycle!W152+(Vansycle!W73+Vansycle!W90)*$E87)/$A$1</f>
        <v>2615.8211529852915</v>
      </c>
      <c r="X87" s="298">
        <f>(Vansycle!X152+(Vansycle!X73+Vansycle!X90)*$E87)/$A$1</f>
        <v>2698.3835667896219</v>
      </c>
      <c r="Y87" s="298">
        <f>(Vansycle!Y152+(Vansycle!Y73+Vansycle!Y90)*$E87)/$A$1</f>
        <v>2783.2550446068794</v>
      </c>
      <c r="Z87" s="298">
        <f>(Vansycle!Z152+(Vansycle!Z73+Vansycle!Z90)*$E87)/$A$1</f>
        <v>0</v>
      </c>
    </row>
    <row r="88" spans="2:26">
      <c r="B88" s="334"/>
      <c r="C88" s="334"/>
      <c r="D88" s="334"/>
      <c r="E88" s="578"/>
      <c r="F88" s="295">
        <f t="shared" ref="F88:Z88" si="11">SUM(F85:F87)</f>
        <v>25213.254450982335</v>
      </c>
      <c r="G88" s="295">
        <f t="shared" si="11"/>
        <v>32936.551968732041</v>
      </c>
      <c r="H88" s="295">
        <f t="shared" si="11"/>
        <v>24995.545145335149</v>
      </c>
      <c r="I88" s="295">
        <f t="shared" si="11"/>
        <v>20002.266758828329</v>
      </c>
      <c r="J88" s="295">
        <f t="shared" si="11"/>
        <v>20399.956775665949</v>
      </c>
      <c r="K88" s="295">
        <f t="shared" si="11"/>
        <v>16724.794580422415</v>
      </c>
      <c r="L88" s="295">
        <f t="shared" si="11"/>
        <v>12969.757646127193</v>
      </c>
      <c r="M88" s="295">
        <f t="shared" si="11"/>
        <v>12868.168388816775</v>
      </c>
      <c r="N88" s="295">
        <f t="shared" si="11"/>
        <v>5808.0283989056061</v>
      </c>
      <c r="O88" s="295">
        <f t="shared" si="11"/>
        <v>4713.6920329695295</v>
      </c>
      <c r="P88" s="295">
        <f t="shared" si="11"/>
        <v>4712.5302362294005</v>
      </c>
      <c r="Q88" s="295">
        <f t="shared" si="11"/>
        <v>4694.7007027476775</v>
      </c>
      <c r="R88" s="295">
        <f t="shared" si="11"/>
        <v>4674.409153998633</v>
      </c>
      <c r="S88" s="295">
        <f t="shared" si="11"/>
        <v>4718.1737746154631</v>
      </c>
      <c r="T88" s="295">
        <f t="shared" si="11"/>
        <v>4725.8381460632463</v>
      </c>
      <c r="U88" s="295">
        <f t="shared" si="11"/>
        <v>7191.4844274126699</v>
      </c>
      <c r="V88" s="295">
        <f t="shared" si="11"/>
        <v>8529.9555360245722</v>
      </c>
      <c r="W88" s="295">
        <f t="shared" si="11"/>
        <v>7960.6738403619347</v>
      </c>
      <c r="X88" s="295">
        <f t="shared" si="11"/>
        <v>5257.3046958914147</v>
      </c>
      <c r="Y88" s="295">
        <f t="shared" si="11"/>
        <v>3659.8122875622898</v>
      </c>
      <c r="Z88" s="295">
        <f t="shared" si="11"/>
        <v>0</v>
      </c>
    </row>
    <row r="89" spans="2:26">
      <c r="B89" s="334"/>
      <c r="C89" s="334"/>
      <c r="D89" s="334"/>
      <c r="E89" s="578"/>
    </row>
    <row r="90" spans="2:26">
      <c r="B90" s="334"/>
      <c r="C90" s="334"/>
      <c r="D90" s="334"/>
      <c r="E90" s="578"/>
    </row>
    <row r="91" spans="2:26">
      <c r="B91" s="582" t="s">
        <v>145</v>
      </c>
      <c r="C91" s="334"/>
      <c r="D91" s="334"/>
      <c r="E91" s="578"/>
    </row>
    <row r="92" spans="2:26">
      <c r="B92" s="334"/>
      <c r="C92" s="334" t="s">
        <v>146</v>
      </c>
      <c r="D92" s="334"/>
      <c r="E92" s="578">
        <f t="shared" ref="E92:E99" si="12">E130</f>
        <v>0.5</v>
      </c>
      <c r="F92" s="295">
        <f>(Cameron!F152+(Cameron!F73+Cameron!F90)*$E92)/$A$1</f>
        <v>5923.8548817083019</v>
      </c>
      <c r="G92" s="295">
        <f>(Cameron!G152+(Cameron!G73+Cameron!G90)*$E92)/$A$1</f>
        <v>8347.8722155792875</v>
      </c>
      <c r="H92" s="295">
        <f>(Cameron!H152+(Cameron!H73+Cameron!H90)*$E92)/$A$1</f>
        <v>5867.0011380201759</v>
      </c>
      <c r="I92" s="295">
        <f>(Cameron!I152+(Cameron!I73+Cameron!I90)*$E92)/$A$1</f>
        <v>4451.9952841742661</v>
      </c>
      <c r="J92" s="295">
        <f>(Cameron!J152+(Cameron!J73+Cameron!J90)*$E92)/$A$1</f>
        <v>4449.028429898276</v>
      </c>
      <c r="K92" s="295">
        <f>(Cameron!K152+(Cameron!K73+Cameron!K90)*$E92)/$A$1</f>
        <v>3405.9161099983235</v>
      </c>
      <c r="L92" s="295">
        <f>(Cameron!L152+(Cameron!L73+Cameron!L90)*$E92)/$A$1</f>
        <v>2270.4020628331036</v>
      </c>
      <c r="M92" s="295">
        <f>(Cameron!M152+(Cameron!M73+Cameron!M90)*$E92)/$A$1</f>
        <v>2346.7739415218116</v>
      </c>
      <c r="N92" s="295">
        <f>(Cameron!N152+(Cameron!N73+Cameron!N90)*$E92)/$A$1</f>
        <v>669.95256047217924</v>
      </c>
      <c r="O92" s="295">
        <f>(Cameron!O152+(Cameron!O73+Cameron!O90)*$E92)/$A$1</f>
        <v>220.09223210202319</v>
      </c>
      <c r="P92" s="295">
        <f>(Cameron!P152+(Cameron!P73+Cameron!P90)*$E92)/$A$1</f>
        <v>170.91629499986436</v>
      </c>
      <c r="Q92" s="295">
        <f>(Cameron!Q152+(Cameron!Q73+Cameron!Q90)*$E92)/$A$1</f>
        <v>116.24410987054117</v>
      </c>
      <c r="R92" s="295">
        <f>(Cameron!R152+(Cameron!R73+Cameron!R90)*$E92)/$A$1</f>
        <v>51.271251761975066</v>
      </c>
      <c r="S92" s="295">
        <f>(Cameron!S152+(Cameron!S73+Cameron!S90)*$E92)/$A$1</f>
        <v>42.73537404473602</v>
      </c>
      <c r="T92" s="295">
        <f>(Cameron!T152+(Cameron!T73+Cameron!T90)*$E92)/$A$1</f>
        <v>-87.012987873532438</v>
      </c>
      <c r="U92" s="295">
        <f>(Cameron!U152+(Cameron!U73+Cameron!U90)*$E92)/$A$1</f>
        <v>1629.3824814140751</v>
      </c>
      <c r="V92" s="295">
        <f>(Cameron!V152+(Cameron!V73+Cameron!V90)*$E92)/$A$1</f>
        <v>1631.9122808908776</v>
      </c>
      <c r="W92" s="295">
        <f>(Cameron!W152+(Cameron!W73+Cameron!W90)*$E92)/$A$1</f>
        <v>1654.2672698047347</v>
      </c>
      <c r="X92" s="295">
        <f>(Cameron!X152+(Cameron!X73+Cameron!X90)*$E92)/$A$1</f>
        <v>1691.4731096415348</v>
      </c>
      <c r="Y92" s="295">
        <f>(Cameron!Y152+(Cameron!Y73+Cameron!Y90)*$E92)/$A$1</f>
        <v>1741.6358169950508</v>
      </c>
      <c r="Z92" s="295">
        <f>(Cameron!Z152+(Cameron!Z73+Cameron!Z90)*$E92)/$A$1</f>
        <v>0</v>
      </c>
    </row>
    <row r="93" spans="2:26">
      <c r="B93" s="334"/>
      <c r="C93" s="334" t="s">
        <v>162</v>
      </c>
      <c r="D93" s="588"/>
      <c r="E93" s="578">
        <f t="shared" si="12"/>
        <v>0.5</v>
      </c>
      <c r="F93" s="295">
        <f>('Pacific Crest'!F152+('Pacific Crest'!F73+'Pacific Crest'!F90)*$E93)/$A$1</f>
        <v>5067.7824619565099</v>
      </c>
      <c r="G93" s="295">
        <f>('Pacific Crest'!G152+('Pacific Crest'!G73+'Pacific Crest'!G90)*$E93)/$A$1</f>
        <v>7078.6482219572699</v>
      </c>
      <c r="H93" s="295">
        <f>('Pacific Crest'!H152+('Pacific Crest'!H73+'Pacific Crest'!H90)*$E93)/$A$1</f>
        <v>5027.4799964327631</v>
      </c>
      <c r="I93" s="295">
        <f>('Pacific Crest'!I152+('Pacific Crest'!I73+'Pacific Crest'!I90)*$E93)/$A$1</f>
        <v>3731.7282962053418</v>
      </c>
      <c r="J93" s="295">
        <f>('Pacific Crest'!J152+('Pacific Crest'!J73+'Pacific Crest'!J90)*$E93)/$A$1</f>
        <v>3750.9726050804525</v>
      </c>
      <c r="K93" s="295">
        <f>('Pacific Crest'!K152+('Pacific Crest'!K73+'Pacific Crest'!K90)*$E93)/$A$1</f>
        <v>2840.8759639148225</v>
      </c>
      <c r="L93" s="295">
        <f>('Pacific Crest'!L152+('Pacific Crest'!L73+'Pacific Crest'!L90)*$E93)/$A$1</f>
        <v>1859.7003734535606</v>
      </c>
      <c r="M93" s="295">
        <f>('Pacific Crest'!M152+('Pacific Crest'!M73+'Pacific Crest'!M90)*$E93)/$A$1</f>
        <v>1909.2177862940748</v>
      </c>
      <c r="N93" s="295">
        <f>('Pacific Crest'!N152+('Pacific Crest'!N73+'Pacific Crest'!N90)*$E93)/$A$1</f>
        <v>1256.4698349950943</v>
      </c>
      <c r="O93" s="295">
        <f>('Pacific Crest'!O152+('Pacific Crest'!O73+'Pacific Crest'!O90)*$E93)/$A$1</f>
        <v>120.41449435841196</v>
      </c>
      <c r="P93" s="295">
        <f>('Pacific Crest'!P152+('Pacific Crest'!P73+'Pacific Crest'!P90)*$E93)/$A$1</f>
        <v>57.506364151223337</v>
      </c>
      <c r="Q93" s="295">
        <f>('Pacific Crest'!Q152+('Pacific Crest'!Q73+'Pacific Crest'!Q90)*$E93)/$A$1</f>
        <v>-10.388230334224559</v>
      </c>
      <c r="R93" s="295">
        <f>('Pacific Crest'!R152+('Pacific Crest'!R73+'Pacific Crest'!R90)*$E93)/$A$1</f>
        <v>-85.103607939537241</v>
      </c>
      <c r="S93" s="295">
        <f>('Pacific Crest'!S152+('Pacific Crest'!S73+'Pacific Crest'!S90)*$E93)/$A$1</f>
        <v>1489.9715773171606</v>
      </c>
      <c r="T93" s="295">
        <f>('Pacific Crest'!T152+('Pacific Crest'!T73+'Pacific Crest'!T90)*$E93)/$A$1</f>
        <v>1981.0217028795673</v>
      </c>
      <c r="U93" s="295">
        <f>('Pacific Crest'!U152+('Pacific Crest'!U73+'Pacific Crest'!U90)*$E93)/$A$1</f>
        <v>2118.0174446677001</v>
      </c>
      <c r="V93" s="295">
        <f>('Pacific Crest'!V152+('Pacific Crest'!V73+'Pacific Crest'!V90)*$E93)/$A$1</f>
        <v>2311.9138600092838</v>
      </c>
      <c r="W93" s="295">
        <f>('Pacific Crest'!W152+('Pacific Crest'!W73+'Pacific Crest'!W90)*$E93)/$A$1</f>
        <v>2391.1155624113903</v>
      </c>
      <c r="X93" s="295">
        <f>('Pacific Crest'!X152+('Pacific Crest'!X73+'Pacific Crest'!X90)*$E93)/$A$1</f>
        <v>1293.5204114757973</v>
      </c>
      <c r="Y93" s="295">
        <f>('Pacific Crest'!Y152+('Pacific Crest'!Y73+'Pacific Crest'!Y90)*$E93)/$A$1</f>
        <v>0</v>
      </c>
      <c r="Z93" s="295">
        <f>('Pacific Crest'!Z152+('Pacific Crest'!Z73+'Pacific Crest'!Z90)*$E93)/$A$1</f>
        <v>0</v>
      </c>
    </row>
    <row r="94" spans="2:26">
      <c r="B94" s="334"/>
      <c r="C94" s="334" t="s">
        <v>163</v>
      </c>
      <c r="D94" s="334"/>
      <c r="E94" s="578">
        <f t="shared" si="12"/>
        <v>0.5</v>
      </c>
      <c r="F94" s="295">
        <f>('Sky River'!F152+('Sky River'!F73+'Sky River'!F90)*$E94)/$A$1</f>
        <v>7235.7317382174679</v>
      </c>
      <c r="G94" s="295">
        <f>('Sky River'!G152+('Sky River'!G73+'Sky River'!G90)*$E94)/$A$1</f>
        <v>8881.6484061479478</v>
      </c>
      <c r="H94" s="295">
        <f>('Sky River'!H152+('Sky River'!H73+'Sky River'!H90)*$E94)/$A$1</f>
        <v>5728.9586061887676</v>
      </c>
      <c r="I94" s="295">
        <f>('Sky River'!I152+('Sky River'!I73+'Sky River'!I90)*$E94)/$A$1</f>
        <v>3855.739538713261</v>
      </c>
      <c r="J94" s="295">
        <f>('Sky River'!J152+('Sky River'!J73+'Sky River'!J90)*$E94)/$A$1</f>
        <v>4088.5233612396687</v>
      </c>
      <c r="K94" s="295">
        <f>('Sky River'!K152+('Sky River'!K73+'Sky River'!K90)*$E94)/$A$1</f>
        <v>2719.3173432401113</v>
      </c>
      <c r="L94" s="295">
        <f>('Sky River'!L152+('Sky River'!L73+'Sky River'!L90)*$E94)/$A$1</f>
        <v>1321.5805646509834</v>
      </c>
      <c r="M94" s="295">
        <f>('Sky River'!M152+('Sky River'!M73+'Sky River'!M90)*$E94)/$A$1</f>
        <v>1342.8109272419401</v>
      </c>
      <c r="N94" s="295">
        <f>('Sky River'!N152+('Sky River'!N73+'Sky River'!N90)*$E94)/$A$1</f>
        <v>1364.6145096228531</v>
      </c>
      <c r="O94" s="295">
        <f>('Sky River'!O152+('Sky River'!O73+'Sky River'!O90)*$E94)/$A$1</f>
        <v>1387.0067887280507</v>
      </c>
      <c r="P94" s="295">
        <f>('Sky River'!P152+('Sky River'!P73+'Sky River'!P90)*$E94)/$A$1</f>
        <v>1410.8553953187568</v>
      </c>
      <c r="Q94" s="295">
        <f>('Sky River'!Q152+('Sky River'!Q73+'Sky River'!Q90)*$E94)/$A$1</f>
        <v>1435.3717628940021</v>
      </c>
      <c r="R94" s="295">
        <f>('Sky River'!R152+('Sky River'!R73+'Sky River'!R90)*$E94)/$A$1</f>
        <v>1460.5745887613548</v>
      </c>
      <c r="S94" s="295">
        <f>('Sky River'!S152+('Sky River'!S73+'Sky River'!S90)*$E94)/$A$1</f>
        <v>1486.4830937529932</v>
      </c>
      <c r="T94" s="295">
        <f>('Sky River'!T152+('Sky River'!T73+'Sky River'!T90)*$E94)/$A$1</f>
        <v>1512.9469942738374</v>
      </c>
      <c r="U94" s="295">
        <f>('Sky River'!U152+('Sky River'!U73+'Sky River'!U90)*$E94)/$A$1</f>
        <v>1540.0231666639929</v>
      </c>
      <c r="V94" s="295">
        <f>('Sky River'!V152+('Sky River'!V73+'Sky River'!V90)*$E94)/$A$1</f>
        <v>1567.8574718810723</v>
      </c>
      <c r="W94" s="295">
        <f>('Sky River'!W152+('Sky River'!W73+'Sky River'!W90)*$E94)/$A$1</f>
        <v>1596.4711376442303</v>
      </c>
      <c r="X94" s="295">
        <f>('Sky River'!X152+('Sky River'!X73+'Sky River'!X90)*$E94)/$A$1</f>
        <v>1625.885986048756</v>
      </c>
      <c r="Y94" s="295">
        <f>('Sky River'!Y152+('Sky River'!Y73+'Sky River'!Y90)*$E94)/$A$1</f>
        <v>1656.1244502086092</v>
      </c>
      <c r="Z94" s="295">
        <f>('Sky River'!Z152+('Sky River'!Z73+'Sky River'!Z90)*$E94)/$A$1</f>
        <v>0</v>
      </c>
    </row>
    <row r="95" spans="2:26">
      <c r="B95" s="334"/>
      <c r="C95" s="334" t="s">
        <v>149</v>
      </c>
      <c r="D95" s="334"/>
      <c r="E95" s="578">
        <f t="shared" si="12"/>
        <v>0.5</v>
      </c>
      <c r="F95" s="295">
        <f>(Ridgetop!F152+(Ridgetop!F73+Ridgetop!F90)*$E95)/$A$1</f>
        <v>1918.0150243475832</v>
      </c>
      <c r="G95" s="295">
        <f>(Ridgetop!G152+(Ridgetop!G73+Ridgetop!G90)*$E95)/$A$1</f>
        <v>2435.4755978755966</v>
      </c>
      <c r="H95" s="295">
        <f>(Ridgetop!H152+(Ridgetop!H73+Ridgetop!H90)*$E95)/$A$1</f>
        <v>1896.2559132960564</v>
      </c>
      <c r="I95" s="295">
        <f>(Ridgetop!I152+(Ridgetop!I73+Ridgetop!I90)*$E95)/$A$1</f>
        <v>1291.7508916796558</v>
      </c>
      <c r="J95" s="295">
        <f>(Ridgetop!J152+(Ridgetop!J73+Ridgetop!J90)*$E95)/$A$1</f>
        <v>1231.1311892751453</v>
      </c>
      <c r="K95" s="295">
        <f>(Ridgetop!K152+(Ridgetop!K73+Ridgetop!K90)*$E95)/$A$1</f>
        <v>1010.0355127250747</v>
      </c>
      <c r="L95" s="295">
        <f>(Ridgetop!L152+(Ridgetop!L73+Ridgetop!L90)*$E95)/$A$1</f>
        <v>788.78483325662341</v>
      </c>
      <c r="M95" s="295">
        <f>(Ridgetop!M152+(Ridgetop!M73+Ridgetop!M90)*$E95)/$A$1</f>
        <v>806.06511966667233</v>
      </c>
      <c r="N95" s="295">
        <f>(Ridgetop!N152+(Ridgetop!N73+Ridgetop!N90)*$E95)/$A$1</f>
        <v>823.18415243702032</v>
      </c>
      <c r="O95" s="295">
        <f>(Ridgetop!O152+(Ridgetop!O73+Ridgetop!O90)*$E95)/$A$1</f>
        <v>840.13871230285622</v>
      </c>
      <c r="P95" s="295">
        <f>(Ridgetop!P152+(Ridgetop!P73+Ridgetop!P90)*$E95)/$A$1</f>
        <v>851.3702101324817</v>
      </c>
      <c r="Q95" s="295">
        <f>(Ridgetop!Q152+(Ridgetop!Q73+Ridgetop!Q90)*$E95)/$A$1</f>
        <v>862.43060242861964</v>
      </c>
      <c r="R95" s="295">
        <f>(Ridgetop!R152+(Ridgetop!R73+Ridgetop!R90)*$E95)/$A$1</f>
        <v>873.31647323502</v>
      </c>
      <c r="S95" s="295">
        <f>(Ridgetop!S152+(Ridgetop!S73+Ridgetop!S90)*$E95)/$A$1</f>
        <v>884.02433839631829</v>
      </c>
      <c r="T95" s="295">
        <f>(Ridgetop!T152+(Ridgetop!T73+Ridgetop!T90)*$E95)/$A$1</f>
        <v>644.74227716525809</v>
      </c>
      <c r="U95" s="295">
        <f>(Ridgetop!U152+(Ridgetop!U73+Ridgetop!U90)*$E95)/$A$1</f>
        <v>680.54162714445965</v>
      </c>
      <c r="V95" s="295">
        <f>(Ridgetop!V152+(Ridgetop!V73+Ridgetop!V90)*$E95)/$A$1</f>
        <v>733.164511786091</v>
      </c>
      <c r="W95" s="295">
        <f>(Ridgetop!W152+(Ridgetop!W73+Ridgetop!W90)*$E95)/$A$1</f>
        <v>588.95380749729043</v>
      </c>
      <c r="X95" s="295">
        <f>(Ridgetop!X152+(Ridgetop!X73+Ridgetop!X90)*$E95)/$A$1</f>
        <v>132.83364246001068</v>
      </c>
      <c r="Y95" s="295">
        <f>(Ridgetop!Y152+(Ridgetop!Y73+Ridgetop!Y90)*$E95)/$A$1</f>
        <v>0</v>
      </c>
      <c r="Z95" s="295">
        <f>(Ridgetop!Z152+(Ridgetop!Z73+Ridgetop!Z90)*$E95)/$A$1</f>
        <v>0</v>
      </c>
    </row>
    <row r="96" spans="2:26">
      <c r="B96" s="334"/>
      <c r="C96" s="334" t="s">
        <v>150</v>
      </c>
      <c r="D96" s="334"/>
      <c r="E96" s="578">
        <f t="shared" si="12"/>
        <v>0.5</v>
      </c>
      <c r="F96" s="295">
        <f>('Green Ridge'!F152+('Green Ridge'!F73+'Green Ridge'!F90)*$E96)/$A$1</f>
        <v>3094.5309059675842</v>
      </c>
      <c r="G96" s="295">
        <f>('Green Ridge'!G152+('Green Ridge'!G73+'Green Ridge'!G90)*$E96)/$A$1</f>
        <v>3711.8477982673921</v>
      </c>
      <c r="H96" s="295">
        <f>('Green Ridge'!H152+('Green Ridge'!H73+'Green Ridge'!H90)*$E96)/$A$1</f>
        <v>2890.1466510006294</v>
      </c>
      <c r="I96" s="295">
        <f>('Green Ridge'!I152+('Green Ridge'!I73+'Green Ridge'!I90)*$E96)/$A$1</f>
        <v>2173.2958132163362</v>
      </c>
      <c r="J96" s="295">
        <f>('Green Ridge'!J152+('Green Ridge'!J73+'Green Ridge'!J90)*$E96)/$A$1</f>
        <v>2314.8957131791421</v>
      </c>
      <c r="K96" s="295">
        <f>('Green Ridge'!K152+('Green Ridge'!K73+'Green Ridge'!K90)*$E96)/$A$1</f>
        <v>2007.7220192383124</v>
      </c>
      <c r="L96" s="295">
        <f>('Green Ridge'!L152+('Green Ridge'!L73+'Green Ridge'!L90)*$E96)/$A$1</f>
        <v>1698.055825433592</v>
      </c>
      <c r="M96" s="295">
        <f>('Green Ridge'!M152+('Green Ridge'!M73+'Green Ridge'!M90)*$E96)/$A$1</f>
        <v>1733.6936488161718</v>
      </c>
      <c r="N96" s="295">
        <f>('Green Ridge'!N152+('Green Ridge'!N73+'Green Ridge'!N90)*$E96)/$A$1</f>
        <v>1755.0342987283975</v>
      </c>
      <c r="O96" s="295">
        <f>('Green Ridge'!O152+('Green Ridge'!O73+'Green Ridge'!O90)*$E96)/$A$1</f>
        <v>1823.5742997011716</v>
      </c>
      <c r="P96" s="295">
        <f>('Green Ridge'!P152+('Green Ridge'!P73+'Green Ridge'!P90)*$E96)/$A$1</f>
        <v>1890.4790105784355</v>
      </c>
      <c r="Q96" s="295">
        <f>('Green Ridge'!Q152+('Green Ridge'!Q73+'Green Ridge'!Q90)*$E96)/$A$1</f>
        <v>1955.7091977181062</v>
      </c>
      <c r="R96" s="295">
        <f>('Green Ridge'!R152+('Green Ridge'!R73+'Green Ridge'!R90)*$E96)/$A$1</f>
        <v>1806.8475444602057</v>
      </c>
      <c r="S96" s="295">
        <f>('Green Ridge'!S152+('Green Ridge'!S73+'Green Ridge'!S90)*$E96)/$A$1</f>
        <v>0</v>
      </c>
      <c r="T96" s="295">
        <f>('Green Ridge'!T152+('Green Ridge'!T73+'Green Ridge'!T90)*$E96)/$A$1</f>
        <v>0</v>
      </c>
      <c r="U96" s="295">
        <f>('Green Ridge'!U152+('Green Ridge'!U73+'Green Ridge'!U90)*$E96)/$A$1</f>
        <v>0</v>
      </c>
      <c r="V96" s="295">
        <f>('Green Ridge'!V152+('Green Ridge'!V73+'Green Ridge'!V90)*$E96)/$A$1</f>
        <v>0</v>
      </c>
      <c r="W96" s="295">
        <f>('Green Ridge'!W152+('Green Ridge'!W73+'Green Ridge'!W90)*$E96)/$A$1</f>
        <v>0</v>
      </c>
      <c r="X96" s="295">
        <f>('Green Ridge'!X152+('Green Ridge'!X73+'Green Ridge'!X90)*$E96)/$A$1</f>
        <v>0</v>
      </c>
      <c r="Y96" s="295">
        <f>('Green Ridge'!Y152+('Green Ridge'!Y73+'Green Ridge'!Y90)*$E96)/$A$1</f>
        <v>0</v>
      </c>
      <c r="Z96" s="295">
        <f>('Green Ridge'!Z152+('Green Ridge'!Z73+'Green Ridge'!Z90)*$E96)/$A$1</f>
        <v>0</v>
      </c>
    </row>
    <row r="97" spans="2:26">
      <c r="B97" s="334"/>
      <c r="C97" s="334" t="s">
        <v>164</v>
      </c>
      <c r="D97" s="334"/>
      <c r="E97" s="578">
        <f t="shared" si="12"/>
        <v>0.5</v>
      </c>
      <c r="F97" s="295">
        <f>('Mojave 16-18'!F152+('Mojave 16-18'!F73+'Mojave 16-18'!F90)*$E97)/$A$1</f>
        <v>1370.7708792071676</v>
      </c>
      <c r="G97" s="295">
        <f>('Mojave 16-18'!G152+('Mojave 16-18'!G73+'Mojave 16-18'!G90)*$E97)/$A$1</f>
        <v>1736.0669651099215</v>
      </c>
      <c r="H97" s="295">
        <f>('Mojave 16-18'!H152+('Mojave 16-18'!H73+'Mojave 16-18'!H90)*$E97)/$A$1</f>
        <v>1345.9179414334083</v>
      </c>
      <c r="I97" s="295">
        <f>('Mojave 16-18'!I152+('Mojave 16-18'!I73+'Mojave 16-18'!I90)*$E97)/$A$1</f>
        <v>1140.3197819604534</v>
      </c>
      <c r="J97" s="295">
        <f>('Mojave 16-18'!J152+('Mojave 16-18'!J73+'Mojave 16-18'!J90)*$E97)/$A$1</f>
        <v>1149.5517183108625</v>
      </c>
      <c r="K97" s="295">
        <f>('Mojave 16-18'!K152+('Mojave 16-18'!K73+'Mojave 16-18'!K90)*$E97)/$A$1</f>
        <v>993.79802501939139</v>
      </c>
      <c r="L97" s="295">
        <f>('Mojave 16-18'!L152+('Mojave 16-18'!L73+'Mojave 16-18'!L90)*$E97)/$A$1</f>
        <v>820.16546989647622</v>
      </c>
      <c r="M97" s="295">
        <f>('Mojave 16-18'!M152+('Mojave 16-18'!M73+'Mojave 16-18'!M90)*$E97)/$A$1</f>
        <v>828.64627685153073</v>
      </c>
      <c r="N97" s="295">
        <f>('Mojave 16-18'!N152+('Mojave 16-18'!N73+'Mojave 16-18'!N90)*$E97)/$A$1</f>
        <v>571.81916877551089</v>
      </c>
      <c r="O97" s="295">
        <f>('Mojave 16-18'!O152+('Mojave 16-18'!O73+'Mojave 16-18'!O90)*$E97)/$A$1</f>
        <v>327.94160514237359</v>
      </c>
      <c r="P97" s="295">
        <f>('Mojave 16-18'!P152+('Mojave 16-18'!P73+'Mojave 16-18'!P90)*$E97)/$A$1</f>
        <v>339.92697926790436</v>
      </c>
      <c r="Q97" s="295">
        <f>('Mojave 16-18'!Q152+('Mojave 16-18'!Q73+'Mojave 16-18'!Q90)*$E97)/$A$1</f>
        <v>351.78082845813327</v>
      </c>
      <c r="R97" s="295">
        <f>('Mojave 16-18'!R152+('Mojave 16-18'!R73+'Mojave 16-18'!R90)*$E97)/$A$1</f>
        <v>363.55420114799233</v>
      </c>
      <c r="S97" s="295">
        <f>('Mojave 16-18'!S152+('Mojave 16-18'!S73+'Mojave 16-18'!S90)*$E97)/$A$1</f>
        <v>368.27644044696819</v>
      </c>
      <c r="T97" s="295">
        <f>('Mojave 16-18'!T152+('Mojave 16-18'!T73+'Mojave 16-18'!T90)*$E97)/$A$1</f>
        <v>373.97895497056271</v>
      </c>
      <c r="U97" s="295">
        <f>('Mojave 16-18'!U152+('Mojave 16-18'!U73+'Mojave 16-18'!U90)*$E97)/$A$1</f>
        <v>378.43443253287268</v>
      </c>
      <c r="V97" s="295">
        <f>('Mojave 16-18'!V152+('Mojave 16-18'!V73+'Mojave 16-18'!V90)*$E97)/$A$1</f>
        <v>382.53155739910892</v>
      </c>
      <c r="W97" s="295">
        <f>('Mojave 16-18'!W152+('Mojave 16-18'!W73+'Mojave 16-18'!W90)*$E97)/$A$1</f>
        <v>394.88463932990356</v>
      </c>
      <c r="X97" s="295">
        <f>('Mojave 16-18'!X152+('Mojave 16-18'!X73+'Mojave 16-18'!X90)*$E97)/$A$1</f>
        <v>114.35240431831782</v>
      </c>
      <c r="Y97" s="295">
        <f>('Mojave 16-18'!Y152+('Mojave 16-18'!Y73+'Mojave 16-18'!Y90)*$E97)/$A$1</f>
        <v>0</v>
      </c>
      <c r="Z97" s="295">
        <f>('Mojave 16-18'!Z152+('Mojave 16-18'!Z73+'Mojave 16-18'!Z90)*$E97)/$A$1</f>
        <v>0</v>
      </c>
    </row>
    <row r="98" spans="2:26">
      <c r="B98" s="334"/>
      <c r="C98" s="334" t="s">
        <v>152</v>
      </c>
      <c r="D98" s="334"/>
      <c r="E98" s="578">
        <f t="shared" si="12"/>
        <v>0.5</v>
      </c>
      <c r="F98" s="295">
        <f>((Morwind!F73+Morwind!F90)*$E98+'Mojave 16-18'!F152)/$A$1</f>
        <v>1912.2688238779865</v>
      </c>
      <c r="G98" s="295">
        <f>((Morwind!G73+Morwind!G90)*$E98+'Mojave 16-18'!G152)/$A$1</f>
        <v>2356.4547906773969</v>
      </c>
      <c r="H98" s="295">
        <f>((Morwind!H73+Morwind!H90)*$E98+'Mojave 16-18'!H152)/$A$1</f>
        <v>1885.1375010595712</v>
      </c>
      <c r="I98" s="295">
        <f>((Morwind!I73+Morwind!I90)*$E98+'Mojave 16-18'!I152)/$A$1</f>
        <v>1559.9124354813657</v>
      </c>
      <c r="J98" s="295">
        <f>((Morwind!J73+Morwind!J90)*$E98+'Mojave 16-18'!J152)/$A$1</f>
        <v>1592.6648139122224</v>
      </c>
      <c r="K98" s="295">
        <f>((Morwind!K73+Morwind!K90)*$E98+'Mojave 16-18'!K152)/$A$1</f>
        <v>1359.8670291243131</v>
      </c>
      <c r="L98" s="295">
        <f>((Morwind!L73+Morwind!L90)*$E98+'Mojave 16-18'!L152)/$A$1</f>
        <v>1148.7569125160721</v>
      </c>
      <c r="M98" s="295">
        <f>((Morwind!M73+Morwind!M90)*$E98+'Mojave 16-18'!M152)/$A$1</f>
        <v>1172.7006282368411</v>
      </c>
      <c r="N98" s="295">
        <f>((Morwind!N73+Morwind!N90)*$E98+'Mojave 16-18'!N152)/$A$1</f>
        <v>976.07034416025169</v>
      </c>
      <c r="O98" s="295">
        <f>((Morwind!O73+Morwind!O90)*$E98+'Mojave 16-18'!O152)/$A$1</f>
        <v>745.49351723308757</v>
      </c>
      <c r="P98" s="295">
        <f>((Morwind!P73+Morwind!P90)*$E98+'Mojave 16-18'!P152)/$A$1</f>
        <v>476.13294879771922</v>
      </c>
      <c r="Q98" s="295">
        <f>((Morwind!Q73+Morwind!Q90)*$E98+'Mojave 16-18'!Q152)/$A$1</f>
        <v>479.73548673424841</v>
      </c>
      <c r="R98" s="295">
        <f>((Morwind!R73+Morwind!R90)*$E98+'Mojave 16-18'!R152)/$A$1</f>
        <v>484.12564670844091</v>
      </c>
      <c r="S98" s="295">
        <f>((Morwind!S73+Morwind!S90)*$E98+'Mojave 16-18'!S152)/$A$1</f>
        <v>485.97971855109802</v>
      </c>
      <c r="T98" s="295">
        <f>((Morwind!T73+Morwind!T90)*$E98+'Mojave 16-18'!T152)/$A$1</f>
        <v>517.27463598173836</v>
      </c>
      <c r="U98" s="295">
        <f>((Morwind!U73+Morwind!U90)*$E98+'Mojave 16-18'!U152)/$A$1</f>
        <v>608.84691680518495</v>
      </c>
      <c r="V98" s="295">
        <f>((Morwind!V73+Morwind!V90)*$E98+'Mojave 16-18'!V152)/$A$1</f>
        <v>0</v>
      </c>
      <c r="W98" s="295">
        <f>((Morwind!W73+Morwind!W90)*$E98+'Mojave 16-18'!W152)/$A$1</f>
        <v>0</v>
      </c>
      <c r="X98" s="295">
        <f>((Morwind!X73+Morwind!X90)*$E98+'Mojave 16-18'!X152)/$A$1</f>
        <v>0</v>
      </c>
      <c r="Y98" s="295">
        <f>((Morwind!Y73+Morwind!Y90)*$E98+'Mojave 16-18'!Y152)/$A$1</f>
        <v>0</v>
      </c>
      <c r="Z98" s="295">
        <f>((Morwind!Z73+Morwind!Z90)*$E98+'Mojave 16-18'!Z152)/$A$1</f>
        <v>0</v>
      </c>
    </row>
    <row r="99" spans="2:26" ht="15">
      <c r="B99" s="334"/>
      <c r="C99" s="334" t="s">
        <v>153</v>
      </c>
      <c r="D99" s="334"/>
      <c r="E99" s="578">
        <f t="shared" si="12"/>
        <v>0.5</v>
      </c>
      <c r="F99" s="1161">
        <f>(VG!F152+(VG!F73+VG!F90)*$E99)/$A$1</f>
        <v>1516.9384826235596</v>
      </c>
      <c r="G99" s="1161">
        <f>(VG!G152+(VG!G73+VG!G90)*$E99)/$A$1</f>
        <v>1992.2068229850388</v>
      </c>
      <c r="H99" s="1161">
        <f>(VG!H152+(VG!H73+VG!H90)*$E99)/$A$1</f>
        <v>1498.4235534053587</v>
      </c>
      <c r="I99" s="1161">
        <f>(VG!I152+(VG!I73+VG!I90)*$E99)/$A$1</f>
        <v>1204.8203491758075</v>
      </c>
      <c r="J99" s="1161">
        <f>(VG!J152+(VG!J73+VG!J90)*$E99)/$A$1</f>
        <v>1211.4396550518813</v>
      </c>
      <c r="K99" s="1161">
        <f>(VG!K152+(VG!K73+VG!K90)*$E99)/$A$1</f>
        <v>985.39425643674645</v>
      </c>
      <c r="L99" s="1161">
        <f>(VG!L152+(VG!L73+VG!L90)*$E99)/$A$1</f>
        <v>759.14389450473834</v>
      </c>
      <c r="M99" s="1161">
        <f>(VG!M152+(VG!M73+VG!M90)*$E99)/$A$1</f>
        <v>757.77322454512364</v>
      </c>
      <c r="N99" s="1161">
        <f>(VG!N152+(VG!N73+VG!N90)*$E99)/$A$1</f>
        <v>756.18172580343708</v>
      </c>
      <c r="O99" s="1161">
        <f>(VG!O152+(VG!O73+VG!O90)*$E99)/$A$1</f>
        <v>764.42423251648006</v>
      </c>
      <c r="P99" s="1161">
        <f>(VG!P152+(VG!P73+VG!P90)*$E99)/$A$1</f>
        <v>772.83162234979193</v>
      </c>
      <c r="Q99" s="1161">
        <f>(VG!Q152+(VG!Q73+VG!Q90)*$E99)/$A$1</f>
        <v>781.40719360900573</v>
      </c>
      <c r="R99" s="1161">
        <f>(VG!R152+(VG!R73+VG!R90)*$E99)/$A$1</f>
        <v>790.15431057840851</v>
      </c>
      <c r="S99" s="1161">
        <f>(VG!S152+(VG!S73+VG!S90)*$E99)/$A$1</f>
        <v>786.7061108005305</v>
      </c>
      <c r="T99" s="1161">
        <f>(VG!T152+(VG!T73+VG!T90)*$E99)/$A$1</f>
        <v>0</v>
      </c>
      <c r="U99" s="1161">
        <f>(VG!U152+(VG!U73+VG!U90)*$E99)/$A$1</f>
        <v>0</v>
      </c>
      <c r="V99" s="1161">
        <f>(VG!V152+(VG!V73+VG!V90)*$E99)/$A$1</f>
        <v>0</v>
      </c>
      <c r="W99" s="1161">
        <f>(VG!W152+(VG!W73+VG!W90)*$E99)/$A$1</f>
        <v>0</v>
      </c>
      <c r="X99" s="1161">
        <f>(VG!X152+(VG!X73+VG!X90)*$E99)/$A$1</f>
        <v>0</v>
      </c>
      <c r="Y99" s="1161">
        <f>(VG!Y152+(VG!Y73+VG!Y90)*$E99)/$A$1</f>
        <v>0</v>
      </c>
      <c r="Z99" s="1161">
        <f>(VG!Z152+(VG!Z73+VG!Z90)*$E99)/$A$1</f>
        <v>0</v>
      </c>
    </row>
    <row r="100" spans="2:26">
      <c r="B100" s="334"/>
      <c r="C100" s="334"/>
      <c r="D100" s="334"/>
      <c r="E100" s="578"/>
      <c r="F100" s="295">
        <f>SUM(F92:F99)</f>
        <v>28039.893197906164</v>
      </c>
      <c r="G100" s="295">
        <f t="shared" ref="G100:Z100" si="13">SUM(G92:G99)</f>
        <v>36540.220818599853</v>
      </c>
      <c r="H100" s="295">
        <f t="shared" si="13"/>
        <v>26139.321300836724</v>
      </c>
      <c r="I100" s="295">
        <f t="shared" si="13"/>
        <v>19409.562390606487</v>
      </c>
      <c r="J100" s="295">
        <f t="shared" si="13"/>
        <v>19788.207485947649</v>
      </c>
      <c r="K100" s="295">
        <f t="shared" si="13"/>
        <v>15322.926259697093</v>
      </c>
      <c r="L100" s="295">
        <f t="shared" si="13"/>
        <v>10666.58993654515</v>
      </c>
      <c r="M100" s="295">
        <f t="shared" si="13"/>
        <v>10897.681553174169</v>
      </c>
      <c r="N100" s="295">
        <f t="shared" si="13"/>
        <v>8173.3265949947436</v>
      </c>
      <c r="O100" s="295">
        <f t="shared" si="13"/>
        <v>6229.0858820844551</v>
      </c>
      <c r="P100" s="295">
        <f t="shared" si="13"/>
        <v>5970.0188255961766</v>
      </c>
      <c r="Q100" s="295">
        <f t="shared" si="13"/>
        <v>5972.2909513784316</v>
      </c>
      <c r="R100" s="295">
        <f t="shared" si="13"/>
        <v>5744.7404087138602</v>
      </c>
      <c r="S100" s="295">
        <f t="shared" si="13"/>
        <v>5544.1766533098053</v>
      </c>
      <c r="T100" s="295">
        <f t="shared" si="13"/>
        <v>4942.9515773974317</v>
      </c>
      <c r="U100" s="295">
        <f t="shared" si="13"/>
        <v>6955.2460692282857</v>
      </c>
      <c r="V100" s="295">
        <f t="shared" si="13"/>
        <v>6627.379681966434</v>
      </c>
      <c r="W100" s="295">
        <f t="shared" si="13"/>
        <v>6625.6924166875497</v>
      </c>
      <c r="X100" s="295">
        <f t="shared" si="13"/>
        <v>4858.0655539444169</v>
      </c>
      <c r="Y100" s="295">
        <f t="shared" si="13"/>
        <v>3397.7602672036601</v>
      </c>
      <c r="Z100" s="295">
        <f t="shared" si="13"/>
        <v>0</v>
      </c>
    </row>
    <row r="101" spans="2:26">
      <c r="B101" s="334"/>
      <c r="C101" s="334"/>
      <c r="D101" s="334"/>
      <c r="E101" s="578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</row>
    <row r="102" spans="2:26">
      <c r="B102" s="334"/>
      <c r="C102" s="334"/>
      <c r="D102" s="334"/>
      <c r="E102" s="578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</row>
    <row r="103" spans="2:26">
      <c r="B103" s="582" t="s">
        <v>165</v>
      </c>
      <c r="C103" s="334"/>
      <c r="D103" s="334"/>
      <c r="E103" s="578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</row>
    <row r="104" spans="2:26">
      <c r="B104" s="334"/>
      <c r="C104" s="334" t="s">
        <v>154</v>
      </c>
      <c r="D104" s="334"/>
      <c r="E104" s="578">
        <f t="shared" ref="E104:E110" si="14">E141</f>
        <v>0.5</v>
      </c>
      <c r="F104" s="295">
        <f>('WPP 92'!F73+'WPP 92'!F90)*$E$104</f>
        <v>845.92414566366074</v>
      </c>
      <c r="G104" s="295">
        <f>('WPP 92'!G73+'WPP 92'!G90)*$E$104</f>
        <v>1031.5362142902084</v>
      </c>
      <c r="H104" s="295">
        <f>('WPP 92'!H73+'WPP 92'!H90)*$E$104</f>
        <v>764.61065171709186</v>
      </c>
      <c r="I104" s="295">
        <f>('WPP 92'!I73+'WPP 92'!I90)*$E$104</f>
        <v>602.8104527066406</v>
      </c>
      <c r="J104" s="295">
        <f>('WPP 92'!J73+'WPP 92'!J90)*$E$104</f>
        <v>610.20470332887373</v>
      </c>
      <c r="K104" s="295">
        <f>('WPP 92'!K73+'WPP 92'!K90)*$E$104</f>
        <v>492.58126847123322</v>
      </c>
      <c r="L104" s="295">
        <f>('WPP 92'!L73+'WPP 92'!L90)*$E$104</f>
        <v>375.23315087483945</v>
      </c>
      <c r="M104" s="295">
        <f>('WPP 92'!M73+'WPP 92'!M90)*$E$104</f>
        <v>385.90471608743928</v>
      </c>
      <c r="N104" s="295">
        <f>('WPP 92'!N73+'WPP 92'!N90)*$E$104</f>
        <v>389.8829160483736</v>
      </c>
      <c r="O104" s="295">
        <f>('WPP 92'!O73+'WPP 92'!O90)*$E$104</f>
        <v>394.21672979223922</v>
      </c>
      <c r="P104" s="295">
        <f>('WPP 92'!P73+'WPP 92'!P90)*$E$104</f>
        <v>398.62315496641361</v>
      </c>
      <c r="Q104" s="295">
        <f>('WPP 92'!Q73+'WPP 92'!Q90)*$E$104</f>
        <v>411.68055625300178</v>
      </c>
      <c r="R104" s="295">
        <f>('WPP 92'!R73+'WPP 92'!R90)*$E$104</f>
        <v>410.08583753896824</v>
      </c>
      <c r="S104" s="295">
        <f>('WPP 92'!S73+'WPP 92'!S90)*$E$104</f>
        <v>408.50000439972359</v>
      </c>
      <c r="T104" s="295">
        <f>('WPP 92'!T73+'WPP 92'!T90)*$E$104</f>
        <v>406.63304910237309</v>
      </c>
      <c r="U104" s="295">
        <f>('WPP 92'!U73+'WPP 92'!U90)*$E$104</f>
        <v>404.74941093607083</v>
      </c>
      <c r="V104" s="295">
        <f>('WPP 92'!V73+'WPP 92'!V90)*$E$104</f>
        <v>0</v>
      </c>
      <c r="W104" s="295">
        <f>('WPP 92'!W73+'WPP 92'!W90)*$E$104</f>
        <v>0</v>
      </c>
      <c r="X104" s="295">
        <f>('WPP 92'!X73+'WPP 92'!X90)*$E$104</f>
        <v>0</v>
      </c>
      <c r="Y104" s="295">
        <f>('WPP 92'!Y73+'WPP 92'!Y90)*$E$104</f>
        <v>0</v>
      </c>
      <c r="Z104" s="295">
        <f>('WPP 92'!Z73+'WPP 92'!Z90)*$E$104</f>
        <v>0</v>
      </c>
    </row>
    <row r="105" spans="2:26">
      <c r="B105" s="334"/>
      <c r="C105" s="334" t="s">
        <v>155</v>
      </c>
      <c r="D105" s="334"/>
      <c r="E105" s="578">
        <f t="shared" si="14"/>
        <v>0.5</v>
      </c>
      <c r="F105" s="295">
        <f>('WPP 91-2'!F73+'WPP 91-2'!F90)*$E$105</f>
        <v>471.74769379620477</v>
      </c>
      <c r="G105" s="295">
        <f>('WPP 91-2'!G73+'WPP 91-2'!G90)*$E$105</f>
        <v>544.95565600448606</v>
      </c>
      <c r="H105" s="295">
        <f>('WPP 91-2'!H73+'WPP 91-2'!H90)*$E$105</f>
        <v>406.6714789593978</v>
      </c>
      <c r="I105" s="295">
        <f>('WPP 91-2'!I73+'WPP 91-2'!I90)*$E$105</f>
        <v>321.79896824577389</v>
      </c>
      <c r="J105" s="295">
        <f>('WPP 91-2'!J73+'WPP 91-2'!J90)*$E$105</f>
        <v>326.18352138517673</v>
      </c>
      <c r="K105" s="295">
        <f>('WPP 91-2'!K73+'WPP 91-2'!K90)*$E$105</f>
        <v>253.7149862859888</v>
      </c>
      <c r="L105" s="295">
        <f>('WPP 91-2'!L73+'WPP 91-2'!L90)*$E$105</f>
        <v>189.99310285135988</v>
      </c>
      <c r="M105" s="295">
        <f>('WPP 91-2'!M73+'WPP 91-2'!M90)*$E$105</f>
        <v>196.42398844132444</v>
      </c>
      <c r="N105" s="295">
        <f>('WPP 91-2'!N73+'WPP 91-2'!N90)*$E$105</f>
        <v>197.60809035392472</v>
      </c>
      <c r="O105" s="295">
        <f>('WPP 91-2'!O73+'WPP 91-2'!O90)*$E$105</f>
        <v>199.01753755914075</v>
      </c>
      <c r="P105" s="295">
        <f>('WPP 91-2'!P73+'WPP 91-2'!P90)*$E$105</f>
        <v>200.42788809223933</v>
      </c>
      <c r="Q105" s="295">
        <f>('WPP 91-2'!Q73+'WPP 91-2'!Q90)*$E$105</f>
        <v>208.50154037425216</v>
      </c>
      <c r="R105" s="295">
        <f>('WPP 91-2'!R73+'WPP 91-2'!R90)*$E$105</f>
        <v>204.93276269491372</v>
      </c>
      <c r="S105" s="295">
        <f>('WPP 91-2'!S73+'WPP 91-2'!S90)*$E$105</f>
        <v>201.30777960214982</v>
      </c>
      <c r="T105" s="295">
        <f>('WPP 91-2'!T73+'WPP 91-2'!T90)*$E$105</f>
        <v>197.38590043858829</v>
      </c>
      <c r="U105" s="295">
        <f>('WPP 91-2'!U73+'WPP 91-2'!U90)*$E$105</f>
        <v>0</v>
      </c>
      <c r="V105" s="295">
        <f>('WPP 91-2'!V73+'WPP 91-2'!V90)*$E$105</f>
        <v>0</v>
      </c>
      <c r="W105" s="295">
        <f>('WPP 91-2'!W73+'WPP 91-2'!W90)*$E$105</f>
        <v>0</v>
      </c>
      <c r="X105" s="295">
        <f>('WPP 91-2'!X73+'WPP 91-2'!X90)*$E$105</f>
        <v>0</v>
      </c>
      <c r="Y105" s="295">
        <f>('WPP 91-2'!Y73+'WPP 91-2'!Y90)*$E$105</f>
        <v>0</v>
      </c>
      <c r="Z105" s="295">
        <f>('WPP 91-2'!Z73+'WPP 91-2'!Z90)*$E$105</f>
        <v>0</v>
      </c>
    </row>
    <row r="106" spans="2:26">
      <c r="B106" s="334"/>
      <c r="C106" s="334" t="s">
        <v>156</v>
      </c>
      <c r="D106" s="334"/>
      <c r="E106" s="578">
        <f t="shared" si="14"/>
        <v>0</v>
      </c>
      <c r="F106" s="295">
        <v>0</v>
      </c>
      <c r="G106" s="295">
        <v>0</v>
      </c>
      <c r="H106" s="295">
        <v>0</v>
      </c>
      <c r="I106" s="295">
        <v>0</v>
      </c>
      <c r="J106" s="295">
        <v>0</v>
      </c>
      <c r="K106" s="295">
        <v>0</v>
      </c>
      <c r="L106" s="295">
        <v>0</v>
      </c>
      <c r="M106" s="295">
        <v>0</v>
      </c>
      <c r="N106" s="295">
        <v>0</v>
      </c>
      <c r="O106" s="295">
        <v>0</v>
      </c>
      <c r="P106" s="295">
        <v>0</v>
      </c>
      <c r="Q106" s="295">
        <v>0</v>
      </c>
      <c r="R106" s="295">
        <v>0</v>
      </c>
      <c r="S106" s="295">
        <v>0</v>
      </c>
      <c r="T106" s="295">
        <v>0</v>
      </c>
      <c r="U106" s="295">
        <v>0</v>
      </c>
      <c r="V106" s="295">
        <v>0</v>
      </c>
      <c r="W106" s="295">
        <v>0</v>
      </c>
      <c r="X106" s="295">
        <v>0</v>
      </c>
      <c r="Y106" s="295">
        <v>0</v>
      </c>
      <c r="Z106" s="295">
        <v>0</v>
      </c>
    </row>
    <row r="107" spans="2:26">
      <c r="B107" s="334"/>
      <c r="C107" s="334" t="s">
        <v>157</v>
      </c>
      <c r="D107" s="334"/>
      <c r="E107" s="578">
        <f t="shared" si="14"/>
        <v>0.5</v>
      </c>
      <c r="F107" s="295">
        <f>('WPP 89'!F73+'WPP 89'!F90)*$E$107</f>
        <v>1515.952465782859</v>
      </c>
      <c r="G107" s="295">
        <f>('WPP 89'!G73+'WPP 89'!G90)*$E$107</f>
        <v>1855.1434106706024</v>
      </c>
      <c r="H107" s="295">
        <f>('WPP 89'!H73+'WPP 89'!H90)*$E$107</f>
        <v>1372.727791662579</v>
      </c>
      <c r="I107" s="295">
        <f>('WPP 89'!I73+'WPP 89'!I90)*$E$107</f>
        <v>1080.3884019722514</v>
      </c>
      <c r="J107" s="295">
        <f>('WPP 89'!J73+'WPP 89'!J90)*$E$107</f>
        <v>1095.6350076706367</v>
      </c>
      <c r="K107" s="295">
        <f>('WPP 89'!K73+'WPP 89'!K90)*$E$107</f>
        <v>883.65126396746257</v>
      </c>
      <c r="L107" s="295">
        <f>('WPP 89'!L73+'WPP 89'!L90)*$E$107</f>
        <v>672.13605936045838</v>
      </c>
      <c r="M107" s="295">
        <f>('WPP 89'!M73+'WPP 89'!M90)*$E$107</f>
        <v>693.3732431925464</v>
      </c>
      <c r="N107" s="295">
        <f>('WPP 89'!N73+'WPP 89'!N90)*$E$107</f>
        <v>700.52100018517217</v>
      </c>
      <c r="O107" s="295">
        <f>('WPP 89'!O73+'WPP 89'!O90)*$E$107</f>
        <v>707.97089829615584</v>
      </c>
      <c r="P107" s="295">
        <f>('WPP 89'!P73+'WPP 89'!P90)*$E$107</f>
        <v>715.13665466990983</v>
      </c>
      <c r="Q107" s="295">
        <f>('WPP 89'!Q73+'WPP 89'!Q90)*$E$107</f>
        <v>738.57741176951254</v>
      </c>
      <c r="R107" s="295">
        <f>('WPP 89'!R73+'WPP 89'!R90)*$E$107</f>
        <v>731.69066686715928</v>
      </c>
      <c r="S107" s="295">
        <f>('WPP 89'!S73+'WPP 89'!S90)*$E$107</f>
        <v>723.95649946619426</v>
      </c>
      <c r="T107" s="295">
        <f>('WPP 89'!T73+'WPP 89'!T90)*$E$107</f>
        <v>714.64409364851622</v>
      </c>
      <c r="U107" s="295">
        <f>('WPP 89'!U73+'WPP 89'!U90)*$E$107</f>
        <v>704.03844352511419</v>
      </c>
      <c r="V107" s="295">
        <f>('WPP 89'!V73+'WPP 89'!V90)*$E$107</f>
        <v>734.79126369938547</v>
      </c>
      <c r="W107" s="295">
        <f>('WPP 89'!W73+'WPP 89'!W90)*$E$107</f>
        <v>766.44486940870991</v>
      </c>
      <c r="X107" s="295">
        <f>('WPP 89'!X73+'WPP 89'!X90)*$E$107</f>
        <v>799.02538343360538</v>
      </c>
      <c r="Y107" s="295">
        <f>('WPP 89'!Y73+'WPP 89'!Y90)*$E$107</f>
        <v>0</v>
      </c>
      <c r="Z107" s="295">
        <f>('WPP 89'!Z73+'WPP 89'!Z90)*$E$107</f>
        <v>0</v>
      </c>
    </row>
    <row r="108" spans="2:26">
      <c r="B108" s="334"/>
      <c r="C108" s="334" t="s">
        <v>158</v>
      </c>
      <c r="D108" s="334"/>
      <c r="E108" s="578">
        <f>'WPP 91'!C60</f>
        <v>0.5</v>
      </c>
      <c r="F108" s="295">
        <f>('WPP 91'!F73+'WPP 91'!F90)*$E$108</f>
        <v>541.17718659725074</v>
      </c>
      <c r="G108" s="295">
        <f>('WPP 91'!G73+'WPP 91'!G90)*$E$108</f>
        <v>576.4746643661199</v>
      </c>
      <c r="H108" s="295">
        <f>('WPP 91'!H73+'WPP 91'!H90)*$E$108</f>
        <v>446.73986881247708</v>
      </c>
      <c r="I108" s="295">
        <f>('WPP 91'!I73+'WPP 91'!I90)*$E$108</f>
        <v>368.43858787765606</v>
      </c>
      <c r="J108" s="295">
        <f>('WPP 91'!J73+'WPP 91'!J90)*$E$108</f>
        <v>372.40489594449713</v>
      </c>
      <c r="K108" s="295">
        <f>('WPP 91'!K73+'WPP 91'!K90)*$E$108</f>
        <v>315.68597669504641</v>
      </c>
      <c r="L108" s="295">
        <f>('WPP 91'!L73+'WPP 91'!L90)*$E$108</f>
        <v>254.03341470719943</v>
      </c>
      <c r="M108" s="295">
        <f>('WPP 91'!M73+'WPP 91'!M90)*$E$108</f>
        <v>254.37790969157746</v>
      </c>
      <c r="N108" s="295">
        <f>('WPP 91'!N73+'WPP 91'!N90)*$E$108</f>
        <v>251.74042061796979</v>
      </c>
      <c r="O108" s="295">
        <f>('WPP 91'!O73+'WPP 91'!O90)*$E$108</f>
        <v>249.0173411200013</v>
      </c>
      <c r="P108" s="295">
        <f>('WPP 91'!P73+'WPP 91'!P90)*$E$108</f>
        <v>248.55932879613241</v>
      </c>
      <c r="Q108" s="295">
        <f>('WPP 91'!Q73+'WPP 91'!Q90)*$E$108</f>
        <v>251.64145711199257</v>
      </c>
      <c r="R108" s="295">
        <f>('WPP 91'!R73+'WPP 91'!R90)*$E$108</f>
        <v>248.73603028289753</v>
      </c>
      <c r="S108" s="295">
        <f>('WPP 91'!S73+'WPP 91'!S90)*$E$108</f>
        <v>245.68719857809492</v>
      </c>
      <c r="T108" s="295">
        <f>('WPP 91'!T73+'WPP 91'!T90)*$E$108</f>
        <v>253.55413456753399</v>
      </c>
      <c r="U108" s="295">
        <f>('WPP 91'!U73+'WPP 91'!U90)*$E$108</f>
        <v>39.825392890912696</v>
      </c>
      <c r="V108" s="295">
        <f>('WPP 91'!V73+'WPP 91'!V90)*$E$108</f>
        <v>34.173700028262473</v>
      </c>
      <c r="W108" s="295">
        <f>('WPP 91'!W73+'WPP 91'!W90)*$E$108</f>
        <v>28.265778387452464</v>
      </c>
      <c r="X108" s="295">
        <f>('WPP 91'!X73+'WPP 91'!X90)*$E$108</f>
        <v>0</v>
      </c>
      <c r="Y108" s="295">
        <f>('WPP 91'!Y73+'WPP 91'!Y90)*$E$108</f>
        <v>0</v>
      </c>
      <c r="Z108" s="295">
        <f>('WPP 91'!Z73+'WPP 91'!Z90)*$E$108</f>
        <v>0</v>
      </c>
    </row>
    <row r="109" spans="2:26">
      <c r="B109" s="334"/>
      <c r="C109" s="334" t="s">
        <v>159</v>
      </c>
      <c r="D109" s="334"/>
      <c r="E109" s="578">
        <f t="shared" si="14"/>
        <v>0.5</v>
      </c>
      <c r="F109" s="295">
        <f>('WPP 90'!F73+'WPP 90'!F90)*$E$109</f>
        <v>336.06442715811755</v>
      </c>
      <c r="G109" s="295">
        <f>('WPP 90'!G73+'WPP 90'!G90)*$E$109</f>
        <v>453.74168014934401</v>
      </c>
      <c r="H109" s="295">
        <f>('WPP 90'!H73+'WPP 90'!H90)*$E$109</f>
        <v>338.08563772103753</v>
      </c>
      <c r="I109" s="295">
        <f>('WPP 90'!I73+'WPP 90'!I90)*$E$109</f>
        <v>267.95247922197183</v>
      </c>
      <c r="J109" s="295">
        <f>('WPP 90'!J73+'WPP 90'!J90)*$E$109</f>
        <v>272.55193899271438</v>
      </c>
      <c r="K109" s="295">
        <f>('WPP 90'!K73+'WPP 90'!K90)*$E$109</f>
        <v>214.92228108739536</v>
      </c>
      <c r="L109" s="295">
        <f>('WPP 90'!L73+'WPP 90'!L90)*$E$109</f>
        <v>162.88339580539312</v>
      </c>
      <c r="M109" s="295">
        <f>('WPP 90'!M73+'WPP 90'!M90)*$E$109</f>
        <v>169.08265981107118</v>
      </c>
      <c r="N109" s="295">
        <f>('WPP 90'!N73+'WPP 90'!N90)*$E$109</f>
        <v>171.37757223822575</v>
      </c>
      <c r="O109" s="295">
        <f>('WPP 90'!O73+'WPP 90'!O90)*$E$109</f>
        <v>173.88369131182722</v>
      </c>
      <c r="P109" s="295">
        <f>('WPP 90'!P73+'WPP 90'!P90)*$E$109</f>
        <v>176.04850789074516</v>
      </c>
      <c r="Q109" s="295">
        <f>('WPP 90'!Q73+'WPP 90'!Q90)*$E$109</f>
        <v>182.97229158588055</v>
      </c>
      <c r="R109" s="295">
        <f>('WPP 90'!R73+'WPP 90'!R90)*$E$109</f>
        <v>181.58074270282452</v>
      </c>
      <c r="S109" s="295">
        <f>('WPP 90'!S73+'WPP 90'!S90)*$E$109</f>
        <v>180.17146287542553</v>
      </c>
      <c r="T109" s="295">
        <f>('WPP 90'!T73+'WPP 90'!T90)*$E$109</f>
        <v>178.59193180557821</v>
      </c>
      <c r="U109" s="295">
        <f>('WPP 90'!U73+'WPP 90'!U90)*$E$109</f>
        <v>176.98625296018605</v>
      </c>
      <c r="V109" s="295">
        <f>('WPP 90'!V73+'WPP 90'!V90)*$E$109</f>
        <v>179.43343257530228</v>
      </c>
      <c r="W109" s="295">
        <f>('WPP 90'!W73+'WPP 90'!W90)*$E$109</f>
        <v>187.75720322002923</v>
      </c>
      <c r="X109" s="295">
        <f>('WPP 90'!X73+'WPP 90'!X90)*$E$109</f>
        <v>0</v>
      </c>
      <c r="Y109" s="295">
        <f>('WPP 90'!Y73+'WPP 90'!Y90)*$E$109</f>
        <v>0</v>
      </c>
      <c r="Z109" s="295">
        <f>('WPP 90'!Z73+'WPP 90'!Z90)*$E$109</f>
        <v>0</v>
      </c>
    </row>
    <row r="110" spans="2:26" ht="15">
      <c r="B110" s="334"/>
      <c r="C110" s="334" t="s">
        <v>160</v>
      </c>
      <c r="D110" s="334"/>
      <c r="E110" s="578">
        <f t="shared" si="14"/>
        <v>0</v>
      </c>
      <c r="F110" s="1161">
        <v>0</v>
      </c>
      <c r="G110" s="1161">
        <v>0</v>
      </c>
      <c r="H110" s="1161">
        <v>0</v>
      </c>
      <c r="I110" s="1161">
        <v>0</v>
      </c>
      <c r="J110" s="1161">
        <v>0</v>
      </c>
      <c r="K110" s="1161">
        <v>0</v>
      </c>
      <c r="L110" s="1161">
        <v>0</v>
      </c>
      <c r="M110" s="1161">
        <v>0</v>
      </c>
      <c r="N110" s="1161">
        <v>0</v>
      </c>
      <c r="O110" s="1161">
        <v>0</v>
      </c>
      <c r="P110" s="1161">
        <v>0</v>
      </c>
      <c r="Q110" s="1161">
        <v>0</v>
      </c>
      <c r="R110" s="1161">
        <v>0</v>
      </c>
      <c r="S110" s="1161">
        <v>0</v>
      </c>
      <c r="T110" s="1161">
        <v>0</v>
      </c>
      <c r="U110" s="1161">
        <v>0</v>
      </c>
      <c r="V110" s="1161">
        <v>0</v>
      </c>
      <c r="W110" s="1161">
        <v>0</v>
      </c>
      <c r="X110" s="1161">
        <v>0</v>
      </c>
      <c r="Y110" s="1161">
        <v>0</v>
      </c>
      <c r="Z110" s="1161">
        <v>0</v>
      </c>
    </row>
    <row r="111" spans="2:26">
      <c r="B111" s="334"/>
      <c r="C111" s="334"/>
      <c r="D111" s="334"/>
      <c r="E111" s="334"/>
      <c r="F111" s="302">
        <f>SUM(F104:F110)</f>
        <v>3710.8659189980926</v>
      </c>
      <c r="G111" s="302">
        <f t="shared" ref="G111:Z111" si="15">SUM(G104:G110)</f>
        <v>4461.85162548076</v>
      </c>
      <c r="H111" s="302">
        <f t="shared" si="15"/>
        <v>3328.8354288725836</v>
      </c>
      <c r="I111" s="302">
        <f t="shared" si="15"/>
        <v>2641.3888900242937</v>
      </c>
      <c r="J111" s="302">
        <f t="shared" si="15"/>
        <v>2676.9800673218988</v>
      </c>
      <c r="K111" s="302">
        <f t="shared" si="15"/>
        <v>2160.5557765071262</v>
      </c>
      <c r="L111" s="302">
        <f t="shared" si="15"/>
        <v>1654.2791235992502</v>
      </c>
      <c r="M111" s="302">
        <f t="shared" si="15"/>
        <v>1699.162517223959</v>
      </c>
      <c r="N111" s="302">
        <f t="shared" si="15"/>
        <v>1711.1299994436658</v>
      </c>
      <c r="O111" s="302">
        <f t="shared" si="15"/>
        <v>1724.1061980793643</v>
      </c>
      <c r="P111" s="302">
        <f t="shared" si="15"/>
        <v>1738.7955344154404</v>
      </c>
      <c r="Q111" s="302">
        <f t="shared" si="15"/>
        <v>1793.3732570946397</v>
      </c>
      <c r="R111" s="302">
        <f t="shared" si="15"/>
        <v>1777.0260400867633</v>
      </c>
      <c r="S111" s="302">
        <f t="shared" si="15"/>
        <v>1759.6229449215882</v>
      </c>
      <c r="T111" s="302">
        <f t="shared" si="15"/>
        <v>1750.8091095625898</v>
      </c>
      <c r="U111" s="302">
        <f t="shared" si="15"/>
        <v>1325.5995003122837</v>
      </c>
      <c r="V111" s="302">
        <f t="shared" si="15"/>
        <v>948.39839630295023</v>
      </c>
      <c r="W111" s="302">
        <f t="shared" si="15"/>
        <v>982.46785101619162</v>
      </c>
      <c r="X111" s="302">
        <f t="shared" si="15"/>
        <v>799.02538343360538</v>
      </c>
      <c r="Y111" s="302">
        <f t="shared" si="15"/>
        <v>0</v>
      </c>
      <c r="Z111" s="302">
        <f t="shared" si="15"/>
        <v>0</v>
      </c>
    </row>
    <row r="112" spans="2:26">
      <c r="B112" s="334"/>
      <c r="C112" s="334"/>
      <c r="D112" s="334"/>
      <c r="E112" s="334"/>
    </row>
    <row r="113" spans="1:35">
      <c r="B113" s="334"/>
      <c r="C113" s="334"/>
      <c r="D113" s="334"/>
      <c r="E113" s="334"/>
    </row>
    <row r="114" spans="1:35" ht="13.5" thickBot="1">
      <c r="B114" s="584" t="s">
        <v>167</v>
      </c>
      <c r="C114" s="334"/>
      <c r="D114" s="334"/>
      <c r="E114" s="334"/>
      <c r="F114" s="1127">
        <f>F111+F88+F100</f>
        <v>56964.013567886592</v>
      </c>
      <c r="G114" s="1127">
        <f t="shared" ref="G114:Z114" si="16">G111+G88+G100</f>
        <v>73938.624412812656</v>
      </c>
      <c r="H114" s="1127">
        <f t="shared" si="16"/>
        <v>54463.701875044455</v>
      </c>
      <c r="I114" s="1127">
        <f t="shared" si="16"/>
        <v>42053.218039459112</v>
      </c>
      <c r="J114" s="1127">
        <f t="shared" si="16"/>
        <v>42865.144328935494</v>
      </c>
      <c r="K114" s="1127">
        <f t="shared" si="16"/>
        <v>34208.276616626637</v>
      </c>
      <c r="L114" s="1127">
        <f t="shared" si="16"/>
        <v>25290.626706271592</v>
      </c>
      <c r="M114" s="1127">
        <f t="shared" si="16"/>
        <v>25465.0124592149</v>
      </c>
      <c r="N114" s="1127">
        <f t="shared" si="16"/>
        <v>15692.484993344016</v>
      </c>
      <c r="O114" s="1127">
        <f t="shared" si="16"/>
        <v>12666.884113133348</v>
      </c>
      <c r="P114" s="1127">
        <f t="shared" si="16"/>
        <v>12421.344596241019</v>
      </c>
      <c r="Q114" s="1127">
        <f t="shared" si="16"/>
        <v>12460.364911220749</v>
      </c>
      <c r="R114" s="1127">
        <f t="shared" si="16"/>
        <v>12196.175602799256</v>
      </c>
      <c r="S114" s="1127">
        <f t="shared" si="16"/>
        <v>12021.973372846856</v>
      </c>
      <c r="T114" s="1127">
        <f t="shared" si="16"/>
        <v>11419.598833023269</v>
      </c>
      <c r="U114" s="1127">
        <f t="shared" si="16"/>
        <v>15472.32999695324</v>
      </c>
      <c r="V114" s="1127">
        <f t="shared" si="16"/>
        <v>16105.733614293957</v>
      </c>
      <c r="W114" s="1127">
        <f t="shared" si="16"/>
        <v>15568.834108065676</v>
      </c>
      <c r="X114" s="1127">
        <f t="shared" si="16"/>
        <v>10914.395633269436</v>
      </c>
      <c r="Y114" s="1127">
        <f t="shared" si="16"/>
        <v>7057.5725547659495</v>
      </c>
      <c r="Z114" s="1127">
        <f t="shared" si="16"/>
        <v>0</v>
      </c>
    </row>
    <row r="115" spans="1:35" ht="13.5" thickTop="1"/>
    <row r="116" spans="1:35">
      <c r="A116" s="313"/>
      <c r="B116" s="313"/>
      <c r="C116" s="313"/>
      <c r="D116" s="313"/>
      <c r="E116" s="313"/>
      <c r="F116" s="313"/>
      <c r="G116" s="313"/>
      <c r="H116" s="313"/>
      <c r="I116" s="313"/>
      <c r="J116" s="313"/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</row>
    <row r="117" spans="1:35">
      <c r="A117" s="313"/>
      <c r="B117" s="313"/>
      <c r="C117" s="313"/>
      <c r="D117" s="313"/>
      <c r="E117" s="313"/>
      <c r="F117" s="313"/>
      <c r="G117" s="313"/>
      <c r="H117" s="313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S117" s="313"/>
      <c r="T117" s="313"/>
      <c r="U117" s="313"/>
      <c r="V117" s="313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3"/>
      <c r="AH117" s="313"/>
      <c r="AI117" s="313"/>
    </row>
    <row r="119" spans="1:35" ht="13.5" thickBot="1">
      <c r="B119" s="299"/>
      <c r="C119" s="299"/>
      <c r="D119" s="299"/>
      <c r="E119" s="299"/>
      <c r="F119" s="1158">
        <v>2001</v>
      </c>
      <c r="G119" s="1158">
        <f>+F119+1</f>
        <v>2002</v>
      </c>
      <c r="H119" s="1158">
        <f t="shared" ref="H119:Y119" si="17">+G119+1</f>
        <v>2003</v>
      </c>
      <c r="I119" s="1158">
        <f t="shared" si="17"/>
        <v>2004</v>
      </c>
      <c r="J119" s="1158">
        <f t="shared" si="17"/>
        <v>2005</v>
      </c>
      <c r="K119" s="1158">
        <f t="shared" si="17"/>
        <v>2006</v>
      </c>
      <c r="L119" s="1158">
        <f t="shared" si="17"/>
        <v>2007</v>
      </c>
      <c r="M119" s="1158">
        <f t="shared" si="17"/>
        <v>2008</v>
      </c>
      <c r="N119" s="1158">
        <f t="shared" si="17"/>
        <v>2009</v>
      </c>
      <c r="O119" s="1158">
        <f t="shared" si="17"/>
        <v>2010</v>
      </c>
      <c r="P119" s="1158">
        <f t="shared" si="17"/>
        <v>2011</v>
      </c>
      <c r="Q119" s="1158">
        <f t="shared" si="17"/>
        <v>2012</v>
      </c>
      <c r="R119" s="1158">
        <f t="shared" si="17"/>
        <v>2013</v>
      </c>
      <c r="S119" s="1158">
        <f t="shared" si="17"/>
        <v>2014</v>
      </c>
      <c r="T119" s="1158">
        <f t="shared" si="17"/>
        <v>2015</v>
      </c>
      <c r="U119" s="1158">
        <f t="shared" si="17"/>
        <v>2016</v>
      </c>
      <c r="V119" s="1158">
        <f t="shared" si="17"/>
        <v>2017</v>
      </c>
      <c r="W119" s="1158">
        <f t="shared" si="17"/>
        <v>2018</v>
      </c>
      <c r="X119" s="1158">
        <f t="shared" si="17"/>
        <v>2019</v>
      </c>
      <c r="Y119" s="1158">
        <f t="shared" si="17"/>
        <v>2020</v>
      </c>
      <c r="Z119" s="998">
        <f>Y119+1</f>
        <v>2021</v>
      </c>
    </row>
    <row r="120" spans="1:35" ht="15.75">
      <c r="B120" s="737" t="s">
        <v>168</v>
      </c>
      <c r="C120" s="737"/>
      <c r="D120" s="737"/>
      <c r="E120" s="565"/>
    </row>
    <row r="121" spans="1:35">
      <c r="B121" s="1042"/>
      <c r="C121" s="1042"/>
      <c r="D121" s="1042"/>
      <c r="E121" s="1042"/>
    </row>
    <row r="122" spans="1:35">
      <c r="B122" s="571" t="s">
        <v>141</v>
      </c>
    </row>
    <row r="123" spans="1:35">
      <c r="B123" s="334"/>
      <c r="C123" s="334" t="s">
        <v>142</v>
      </c>
      <c r="D123" s="334"/>
      <c r="E123" s="578">
        <f>'Cerro Gordo'!C60</f>
        <v>1</v>
      </c>
      <c r="F123" s="295">
        <f>'Cerro Gordo'!F56/$A$1*$E123</f>
        <v>2081.2850963069764</v>
      </c>
      <c r="G123" s="295">
        <f>'Cerro Gordo'!G56/$A$1*$E123</f>
        <v>2081.2850963069764</v>
      </c>
      <c r="H123" s="295">
        <f>'Cerro Gordo'!H56/$A$1*$E123</f>
        <v>2196.9120461018083</v>
      </c>
      <c r="I123" s="295">
        <f>'Cerro Gordo'!I56/$A$1*$E123</f>
        <v>2196.9120461018083</v>
      </c>
      <c r="J123" s="295">
        <f>'Cerro Gordo'!J56/$A$1*$E123</f>
        <v>2312.5389958966402</v>
      </c>
      <c r="K123" s="295">
        <f>'Cerro Gordo'!K56/$A$1*$E123</f>
        <v>2312.5389958966402</v>
      </c>
      <c r="L123" s="295">
        <f>'Cerro Gordo'!L56/$A$1*$E123</f>
        <v>2312.5389958966402</v>
      </c>
      <c r="M123" s="295">
        <f>'Cerro Gordo'!M56/$A$1*$E123</f>
        <v>2428.1659456914726</v>
      </c>
      <c r="N123" s="295">
        <f>'Cerro Gordo'!N56/$A$1*$E123</f>
        <v>1004.528925477842</v>
      </c>
      <c r="O123" s="295">
        <f>'Cerro Gordo'!O56/$A$1*$E123</f>
        <v>0</v>
      </c>
      <c r="P123" s="295">
        <f>'Cerro Gordo'!P56/$A$1*$E123</f>
        <v>0</v>
      </c>
      <c r="Q123" s="295">
        <f>'Cerro Gordo'!Q56/$A$1*$E123</f>
        <v>0</v>
      </c>
      <c r="R123" s="295">
        <f>'Cerro Gordo'!R56/$A$1*$E123</f>
        <v>0</v>
      </c>
      <c r="S123" s="295">
        <f>'Cerro Gordo'!S56/$A$1*$E123</f>
        <v>0</v>
      </c>
      <c r="T123" s="295">
        <f>'Cerro Gordo'!T56/$A$1*$E123</f>
        <v>0</v>
      </c>
      <c r="U123" s="295">
        <f>'Cerro Gordo'!U56/$A$1*$E123</f>
        <v>0</v>
      </c>
      <c r="V123" s="295">
        <f>'Cerro Gordo'!V56/$A$1*$E123</f>
        <v>0</v>
      </c>
      <c r="W123" s="295">
        <f>'Cerro Gordo'!W56/$A$1*$E123</f>
        <v>0</v>
      </c>
      <c r="X123" s="295">
        <f>'Cerro Gordo'!X56/$A$1*$E123</f>
        <v>0</v>
      </c>
      <c r="Y123" s="295">
        <f>'Cerro Gordo'!Y56/$A$1*$E123</f>
        <v>0</v>
      </c>
      <c r="Z123" s="295">
        <f>'Cerro Gordo'!Z56/$A$1*$E123</f>
        <v>0</v>
      </c>
    </row>
    <row r="124" spans="1:35">
      <c r="B124" s="334"/>
      <c r="C124" s="334" t="s">
        <v>143</v>
      </c>
      <c r="D124" s="334"/>
      <c r="E124" s="578">
        <f>'Southwest Mesa'!C60</f>
        <v>1</v>
      </c>
      <c r="F124" s="295">
        <f>'Southwest Mesa'!F56/$A$1*$E124</f>
        <v>5095.8548903890269</v>
      </c>
      <c r="G124" s="295">
        <f>'Southwest Mesa'!G56/$A$1*$E124</f>
        <v>5095.8548903890269</v>
      </c>
      <c r="H124" s="295">
        <f>'Southwest Mesa'!H56/$A$1*$E124</f>
        <v>5378.9579398550841</v>
      </c>
      <c r="I124" s="295">
        <f>'Southwest Mesa'!I56/$A$1*$E124</f>
        <v>5378.9579398550841</v>
      </c>
      <c r="J124" s="295">
        <f>'Southwest Mesa'!J56/$A$1*$E124</f>
        <v>5662.0609893211413</v>
      </c>
      <c r="K124" s="295">
        <f>'Southwest Mesa'!K56/$A$1*$E124</f>
        <v>5662.0609893211413</v>
      </c>
      <c r="L124" s="295">
        <f>'Southwest Mesa'!L56/$A$1*$E124</f>
        <v>5662.0609893211413</v>
      </c>
      <c r="M124" s="295">
        <f>'Southwest Mesa'!M56/$A$1*$E124</f>
        <v>5945.1640387871985</v>
      </c>
      <c r="N124" s="295">
        <f>'Southwest Mesa'!N56/$A$1*$E124</f>
        <v>646.04208491955399</v>
      </c>
      <c r="O124" s="295">
        <f>'Southwest Mesa'!O56/$A$1*$E124</f>
        <v>0</v>
      </c>
      <c r="P124" s="295">
        <f>'Southwest Mesa'!P56/$A$1*$E124</f>
        <v>0</v>
      </c>
      <c r="Q124" s="295">
        <f>'Southwest Mesa'!Q56/$A$1*$E124</f>
        <v>0</v>
      </c>
      <c r="R124" s="295">
        <f>'Southwest Mesa'!R56/$A$1*$E124</f>
        <v>0</v>
      </c>
      <c r="S124" s="295">
        <f>'Southwest Mesa'!S56/$A$1*$E124</f>
        <v>0</v>
      </c>
      <c r="T124" s="295">
        <f>'Southwest Mesa'!T56/$A$1*$E124</f>
        <v>0</v>
      </c>
      <c r="U124" s="295">
        <f>'Southwest Mesa'!U56/$A$1*$E124</f>
        <v>0</v>
      </c>
      <c r="V124" s="295">
        <f>'Southwest Mesa'!V56/$A$1*$E124</f>
        <v>0</v>
      </c>
      <c r="W124" s="295">
        <f>'Southwest Mesa'!W56/$A$1*$E124</f>
        <v>0</v>
      </c>
      <c r="X124" s="295">
        <f>'Southwest Mesa'!X56/$A$1*$E124</f>
        <v>0</v>
      </c>
      <c r="Y124" s="295">
        <f>'Southwest Mesa'!Y56/$A$1*$E124</f>
        <v>0</v>
      </c>
      <c r="Z124" s="295">
        <f>'Southwest Mesa'!Z56/$A$1*$E124</f>
        <v>0</v>
      </c>
    </row>
    <row r="125" spans="1:35">
      <c r="B125" s="334"/>
      <c r="C125" s="334" t="s">
        <v>144</v>
      </c>
      <c r="D125" s="334"/>
      <c r="E125" s="578">
        <f>Vansycle!C60</f>
        <v>1</v>
      </c>
      <c r="F125" s="298">
        <f>Vansycle!F56/$A$1*$E125</f>
        <v>1445.1400000010319</v>
      </c>
      <c r="G125" s="298">
        <f>Vansycle!G56/$A$1*$E125</f>
        <v>1445.1400000010319</v>
      </c>
      <c r="H125" s="298">
        <f>Vansycle!H56/$A$1*$E125</f>
        <v>1521.2000000010862</v>
      </c>
      <c r="I125" s="298">
        <f>Vansycle!I56/$A$1*$E125</f>
        <v>1521.2000000010862</v>
      </c>
      <c r="J125" s="298">
        <f>Vansycle!J56/$A$1*$E125</f>
        <v>1597.2600000011405</v>
      </c>
      <c r="K125" s="298">
        <f>Vansycle!K56/$A$1*$E125</f>
        <v>1673.3200000011948</v>
      </c>
      <c r="L125" s="298">
        <f>Vansycle!L56/$A$1*$E125</f>
        <v>1673.3200000011948</v>
      </c>
      <c r="M125" s="298">
        <f>Vansycle!M56/$A$1*$E125</f>
        <v>1279.6033089260518</v>
      </c>
      <c r="N125" s="298">
        <f>Vansycle!N56/$A$1*$E125</f>
        <v>0</v>
      </c>
      <c r="O125" s="298">
        <f>Vansycle!O56/$A$1*$E125</f>
        <v>0</v>
      </c>
      <c r="P125" s="298">
        <f>Vansycle!P56/$A$1*$E125</f>
        <v>0</v>
      </c>
      <c r="Q125" s="298">
        <f>Vansycle!Q56/$A$1*$E125</f>
        <v>0</v>
      </c>
      <c r="R125" s="298">
        <f>Vansycle!R56/$A$1*$E125</f>
        <v>0</v>
      </c>
      <c r="S125" s="298">
        <f>Vansycle!S56/$A$1*$E125</f>
        <v>0</v>
      </c>
      <c r="T125" s="298">
        <f>Vansycle!T56/$A$1*$E125</f>
        <v>0</v>
      </c>
      <c r="U125" s="298">
        <f>Vansycle!U56/$A$1*$E125</f>
        <v>0</v>
      </c>
      <c r="V125" s="298">
        <f>Vansycle!V56/$A$1*$E125</f>
        <v>0</v>
      </c>
      <c r="W125" s="298">
        <f>Vansycle!W56/$A$1*$E125</f>
        <v>0</v>
      </c>
      <c r="X125" s="298">
        <f>Vansycle!X56/$A$1*$E125</f>
        <v>0</v>
      </c>
      <c r="Y125" s="298">
        <f>Vansycle!Y56/$A$1*$E125</f>
        <v>0</v>
      </c>
      <c r="Z125" s="298">
        <f>Vansycle!Z56/$A$1*$E125</f>
        <v>0</v>
      </c>
    </row>
    <row r="126" spans="1:35">
      <c r="B126" s="334"/>
      <c r="C126" s="334"/>
      <c r="D126" s="334"/>
      <c r="E126" s="578"/>
      <c r="F126" s="295">
        <f t="shared" ref="F126:Z126" si="18">SUM(F123:F125)</f>
        <v>8622.2799866970363</v>
      </c>
      <c r="G126" s="295">
        <f t="shared" si="18"/>
        <v>8622.2799866970363</v>
      </c>
      <c r="H126" s="295">
        <f t="shared" si="18"/>
        <v>9097.0699859579781</v>
      </c>
      <c r="I126" s="295">
        <f t="shared" si="18"/>
        <v>9097.0699859579781</v>
      </c>
      <c r="J126" s="295">
        <f t="shared" si="18"/>
        <v>9571.8599852189218</v>
      </c>
      <c r="K126" s="295">
        <f t="shared" si="18"/>
        <v>9647.9199852189759</v>
      </c>
      <c r="L126" s="295">
        <f t="shared" si="18"/>
        <v>9647.9199852189759</v>
      </c>
      <c r="M126" s="295">
        <f t="shared" si="18"/>
        <v>9652.9332934047234</v>
      </c>
      <c r="N126" s="295">
        <f t="shared" si="18"/>
        <v>1650.5710103973961</v>
      </c>
      <c r="O126" s="295">
        <f t="shared" si="18"/>
        <v>0</v>
      </c>
      <c r="P126" s="295">
        <f t="shared" si="18"/>
        <v>0</v>
      </c>
      <c r="Q126" s="295">
        <f t="shared" si="18"/>
        <v>0</v>
      </c>
      <c r="R126" s="295">
        <f t="shared" si="18"/>
        <v>0</v>
      </c>
      <c r="S126" s="295">
        <f t="shared" si="18"/>
        <v>0</v>
      </c>
      <c r="T126" s="295">
        <f t="shared" si="18"/>
        <v>0</v>
      </c>
      <c r="U126" s="295">
        <f t="shared" si="18"/>
        <v>0</v>
      </c>
      <c r="V126" s="295">
        <f t="shared" si="18"/>
        <v>0</v>
      </c>
      <c r="W126" s="295">
        <f t="shared" si="18"/>
        <v>0</v>
      </c>
      <c r="X126" s="295">
        <f t="shared" si="18"/>
        <v>0</v>
      </c>
      <c r="Y126" s="295">
        <f t="shared" si="18"/>
        <v>0</v>
      </c>
      <c r="Z126" s="295">
        <f t="shared" si="18"/>
        <v>0</v>
      </c>
    </row>
    <row r="127" spans="1:35">
      <c r="B127" s="334"/>
      <c r="C127" s="334"/>
      <c r="D127" s="334"/>
      <c r="E127" s="578"/>
    </row>
    <row r="128" spans="1:35">
      <c r="B128" s="334"/>
      <c r="C128" s="334"/>
      <c r="D128" s="334"/>
      <c r="E128" s="578"/>
    </row>
    <row r="129" spans="2:26">
      <c r="B129" s="582" t="s">
        <v>145</v>
      </c>
      <c r="C129" s="334"/>
      <c r="D129" s="334"/>
      <c r="E129" s="578"/>
    </row>
    <row r="130" spans="2:26">
      <c r="B130" s="334"/>
      <c r="C130" s="334" t="s">
        <v>146</v>
      </c>
      <c r="D130" s="334"/>
      <c r="E130" s="578">
        <f>Cameron!C60</f>
        <v>0.5</v>
      </c>
      <c r="F130" s="295">
        <f>Cameron!F56/$A$1*$E130</f>
        <v>1669.6832480055002</v>
      </c>
      <c r="G130" s="295">
        <f>Cameron!G56/$A$1*$E130</f>
        <v>1762.4434284502506</v>
      </c>
      <c r="H130" s="295">
        <f>Cameron!H56/$A$1*$E130</f>
        <v>1762.4434284502506</v>
      </c>
      <c r="I130" s="295">
        <f>Cameron!I56/$A$1*$E130</f>
        <v>1855.2036088950006</v>
      </c>
      <c r="J130" s="295">
        <f>Cameron!J56/$A$1*$E130</f>
        <v>1855.2036088950006</v>
      </c>
      <c r="K130" s="295">
        <f>Cameron!K56/$A$1*$E130</f>
        <v>1947.9637893397507</v>
      </c>
      <c r="L130" s="295">
        <f>Cameron!L56/$A$1*$E130</f>
        <v>1947.9637893397507</v>
      </c>
      <c r="M130" s="295">
        <f>Cameron!M56/$A$1*$E130</f>
        <v>2040.7239697845005</v>
      </c>
      <c r="N130" s="295">
        <f>Cameron!N56/$A$1*$E130</f>
        <v>404.15045225518116</v>
      </c>
      <c r="O130" s="295">
        <f>Cameron!O56/$A$1*$E130</f>
        <v>0</v>
      </c>
      <c r="P130" s="295">
        <f>Cameron!P56/$A$1*$E130</f>
        <v>0</v>
      </c>
      <c r="Q130" s="295">
        <f>Cameron!Q56/$A$1*$E130</f>
        <v>0</v>
      </c>
      <c r="R130" s="295">
        <f>Cameron!R56/$A$1*$E130</f>
        <v>0</v>
      </c>
      <c r="S130" s="295">
        <f>Cameron!S56/$A$1*$E130</f>
        <v>0</v>
      </c>
      <c r="T130" s="295">
        <f>Cameron!T56/$A$1*$E130</f>
        <v>0</v>
      </c>
      <c r="U130" s="295">
        <f>Cameron!U56/$A$1*$E130</f>
        <v>0</v>
      </c>
      <c r="V130" s="295">
        <f>Cameron!V56/$A$1*$E130</f>
        <v>0</v>
      </c>
      <c r="W130" s="295">
        <f>Cameron!W56/$A$1*$E130</f>
        <v>0</v>
      </c>
      <c r="X130" s="295">
        <f>Cameron!X56/$A$1*$E130</f>
        <v>0</v>
      </c>
      <c r="Y130" s="295">
        <f>Cameron!Y56/$A$1*$E130</f>
        <v>0</v>
      </c>
      <c r="Z130" s="295">
        <f>Cameron!Z56/$A$1*$E130</f>
        <v>0</v>
      </c>
    </row>
    <row r="131" spans="2:26">
      <c r="B131" s="334"/>
      <c r="C131" s="334" t="s">
        <v>162</v>
      </c>
      <c r="D131" s="588"/>
      <c r="E131" s="578">
        <f>'Pacific Crest'!C60</f>
        <v>0.5</v>
      </c>
      <c r="F131" s="295">
        <f>'Pacific Crest'!F56/$A$1*$E131</f>
        <v>1441.9201386599998</v>
      </c>
      <c r="G131" s="295">
        <f>'Pacific Crest'!G56/$A$1*$E131</f>
        <v>1441.9201386599998</v>
      </c>
      <c r="H131" s="295">
        <f>'Pacific Crest'!H56/$A$1*$E131</f>
        <v>1522.0268130299999</v>
      </c>
      <c r="I131" s="295">
        <f>'Pacific Crest'!I56/$A$1*$E131</f>
        <v>1522.0268130299999</v>
      </c>
      <c r="J131" s="295">
        <f>'Pacific Crest'!J56/$A$1*$E131</f>
        <v>1522.0268130299999</v>
      </c>
      <c r="K131" s="295">
        <f>'Pacific Crest'!K56/$A$1*$E131</f>
        <v>1602.1334873999997</v>
      </c>
      <c r="L131" s="295">
        <f>'Pacific Crest'!L56/$A$1*$E131</f>
        <v>1602.1334873999997</v>
      </c>
      <c r="M131" s="295">
        <f>'Pacific Crest'!M56/$A$1*$E131</f>
        <v>1682.24016177</v>
      </c>
      <c r="N131" s="295">
        <f>'Pacific Crest'!N56/$A$1*$E131</f>
        <v>1079.7431243220813</v>
      </c>
      <c r="O131" s="295">
        <f>'Pacific Crest'!O56/$A$1*$E131</f>
        <v>0</v>
      </c>
      <c r="P131" s="295">
        <f>'Pacific Crest'!P56/$A$1*$E131</f>
        <v>0</v>
      </c>
      <c r="Q131" s="295">
        <f>'Pacific Crest'!Q56/$A$1*$E131</f>
        <v>0</v>
      </c>
      <c r="R131" s="295">
        <f>'Pacific Crest'!R56/$A$1*$E131</f>
        <v>0</v>
      </c>
      <c r="S131" s="295">
        <f>'Pacific Crest'!S56/$A$1*$E131</f>
        <v>0</v>
      </c>
      <c r="T131" s="295">
        <f>'Pacific Crest'!T56/$A$1*$E131</f>
        <v>0</v>
      </c>
      <c r="U131" s="295">
        <f>'Pacific Crest'!U56/$A$1*$E131</f>
        <v>0</v>
      </c>
      <c r="V131" s="295">
        <f>'Pacific Crest'!V56/$A$1*$E131</f>
        <v>0</v>
      </c>
      <c r="W131" s="295">
        <f>'Pacific Crest'!W56/$A$1*$E131</f>
        <v>0</v>
      </c>
      <c r="X131" s="295">
        <f>'Pacific Crest'!X56/$A$1*$E131</f>
        <v>0</v>
      </c>
      <c r="Y131" s="295">
        <f>'Pacific Crest'!Y56/$A$1*$E131</f>
        <v>0</v>
      </c>
      <c r="Z131" s="295">
        <f>'Pacific Crest'!Z56/$A$1*$E131</f>
        <v>0</v>
      </c>
    </row>
    <row r="132" spans="2:26">
      <c r="B132" s="334"/>
      <c r="C132" s="334" t="s">
        <v>163</v>
      </c>
      <c r="D132" s="334"/>
      <c r="E132" s="578">
        <f>'Sky River'!C60</f>
        <v>0.5</v>
      </c>
      <c r="F132" s="295">
        <f>'Sky River'!F56/$A$1*$E132</f>
        <v>0</v>
      </c>
      <c r="G132" s="295">
        <f>'Sky River'!G56/$A$1*$E132</f>
        <v>0</v>
      </c>
      <c r="H132" s="295">
        <f>'Sky River'!H56/$A$1*$E132</f>
        <v>0</v>
      </c>
      <c r="I132" s="295">
        <f>'Sky River'!I56/$A$1*$E132</f>
        <v>0</v>
      </c>
      <c r="J132" s="295">
        <f>'Sky River'!J56/$A$1*$E132</f>
        <v>0</v>
      </c>
      <c r="K132" s="295">
        <f>'Sky River'!K56/$A$1*$E132</f>
        <v>0</v>
      </c>
      <c r="L132" s="295">
        <f>'Sky River'!L56/$A$1*$E132</f>
        <v>0</v>
      </c>
      <c r="M132" s="295">
        <f>'Sky River'!M56/$A$1*$E132</f>
        <v>0</v>
      </c>
      <c r="N132" s="295">
        <f>'Sky River'!N56/$A$1*$E132</f>
        <v>0</v>
      </c>
      <c r="O132" s="295">
        <f>'Sky River'!O56/$A$1*$E132</f>
        <v>0</v>
      </c>
      <c r="P132" s="295">
        <f>'Sky River'!P56/$A$1*$E132</f>
        <v>0</v>
      </c>
      <c r="Q132" s="295">
        <f>'Sky River'!Q56/$A$1*$E132</f>
        <v>0</v>
      </c>
      <c r="R132" s="295">
        <f>'Sky River'!R56/$A$1*$E132</f>
        <v>0</v>
      </c>
      <c r="S132" s="295">
        <f>'Sky River'!S56/$A$1*$E132</f>
        <v>0</v>
      </c>
      <c r="T132" s="295">
        <f>'Sky River'!T56/$A$1*$E132</f>
        <v>0</v>
      </c>
      <c r="U132" s="295">
        <f>'Sky River'!U56/$A$1*$E132</f>
        <v>0</v>
      </c>
      <c r="V132" s="295">
        <f>'Sky River'!V56/$A$1*$E132</f>
        <v>0</v>
      </c>
      <c r="W132" s="295">
        <f>'Sky River'!W56/$A$1*$E132</f>
        <v>0</v>
      </c>
      <c r="X132" s="295">
        <f>'Sky River'!X56/$A$1*$E132</f>
        <v>0</v>
      </c>
      <c r="Y132" s="295">
        <f>'Sky River'!Y56/$A$1*$E132</f>
        <v>0</v>
      </c>
      <c r="Z132" s="295">
        <f>'Sky River'!Z56/$A$1*$E132</f>
        <v>0</v>
      </c>
    </row>
    <row r="133" spans="2:26">
      <c r="B133" s="334"/>
      <c r="C133" s="334" t="s">
        <v>149</v>
      </c>
      <c r="D133" s="334"/>
      <c r="E133" s="578">
        <f>Ridgetop!C60</f>
        <v>0.5</v>
      </c>
      <c r="F133" s="295">
        <f>Ridgetop!F56/$A$1*$E133</f>
        <v>387.02986949340806</v>
      </c>
      <c r="G133" s="295">
        <f>Ridgetop!G56/$A$1*$E133</f>
        <v>408.53152890970853</v>
      </c>
      <c r="H133" s="295">
        <f>Ridgetop!H56/$A$1*$E133</f>
        <v>408.53152890970853</v>
      </c>
      <c r="I133" s="295">
        <f>Ridgetop!I56/$A$1*$E133</f>
        <v>132.26566471343074</v>
      </c>
      <c r="J133" s="295">
        <f>Ridgetop!J56/$A$1*$E133</f>
        <v>0</v>
      </c>
      <c r="K133" s="295">
        <f>Ridgetop!K56/$A$1*$E133</f>
        <v>0</v>
      </c>
      <c r="L133" s="295">
        <f>Ridgetop!L56/$A$1*$E133</f>
        <v>0</v>
      </c>
      <c r="M133" s="295">
        <f>Ridgetop!M56/$A$1*$E133</f>
        <v>0</v>
      </c>
      <c r="N133" s="295">
        <f>Ridgetop!N56/$A$1*$E133</f>
        <v>0</v>
      </c>
      <c r="O133" s="295">
        <f>Ridgetop!O56/$A$1*$E133</f>
        <v>0</v>
      </c>
      <c r="P133" s="295">
        <f>Ridgetop!P56/$A$1*$E133</f>
        <v>0</v>
      </c>
      <c r="Q133" s="295">
        <f>Ridgetop!Q56/$A$1*$E133</f>
        <v>0</v>
      </c>
      <c r="R133" s="295">
        <f>Ridgetop!R56/$A$1*$E133</f>
        <v>0</v>
      </c>
      <c r="S133" s="295">
        <f>Ridgetop!S56/$A$1*$E133</f>
        <v>0</v>
      </c>
      <c r="T133" s="295">
        <f>Ridgetop!T56/$A$1*$E133</f>
        <v>0</v>
      </c>
      <c r="U133" s="295">
        <f>Ridgetop!U56/$A$1*$E133</f>
        <v>0</v>
      </c>
      <c r="V133" s="295">
        <f>Ridgetop!V56/$A$1*$E133</f>
        <v>0</v>
      </c>
      <c r="W133" s="295">
        <f>Ridgetop!W56/$A$1*$E133</f>
        <v>0</v>
      </c>
      <c r="X133" s="295">
        <f>Ridgetop!X56/$A$1*$E133</f>
        <v>0</v>
      </c>
      <c r="Y133" s="295">
        <f>Ridgetop!Y56/$A$1*$E133</f>
        <v>0</v>
      </c>
      <c r="Z133" s="295">
        <f>Ridgetop!Z56/$A$1*$E133</f>
        <v>0</v>
      </c>
    </row>
    <row r="134" spans="2:26">
      <c r="B134" s="334"/>
      <c r="C134" s="334" t="s">
        <v>150</v>
      </c>
      <c r="D134" s="334"/>
      <c r="E134" s="578">
        <f>'Green Ridge'!C60</f>
        <v>0.5</v>
      </c>
      <c r="F134" s="295">
        <f>'Green Ridge'!F56/$A$1*$E134</f>
        <v>262.57599951840001</v>
      </c>
      <c r="G134" s="295">
        <f>'Green Ridge'!G56/$A$1*$E134</f>
        <v>262.57599951840001</v>
      </c>
      <c r="H134" s="295">
        <f>'Green Ridge'!H56/$A$1*$E134</f>
        <v>278.9869994883</v>
      </c>
      <c r="I134" s="295">
        <f>'Green Ridge'!I56/$A$1*$E134</f>
        <v>0</v>
      </c>
      <c r="J134" s="295">
        <f>'Green Ridge'!J56/$A$1*$E134</f>
        <v>0</v>
      </c>
      <c r="K134" s="295">
        <f>'Green Ridge'!K56/$A$1*$E134</f>
        <v>0</v>
      </c>
      <c r="L134" s="295">
        <f>'Green Ridge'!L56/$A$1*$E134</f>
        <v>0</v>
      </c>
      <c r="M134" s="295">
        <f>'Green Ridge'!M56/$A$1*$E134</f>
        <v>0</v>
      </c>
      <c r="N134" s="295">
        <f>'Green Ridge'!N56/$A$1*$E134</f>
        <v>0</v>
      </c>
      <c r="O134" s="295">
        <f>'Green Ridge'!O56/$A$1*$E134</f>
        <v>0</v>
      </c>
      <c r="P134" s="295">
        <f>'Green Ridge'!P56/$A$1*$E134</f>
        <v>0</v>
      </c>
      <c r="Q134" s="295">
        <f>'Green Ridge'!Q56/$A$1*$E134</f>
        <v>0</v>
      </c>
      <c r="R134" s="295">
        <f>'Green Ridge'!R56/$A$1*$E134</f>
        <v>0</v>
      </c>
      <c r="S134" s="295">
        <f>'Green Ridge'!S56/$A$1*$E134</f>
        <v>0</v>
      </c>
      <c r="T134" s="295">
        <f>'Green Ridge'!T56/$A$1*$E134</f>
        <v>0</v>
      </c>
      <c r="U134" s="295">
        <f>'Green Ridge'!U56/$A$1*$E134</f>
        <v>0</v>
      </c>
      <c r="V134" s="295">
        <f>'Green Ridge'!V56/$A$1*$E134</f>
        <v>0</v>
      </c>
      <c r="W134" s="295">
        <f>'Green Ridge'!W56/$A$1*$E134</f>
        <v>0</v>
      </c>
      <c r="X134" s="295">
        <f>'Green Ridge'!X56/$A$1*$E134</f>
        <v>0</v>
      </c>
      <c r="Y134" s="295">
        <f>'Green Ridge'!Y56/$A$1*$E134</f>
        <v>0</v>
      </c>
      <c r="Z134" s="295">
        <f>'Green Ridge'!Z56/$A$1*$E134</f>
        <v>0</v>
      </c>
    </row>
    <row r="135" spans="2:26">
      <c r="B135" s="334"/>
      <c r="C135" s="334" t="s">
        <v>164</v>
      </c>
      <c r="D135" s="334"/>
      <c r="E135" s="578">
        <f>'Mojave 16-18'!C60</f>
        <v>0.5</v>
      </c>
      <c r="F135" s="295">
        <f>'Mojave 16-18'!F56/$A$1*$E135</f>
        <v>423.59705999999994</v>
      </c>
      <c r="G135" s="295">
        <f>'Mojave 16-18'!G56/$A$1*$E135</f>
        <v>423.59705999999994</v>
      </c>
      <c r="H135" s="295">
        <f>'Mojave 16-18'!H56/$A$1*$E135</f>
        <v>423.59705999999994</v>
      </c>
      <c r="I135" s="295">
        <f>'Mojave 16-18'!I56/$A$1*$E135</f>
        <v>447.13022999999998</v>
      </c>
      <c r="J135" s="295">
        <f>'Mojave 16-18'!J56/$A$1*$E135</f>
        <v>447.13022999999998</v>
      </c>
      <c r="K135" s="295">
        <f>'Mojave 16-18'!K56/$A$1*$E135</f>
        <v>470.66339999999997</v>
      </c>
      <c r="L135" s="295">
        <f>'Mojave 16-18'!L56/$A$1*$E135</f>
        <v>470.66339999999997</v>
      </c>
      <c r="M135" s="295">
        <f>'Mojave 16-18'!M56/$A$1*$E135</f>
        <v>470.66339999999997</v>
      </c>
      <c r="N135" s="295">
        <f>'Mojave 16-18'!N56/$A$1*$E135</f>
        <v>247.098285</v>
      </c>
      <c r="O135" s="295">
        <f>'Mojave 16-18'!O56/$A$1*$E135</f>
        <v>0</v>
      </c>
      <c r="P135" s="295">
        <f>'Mojave 16-18'!P56/$A$1*$E135</f>
        <v>0</v>
      </c>
      <c r="Q135" s="295">
        <f>'Mojave 16-18'!Q56/$A$1*$E135</f>
        <v>0</v>
      </c>
      <c r="R135" s="295">
        <f>'Mojave 16-18'!R56/$A$1*$E135</f>
        <v>0</v>
      </c>
      <c r="S135" s="295">
        <f>'Mojave 16-18'!S56/$A$1*$E135</f>
        <v>0</v>
      </c>
      <c r="T135" s="295">
        <f>'Mojave 16-18'!T56/$A$1*$E135</f>
        <v>0</v>
      </c>
      <c r="U135" s="295">
        <f>'Mojave 16-18'!U56/$A$1*$E135</f>
        <v>0</v>
      </c>
      <c r="V135" s="295">
        <f>'Mojave 16-18'!V56/$A$1*$E135</f>
        <v>0</v>
      </c>
      <c r="W135" s="295">
        <f>'Mojave 16-18'!W56/$A$1*$E135</f>
        <v>0</v>
      </c>
      <c r="X135" s="295">
        <f>'Mojave 16-18'!X56/$A$1*$E135</f>
        <v>0</v>
      </c>
      <c r="Y135" s="295">
        <f>'Mojave 16-18'!Y56/$A$1*$E135</f>
        <v>0</v>
      </c>
      <c r="Z135" s="295">
        <f>'Mojave 16-18'!Z56/$A$1*$E135</f>
        <v>0</v>
      </c>
    </row>
    <row r="136" spans="2:26">
      <c r="B136" s="334"/>
      <c r="C136" s="334" t="s">
        <v>152</v>
      </c>
      <c r="D136" s="334"/>
      <c r="E136" s="578">
        <f>Morwind!C60</f>
        <v>0.5</v>
      </c>
      <c r="F136" s="295">
        <f>Morwind!F56/$A$1*$E136</f>
        <v>417.81599999999992</v>
      </c>
      <c r="G136" s="295">
        <f>Morwind!G56/$A$1*$E136</f>
        <v>417.81599999999992</v>
      </c>
      <c r="H136" s="295">
        <f>Morwind!H56/$A$1*$E136</f>
        <v>417.81599999999992</v>
      </c>
      <c r="I136" s="295">
        <f>Morwind!I56/$A$1*$E136</f>
        <v>441.02800000000002</v>
      </c>
      <c r="J136" s="295">
        <f>Morwind!J56/$A$1*$E136</f>
        <v>441.02800000000002</v>
      </c>
      <c r="K136" s="295">
        <f>Morwind!K56/$A$1*$E136</f>
        <v>441.02800000000002</v>
      </c>
      <c r="L136" s="295">
        <f>Morwind!L56/$A$1*$E136</f>
        <v>464.24</v>
      </c>
      <c r="M136" s="295">
        <f>Morwind!M56/$A$1*$E136</f>
        <v>464.24</v>
      </c>
      <c r="N136" s="295">
        <f>Morwind!N56/$A$1*$E136</f>
        <v>243.72600000000003</v>
      </c>
      <c r="O136" s="295">
        <f>Morwind!O56/$A$1*$E136</f>
        <v>0</v>
      </c>
      <c r="P136" s="295">
        <f>Morwind!P56/$A$1*$E136</f>
        <v>0</v>
      </c>
      <c r="Q136" s="295">
        <f>Morwind!Q56/$A$1*$E136</f>
        <v>0</v>
      </c>
      <c r="R136" s="295">
        <f>Morwind!R56/$A$1*$E136</f>
        <v>0</v>
      </c>
      <c r="S136" s="295">
        <f>Morwind!S56/$A$1*$E136</f>
        <v>0</v>
      </c>
      <c r="T136" s="295">
        <f>Morwind!T56/$A$1*$E136</f>
        <v>0</v>
      </c>
      <c r="U136" s="295">
        <f>Morwind!U56/$A$1*$E136</f>
        <v>0</v>
      </c>
      <c r="V136" s="295">
        <f>Morwind!V56/$A$1*$E136</f>
        <v>0</v>
      </c>
      <c r="W136" s="295">
        <f>Morwind!W56/$A$1*$E136</f>
        <v>0</v>
      </c>
      <c r="X136" s="295">
        <f>Morwind!X56/$A$1*$E136</f>
        <v>0</v>
      </c>
      <c r="Y136" s="295">
        <f>Morwind!Y56/$A$1*$E136</f>
        <v>0</v>
      </c>
      <c r="Z136" s="295">
        <f>Morwind!Z56/$A$1*$E136</f>
        <v>0</v>
      </c>
    </row>
    <row r="137" spans="2:26" ht="15">
      <c r="B137" s="334"/>
      <c r="C137" s="334" t="s">
        <v>153</v>
      </c>
      <c r="D137" s="334"/>
      <c r="E137" s="578">
        <f>VG!C60</f>
        <v>0.5</v>
      </c>
      <c r="F137" s="1161">
        <f>VG!F56/$A$1</f>
        <v>0</v>
      </c>
      <c r="G137" s="1161">
        <f>VG!G56/$A$1</f>
        <v>0</v>
      </c>
      <c r="H137" s="1161">
        <f>VG!H56/$A$1</f>
        <v>0</v>
      </c>
      <c r="I137" s="1161">
        <f>VG!I56/$A$1</f>
        <v>0</v>
      </c>
      <c r="J137" s="1161">
        <f>VG!J56/$A$1</f>
        <v>0</v>
      </c>
      <c r="K137" s="1161">
        <f>VG!K56/$A$1</f>
        <v>0</v>
      </c>
      <c r="L137" s="1161">
        <f>VG!L56/$A$1</f>
        <v>0</v>
      </c>
      <c r="M137" s="1161">
        <f>VG!M56/$A$1</f>
        <v>0</v>
      </c>
      <c r="N137" s="1161">
        <f>VG!N56/$A$1</f>
        <v>0</v>
      </c>
      <c r="O137" s="1161">
        <f>VG!O56/$A$1</f>
        <v>0</v>
      </c>
      <c r="P137" s="1161">
        <f>VG!P56/$A$1</f>
        <v>0</v>
      </c>
      <c r="Q137" s="1161">
        <f>VG!Q56/$A$1</f>
        <v>0</v>
      </c>
      <c r="R137" s="1161">
        <f>VG!R56/$A$1</f>
        <v>0</v>
      </c>
      <c r="S137" s="1161">
        <f>VG!S56/$A$1</f>
        <v>0</v>
      </c>
      <c r="T137" s="1161">
        <f>VG!T56/$A$1</f>
        <v>0</v>
      </c>
      <c r="U137" s="1161">
        <f>VG!U56/$A$1</f>
        <v>0</v>
      </c>
      <c r="V137" s="1161">
        <f>VG!V56/$A$1</f>
        <v>0</v>
      </c>
      <c r="W137" s="1161">
        <f>VG!W56/$A$1</f>
        <v>0</v>
      </c>
      <c r="X137" s="1161">
        <f>VG!X56/$A$1</f>
        <v>0</v>
      </c>
      <c r="Y137" s="1161">
        <f>VG!Y56/$A$1</f>
        <v>0</v>
      </c>
      <c r="Z137" s="1161">
        <f>VG!Z56/$A$1</f>
        <v>0</v>
      </c>
    </row>
    <row r="138" spans="2:26">
      <c r="B138" s="334"/>
      <c r="C138" s="334"/>
      <c r="D138" s="334"/>
      <c r="E138" s="578"/>
      <c r="F138" s="295">
        <f>SUM(F130:F137)</f>
        <v>4602.6223156773076</v>
      </c>
      <c r="G138" s="295">
        <f t="shared" ref="G138:Z138" si="19">SUM(G130:G137)</f>
        <v>4716.8841555383578</v>
      </c>
      <c r="H138" s="295">
        <f t="shared" si="19"/>
        <v>4813.4018298782585</v>
      </c>
      <c r="I138" s="295">
        <f t="shared" si="19"/>
        <v>4397.6543166384317</v>
      </c>
      <c r="J138" s="295">
        <f t="shared" si="19"/>
        <v>4265.3886519250009</v>
      </c>
      <c r="K138" s="295">
        <f t="shared" si="19"/>
        <v>4461.7886767397504</v>
      </c>
      <c r="L138" s="295">
        <f t="shared" si="19"/>
        <v>4485.0006767397508</v>
      </c>
      <c r="M138" s="295">
        <f t="shared" si="19"/>
        <v>4657.8675315545006</v>
      </c>
      <c r="N138" s="295">
        <f t="shared" si="19"/>
        <v>1974.7178615772625</v>
      </c>
      <c r="O138" s="295">
        <f t="shared" si="19"/>
        <v>0</v>
      </c>
      <c r="P138" s="295">
        <f t="shared" si="19"/>
        <v>0</v>
      </c>
      <c r="Q138" s="295">
        <f t="shared" si="19"/>
        <v>0</v>
      </c>
      <c r="R138" s="295">
        <f t="shared" si="19"/>
        <v>0</v>
      </c>
      <c r="S138" s="295">
        <f t="shared" si="19"/>
        <v>0</v>
      </c>
      <c r="T138" s="295">
        <f t="shared" si="19"/>
        <v>0</v>
      </c>
      <c r="U138" s="295">
        <f t="shared" si="19"/>
        <v>0</v>
      </c>
      <c r="V138" s="295">
        <f t="shared" si="19"/>
        <v>0</v>
      </c>
      <c r="W138" s="295">
        <f t="shared" si="19"/>
        <v>0</v>
      </c>
      <c r="X138" s="295">
        <f t="shared" si="19"/>
        <v>0</v>
      </c>
      <c r="Y138" s="295">
        <f t="shared" si="19"/>
        <v>0</v>
      </c>
      <c r="Z138" s="295">
        <f t="shared" si="19"/>
        <v>0</v>
      </c>
    </row>
    <row r="139" spans="2:26">
      <c r="B139" s="334"/>
      <c r="C139" s="334"/>
      <c r="D139" s="334"/>
      <c r="E139" s="578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</row>
    <row r="140" spans="2:26">
      <c r="B140" s="582" t="s">
        <v>165</v>
      </c>
      <c r="C140" s="334"/>
      <c r="D140" s="334"/>
      <c r="E140" s="578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</row>
    <row r="141" spans="2:26">
      <c r="B141" s="334"/>
      <c r="C141" s="334" t="s">
        <v>154</v>
      </c>
      <c r="D141" s="334"/>
      <c r="E141" s="578">
        <f>'WPP 92'!$C$60</f>
        <v>0.5</v>
      </c>
      <c r="F141" s="295">
        <v>0</v>
      </c>
      <c r="G141" s="295">
        <v>0</v>
      </c>
      <c r="H141" s="295">
        <v>0</v>
      </c>
      <c r="I141" s="295">
        <v>0</v>
      </c>
      <c r="J141" s="295">
        <v>0</v>
      </c>
      <c r="K141" s="295">
        <v>0</v>
      </c>
      <c r="L141" s="295">
        <v>0</v>
      </c>
      <c r="M141" s="295">
        <v>0</v>
      </c>
      <c r="N141" s="295">
        <v>0</v>
      </c>
      <c r="O141" s="295">
        <v>0</v>
      </c>
      <c r="P141" s="295">
        <v>0</v>
      </c>
      <c r="Q141" s="295">
        <v>0</v>
      </c>
      <c r="R141" s="295">
        <v>0</v>
      </c>
      <c r="S141" s="295">
        <v>0</v>
      </c>
      <c r="T141" s="295">
        <v>0</v>
      </c>
      <c r="U141" s="295">
        <v>0</v>
      </c>
      <c r="V141" s="295">
        <v>0</v>
      </c>
      <c r="W141" s="295">
        <v>0</v>
      </c>
      <c r="X141" s="295">
        <v>0</v>
      </c>
      <c r="Y141" s="295">
        <v>0</v>
      </c>
      <c r="Z141" s="295">
        <v>0</v>
      </c>
    </row>
    <row r="142" spans="2:26">
      <c r="B142" s="334"/>
      <c r="C142" s="334" t="s">
        <v>155</v>
      </c>
      <c r="D142" s="334"/>
      <c r="E142" s="578">
        <f>'WPP 91-2'!$C$60</f>
        <v>0.5</v>
      </c>
      <c r="F142" s="295">
        <v>0</v>
      </c>
      <c r="G142" s="295">
        <v>0</v>
      </c>
      <c r="H142" s="295">
        <v>0</v>
      </c>
      <c r="I142" s="295">
        <v>0</v>
      </c>
      <c r="J142" s="295">
        <v>0</v>
      </c>
      <c r="K142" s="295">
        <v>0</v>
      </c>
      <c r="L142" s="295">
        <v>0</v>
      </c>
      <c r="M142" s="295">
        <v>0</v>
      </c>
      <c r="N142" s="295">
        <v>0</v>
      </c>
      <c r="O142" s="295">
        <v>0</v>
      </c>
      <c r="P142" s="295">
        <v>0</v>
      </c>
      <c r="Q142" s="295">
        <v>0</v>
      </c>
      <c r="R142" s="295">
        <v>0</v>
      </c>
      <c r="S142" s="295">
        <v>0</v>
      </c>
      <c r="T142" s="295">
        <v>0</v>
      </c>
      <c r="U142" s="295">
        <v>0</v>
      </c>
      <c r="V142" s="295">
        <v>0</v>
      </c>
      <c r="W142" s="295">
        <v>0</v>
      </c>
      <c r="X142" s="295">
        <v>0</v>
      </c>
      <c r="Y142" s="295">
        <v>0</v>
      </c>
      <c r="Z142" s="295">
        <v>0</v>
      </c>
    </row>
    <row r="143" spans="2:26">
      <c r="B143" s="334"/>
      <c r="C143" s="334" t="s">
        <v>156</v>
      </c>
      <c r="D143" s="334"/>
      <c r="E143" s="578">
        <v>0</v>
      </c>
      <c r="F143" s="295">
        <v>0</v>
      </c>
      <c r="G143" s="295">
        <v>0</v>
      </c>
      <c r="H143" s="295">
        <v>0</v>
      </c>
      <c r="I143" s="295">
        <v>0</v>
      </c>
      <c r="J143" s="295">
        <v>0</v>
      </c>
      <c r="K143" s="295">
        <v>0</v>
      </c>
      <c r="L143" s="295">
        <v>0</v>
      </c>
      <c r="M143" s="295">
        <v>0</v>
      </c>
      <c r="N143" s="295">
        <v>0</v>
      </c>
      <c r="O143" s="295">
        <v>0</v>
      </c>
      <c r="P143" s="295">
        <v>0</v>
      </c>
      <c r="Q143" s="295">
        <v>0</v>
      </c>
      <c r="R143" s="295">
        <v>0</v>
      </c>
      <c r="S143" s="295">
        <v>0</v>
      </c>
      <c r="T143" s="295">
        <v>0</v>
      </c>
      <c r="U143" s="295">
        <v>0</v>
      </c>
      <c r="V143" s="295">
        <v>0</v>
      </c>
      <c r="W143" s="295">
        <v>0</v>
      </c>
      <c r="X143" s="295">
        <v>0</v>
      </c>
      <c r="Y143" s="295">
        <v>0</v>
      </c>
      <c r="Z143" s="295">
        <v>0</v>
      </c>
    </row>
    <row r="144" spans="2:26">
      <c r="B144" s="334"/>
      <c r="C144" s="334" t="s">
        <v>157</v>
      </c>
      <c r="D144" s="334"/>
      <c r="E144" s="578">
        <f>'WPP 89'!$C$60</f>
        <v>0.5</v>
      </c>
      <c r="F144" s="295">
        <f>'WPP 89'!F$56</f>
        <v>0</v>
      </c>
      <c r="G144" s="295">
        <f>'WPP 89'!G56</f>
        <v>0</v>
      </c>
      <c r="H144" s="295">
        <f>'WPP 89'!H56</f>
        <v>0</v>
      </c>
      <c r="I144" s="295">
        <f>'WPP 89'!I56</f>
        <v>0</v>
      </c>
      <c r="J144" s="295">
        <f>'WPP 89'!J56</f>
        <v>0</v>
      </c>
      <c r="K144" s="295">
        <f>'WPP 89'!K56</f>
        <v>0</v>
      </c>
      <c r="L144" s="295">
        <f>'WPP 89'!L56</f>
        <v>0</v>
      </c>
      <c r="M144" s="295">
        <f>'WPP 89'!M56</f>
        <v>0</v>
      </c>
      <c r="N144" s="295">
        <f>'WPP 89'!N56</f>
        <v>0</v>
      </c>
      <c r="O144" s="295">
        <f>'WPP 89'!O56</f>
        <v>0</v>
      </c>
      <c r="P144" s="295">
        <f>'WPP 89'!P56</f>
        <v>0</v>
      </c>
      <c r="Q144" s="295">
        <f>'WPP 89'!Q56</f>
        <v>0</v>
      </c>
      <c r="R144" s="295">
        <f>'WPP 89'!R56</f>
        <v>0</v>
      </c>
      <c r="S144" s="295">
        <f>'WPP 89'!S56</f>
        <v>0</v>
      </c>
      <c r="T144" s="295">
        <f>'WPP 89'!T56</f>
        <v>0</v>
      </c>
      <c r="U144" s="295">
        <f>'WPP 89'!U56</f>
        <v>0</v>
      </c>
      <c r="V144" s="295">
        <f>'WPP 89'!V56</f>
        <v>0</v>
      </c>
      <c r="W144" s="295">
        <f>'WPP 89'!W56</f>
        <v>0</v>
      </c>
      <c r="X144" s="295">
        <f>'WPP 89'!X56</f>
        <v>0</v>
      </c>
      <c r="Y144" s="295">
        <f>'WPP 89'!Y56</f>
        <v>0</v>
      </c>
      <c r="Z144" s="295">
        <f>'WPP 89'!Z56</f>
        <v>0</v>
      </c>
    </row>
    <row r="145" spans="2:26">
      <c r="B145" s="334"/>
      <c r="C145" s="334" t="s">
        <v>158</v>
      </c>
      <c r="D145" s="334"/>
      <c r="E145" s="578">
        <f>'WPP 90'!C60</f>
        <v>0.5</v>
      </c>
      <c r="F145" s="295">
        <f>'WPP 91'!F$56</f>
        <v>0</v>
      </c>
      <c r="G145" s="295">
        <f>'WPP 91'!G$56</f>
        <v>0</v>
      </c>
      <c r="H145" s="295">
        <f>'WPP 91'!H$56</f>
        <v>0</v>
      </c>
      <c r="I145" s="295">
        <f>'WPP 91'!I$56</f>
        <v>0</v>
      </c>
      <c r="J145" s="295">
        <f>'WPP 91'!J$56</f>
        <v>0</v>
      </c>
      <c r="K145" s="295">
        <f>'WPP 91'!K$56</f>
        <v>0</v>
      </c>
      <c r="L145" s="295">
        <f>'WPP 91'!L$56</f>
        <v>0</v>
      </c>
      <c r="M145" s="295">
        <f>'WPP 91'!M$56</f>
        <v>0</v>
      </c>
      <c r="N145" s="295">
        <f>'WPP 91'!N$56</f>
        <v>0</v>
      </c>
      <c r="O145" s="295">
        <f>'WPP 91'!O$56</f>
        <v>0</v>
      </c>
      <c r="P145" s="295">
        <f>'WPP 91'!P$56</f>
        <v>0</v>
      </c>
      <c r="Q145" s="295">
        <f>'WPP 91'!Q$56</f>
        <v>0</v>
      </c>
      <c r="R145" s="295">
        <f>'WPP 91'!R$56</f>
        <v>0</v>
      </c>
      <c r="S145" s="295">
        <f>'WPP 91'!S$56</f>
        <v>0</v>
      </c>
      <c r="T145" s="295">
        <f>'WPP 91'!T$56</f>
        <v>0</v>
      </c>
      <c r="U145" s="295">
        <f>'WPP 91'!U$56</f>
        <v>0</v>
      </c>
      <c r="V145" s="295">
        <f>'WPP 91'!V$56</f>
        <v>0</v>
      </c>
      <c r="W145" s="295">
        <f>'WPP 91'!W$56</f>
        <v>0</v>
      </c>
      <c r="X145" s="295">
        <f>'WPP 91'!X$56</f>
        <v>0</v>
      </c>
      <c r="Y145" s="295">
        <f>'WPP 91'!Y$56</f>
        <v>0</v>
      </c>
      <c r="Z145" s="295">
        <f>'WPP 91'!Z$56</f>
        <v>0</v>
      </c>
    </row>
    <row r="146" spans="2:26">
      <c r="B146" s="334"/>
      <c r="C146" s="334" t="s">
        <v>159</v>
      </c>
      <c r="D146" s="334"/>
      <c r="E146" s="578">
        <f>'WPP 90'!C60</f>
        <v>0.5</v>
      </c>
      <c r="F146" s="295">
        <f>'WPP 90'!F$56</f>
        <v>0</v>
      </c>
      <c r="G146" s="295">
        <f>'WPP 90'!G$56</f>
        <v>0</v>
      </c>
      <c r="H146" s="295">
        <f>'WPP 90'!H$56</f>
        <v>0</v>
      </c>
      <c r="I146" s="295">
        <f>'WPP 90'!I$56</f>
        <v>0</v>
      </c>
      <c r="J146" s="295">
        <f>'WPP 90'!J$56</f>
        <v>0</v>
      </c>
      <c r="K146" s="295">
        <f>'WPP 90'!K$56</f>
        <v>0</v>
      </c>
      <c r="L146" s="295">
        <f>'WPP 90'!L$56</f>
        <v>0</v>
      </c>
      <c r="M146" s="295">
        <f>'WPP 90'!M$56</f>
        <v>0</v>
      </c>
      <c r="N146" s="295">
        <f>'WPP 90'!N$56</f>
        <v>0</v>
      </c>
      <c r="O146" s="295">
        <f>'WPP 90'!O$56</f>
        <v>0</v>
      </c>
      <c r="P146" s="295">
        <f>'WPP 90'!P$56</f>
        <v>0</v>
      </c>
      <c r="Q146" s="295">
        <f>'WPP 90'!Q$56</f>
        <v>0</v>
      </c>
      <c r="R146" s="295">
        <f>'WPP 90'!R$56</f>
        <v>0</v>
      </c>
      <c r="S146" s="295">
        <f>'WPP 90'!S$56</f>
        <v>0</v>
      </c>
      <c r="T146" s="295">
        <f>'WPP 90'!T$56</f>
        <v>0</v>
      </c>
      <c r="U146" s="295">
        <f>'WPP 90'!U$56</f>
        <v>0</v>
      </c>
      <c r="V146" s="295">
        <f>'WPP 90'!V$56</f>
        <v>0</v>
      </c>
      <c r="W146" s="295">
        <f>'WPP 90'!W$56</f>
        <v>0</v>
      </c>
      <c r="X146" s="295">
        <f>'WPP 90'!X$56</f>
        <v>0</v>
      </c>
      <c r="Y146" s="295">
        <f>'WPP 90'!Y$56</f>
        <v>0</v>
      </c>
      <c r="Z146" s="295">
        <f>'WPP 90'!Z$56</f>
        <v>0</v>
      </c>
    </row>
    <row r="147" spans="2:26" ht="15">
      <c r="B147" s="334"/>
      <c r="C147" s="334" t="s">
        <v>160</v>
      </c>
      <c r="D147" s="334"/>
      <c r="E147" s="578">
        <v>0</v>
      </c>
      <c r="F147" s="1161">
        <v>0</v>
      </c>
      <c r="G147" s="1161">
        <v>0</v>
      </c>
      <c r="H147" s="1161">
        <v>0</v>
      </c>
      <c r="I147" s="1161">
        <v>0</v>
      </c>
      <c r="J147" s="1161">
        <v>0</v>
      </c>
      <c r="K147" s="1161">
        <v>0</v>
      </c>
      <c r="L147" s="1161">
        <v>0</v>
      </c>
      <c r="M147" s="1161">
        <v>0</v>
      </c>
      <c r="N147" s="1161">
        <v>0</v>
      </c>
      <c r="O147" s="1161">
        <v>0</v>
      </c>
      <c r="P147" s="1161">
        <v>0</v>
      </c>
      <c r="Q147" s="1161">
        <v>0</v>
      </c>
      <c r="R147" s="1161">
        <v>0</v>
      </c>
      <c r="S147" s="1161">
        <v>0</v>
      </c>
      <c r="T147" s="1161">
        <v>0</v>
      </c>
      <c r="U147" s="1161">
        <v>0</v>
      </c>
      <c r="V147" s="1161">
        <v>0</v>
      </c>
      <c r="W147" s="1161">
        <v>0</v>
      </c>
      <c r="X147" s="1161">
        <v>0</v>
      </c>
      <c r="Y147" s="1161">
        <v>0</v>
      </c>
      <c r="Z147" s="1161">
        <v>0</v>
      </c>
    </row>
    <row r="148" spans="2:26">
      <c r="B148" s="334"/>
      <c r="C148" s="334"/>
      <c r="D148" s="334"/>
      <c r="E148" s="578"/>
      <c r="F148" s="302">
        <f>SUM(F141:F147)</f>
        <v>0</v>
      </c>
      <c r="G148" s="302">
        <f t="shared" ref="G148:Z148" si="20">SUM(G141:G147)</f>
        <v>0</v>
      </c>
      <c r="H148" s="302">
        <f t="shared" si="20"/>
        <v>0</v>
      </c>
      <c r="I148" s="302">
        <f t="shared" si="20"/>
        <v>0</v>
      </c>
      <c r="J148" s="302">
        <f t="shared" si="20"/>
        <v>0</v>
      </c>
      <c r="K148" s="302">
        <f t="shared" si="20"/>
        <v>0</v>
      </c>
      <c r="L148" s="302">
        <f t="shared" si="20"/>
        <v>0</v>
      </c>
      <c r="M148" s="302">
        <f t="shared" si="20"/>
        <v>0</v>
      </c>
      <c r="N148" s="302">
        <f t="shared" si="20"/>
        <v>0</v>
      </c>
      <c r="O148" s="302">
        <f t="shared" si="20"/>
        <v>0</v>
      </c>
      <c r="P148" s="302">
        <f t="shared" si="20"/>
        <v>0</v>
      </c>
      <c r="Q148" s="302">
        <f t="shared" si="20"/>
        <v>0</v>
      </c>
      <c r="R148" s="302">
        <f t="shared" si="20"/>
        <v>0</v>
      </c>
      <c r="S148" s="302">
        <f t="shared" si="20"/>
        <v>0</v>
      </c>
      <c r="T148" s="302">
        <f t="shared" si="20"/>
        <v>0</v>
      </c>
      <c r="U148" s="302">
        <f t="shared" si="20"/>
        <v>0</v>
      </c>
      <c r="V148" s="302">
        <f t="shared" si="20"/>
        <v>0</v>
      </c>
      <c r="W148" s="302">
        <f t="shared" si="20"/>
        <v>0</v>
      </c>
      <c r="X148" s="302">
        <f t="shared" si="20"/>
        <v>0</v>
      </c>
      <c r="Y148" s="302">
        <f t="shared" si="20"/>
        <v>0</v>
      </c>
      <c r="Z148" s="302">
        <f t="shared" si="20"/>
        <v>0</v>
      </c>
    </row>
    <row r="149" spans="2:26">
      <c r="B149" s="334"/>
      <c r="C149" s="334"/>
      <c r="D149" s="334"/>
    </row>
    <row r="150" spans="2:26">
      <c r="B150" s="334"/>
      <c r="C150" s="334"/>
      <c r="D150" s="334"/>
    </row>
    <row r="151" spans="2:26" ht="13.5" thickBot="1">
      <c r="B151" s="584" t="s">
        <v>169</v>
      </c>
      <c r="C151" s="334"/>
      <c r="D151" s="334"/>
      <c r="E151" s="1162"/>
      <c r="F151" s="1127">
        <f>F148+F126+F138</f>
        <v>13224.902302374343</v>
      </c>
      <c r="G151" s="1127">
        <f t="shared" ref="G151:Z151" si="21">G148+G126+G138</f>
        <v>13339.164142235393</v>
      </c>
      <c r="H151" s="1127">
        <f t="shared" si="21"/>
        <v>13910.471815836238</v>
      </c>
      <c r="I151" s="1127">
        <f t="shared" si="21"/>
        <v>13494.724302596409</v>
      </c>
      <c r="J151" s="1127">
        <f t="shared" si="21"/>
        <v>13837.248637143923</v>
      </c>
      <c r="K151" s="1127">
        <f t="shared" si="21"/>
        <v>14109.708661958726</v>
      </c>
      <c r="L151" s="1127">
        <f t="shared" si="21"/>
        <v>14132.920661958728</v>
      </c>
      <c r="M151" s="1127">
        <f t="shared" si="21"/>
        <v>14310.800824959224</v>
      </c>
      <c r="N151" s="1127">
        <f t="shared" si="21"/>
        <v>3625.2888719746588</v>
      </c>
      <c r="O151" s="1127">
        <f t="shared" si="21"/>
        <v>0</v>
      </c>
      <c r="P151" s="1127">
        <f t="shared" si="21"/>
        <v>0</v>
      </c>
      <c r="Q151" s="1127">
        <f t="shared" si="21"/>
        <v>0</v>
      </c>
      <c r="R151" s="1127">
        <f t="shared" si="21"/>
        <v>0</v>
      </c>
      <c r="S151" s="1127">
        <f t="shared" si="21"/>
        <v>0</v>
      </c>
      <c r="T151" s="1127">
        <f t="shared" si="21"/>
        <v>0</v>
      </c>
      <c r="U151" s="1127">
        <f t="shared" si="21"/>
        <v>0</v>
      </c>
      <c r="V151" s="1127">
        <f t="shared" si="21"/>
        <v>0</v>
      </c>
      <c r="W151" s="1127">
        <f t="shared" si="21"/>
        <v>0</v>
      </c>
      <c r="X151" s="1127">
        <f t="shared" si="21"/>
        <v>0</v>
      </c>
      <c r="Y151" s="1127">
        <f t="shared" si="21"/>
        <v>0</v>
      </c>
      <c r="Z151" s="1127">
        <f t="shared" si="21"/>
        <v>0</v>
      </c>
    </row>
    <row r="152" spans="2:26" ht="13.5" thickTop="1"/>
    <row r="154" spans="2:26" ht="13.5" thickBot="1">
      <c r="F154" s="1158">
        <v>2001</v>
      </c>
      <c r="G154" s="1158">
        <f>+F154+1</f>
        <v>2002</v>
      </c>
      <c r="H154" s="1158">
        <f t="shared" ref="H154:Y154" si="22">+G154+1</f>
        <v>2003</v>
      </c>
      <c r="I154" s="1158">
        <f t="shared" si="22"/>
        <v>2004</v>
      </c>
      <c r="J154" s="1158">
        <f t="shared" si="22"/>
        <v>2005</v>
      </c>
      <c r="K154" s="1158">
        <f t="shared" si="22"/>
        <v>2006</v>
      </c>
      <c r="L154" s="1158">
        <f t="shared" si="22"/>
        <v>2007</v>
      </c>
      <c r="M154" s="1158">
        <f t="shared" si="22"/>
        <v>2008</v>
      </c>
      <c r="N154" s="1158">
        <f t="shared" si="22"/>
        <v>2009</v>
      </c>
      <c r="O154" s="1158">
        <f t="shared" si="22"/>
        <v>2010</v>
      </c>
      <c r="P154" s="1158">
        <f t="shared" si="22"/>
        <v>2011</v>
      </c>
      <c r="Q154" s="1158">
        <f t="shared" si="22"/>
        <v>2012</v>
      </c>
      <c r="R154" s="1158">
        <f t="shared" si="22"/>
        <v>2013</v>
      </c>
      <c r="S154" s="1158">
        <f t="shared" si="22"/>
        <v>2014</v>
      </c>
      <c r="T154" s="1158">
        <f t="shared" si="22"/>
        <v>2015</v>
      </c>
      <c r="U154" s="1158">
        <f t="shared" si="22"/>
        <v>2016</v>
      </c>
      <c r="V154" s="1158">
        <f t="shared" si="22"/>
        <v>2017</v>
      </c>
      <c r="W154" s="1158">
        <f t="shared" si="22"/>
        <v>2018</v>
      </c>
      <c r="X154" s="1158">
        <f t="shared" si="22"/>
        <v>2019</v>
      </c>
      <c r="Y154" s="1158">
        <f t="shared" si="22"/>
        <v>2020</v>
      </c>
      <c r="Z154" s="1158">
        <f>Y154+1</f>
        <v>2021</v>
      </c>
    </row>
    <row r="157" spans="2:26" ht="15.75">
      <c r="B157" s="737" t="s">
        <v>280</v>
      </c>
      <c r="C157" s="1163"/>
      <c r="D157" s="1163"/>
      <c r="E157" s="1163"/>
    </row>
    <row r="158" spans="2:26">
      <c r="C158" s="271" t="s">
        <v>142</v>
      </c>
      <c r="E158" s="578">
        <v>1</v>
      </c>
      <c r="F158" s="283">
        <f>$E$158*'Cerro Gordo'!F41+'Cerro Gordo'!F110</f>
        <v>1702</v>
      </c>
      <c r="G158" s="283">
        <f>$E$158*'Cerro Gordo'!G41+'Cerro Gordo'!G110</f>
        <v>1702</v>
      </c>
      <c r="H158" s="283">
        <f>$E$158*'Cerro Gordo'!H41+'Cerro Gordo'!H110</f>
        <v>1702</v>
      </c>
      <c r="I158" s="283">
        <f>$E$158*'Cerro Gordo'!I41+'Cerro Gordo'!I110</f>
        <v>1702</v>
      </c>
      <c r="J158" s="283">
        <f>$E$158*'Cerro Gordo'!J41+'Cerro Gordo'!J110</f>
        <v>1702</v>
      </c>
      <c r="K158" s="283">
        <f>$E$158*'Cerro Gordo'!K41+'Cerro Gordo'!K110</f>
        <v>1702</v>
      </c>
      <c r="L158" s="283">
        <f>$E$158*'Cerro Gordo'!L41+'Cerro Gordo'!L110</f>
        <v>1702</v>
      </c>
      <c r="M158" s="283">
        <f>$E$158*'Cerro Gordo'!M41+'Cerro Gordo'!M110</f>
        <v>1702</v>
      </c>
      <c r="N158" s="283">
        <f>$E$158*'Cerro Gordo'!N41+'Cerro Gordo'!N110</f>
        <v>1702</v>
      </c>
      <c r="O158" s="283">
        <f>$E$158*'Cerro Gordo'!O41+'Cerro Gordo'!O110</f>
        <v>1702</v>
      </c>
      <c r="P158" s="283">
        <f>$E$158*'Cerro Gordo'!P41+'Cerro Gordo'!P110</f>
        <v>1702</v>
      </c>
      <c r="Q158" s="283">
        <f>$E$158*'Cerro Gordo'!Q41+'Cerro Gordo'!Q110</f>
        <v>1702</v>
      </c>
      <c r="R158" s="283">
        <f>$E$158*'Cerro Gordo'!R41+'Cerro Gordo'!R110</f>
        <v>1702</v>
      </c>
      <c r="S158" s="283">
        <f>$E$158*'Cerro Gordo'!S41+'Cerro Gordo'!S110</f>
        <v>1702</v>
      </c>
      <c r="T158" s="283">
        <f>$E$158*'Cerro Gordo'!T41+'Cerro Gordo'!T110</f>
        <v>1702</v>
      </c>
      <c r="U158" s="283">
        <f>$E$158*'Cerro Gordo'!U41+'Cerro Gordo'!U110</f>
        <v>1702</v>
      </c>
      <c r="V158" s="283">
        <f>$E$158*'Cerro Gordo'!V41+'Cerro Gordo'!V110</f>
        <v>1702</v>
      </c>
      <c r="W158" s="283">
        <f>$E$158*'Cerro Gordo'!W41+'Cerro Gordo'!W110</f>
        <v>1702</v>
      </c>
      <c r="X158" s="283">
        <f>$E$158*'Cerro Gordo'!X41+'Cerro Gordo'!X110</f>
        <v>1702</v>
      </c>
      <c r="Y158" s="283">
        <f>$E$158*'Cerro Gordo'!Y41+'Cerro Gordo'!Y110</f>
        <v>1702</v>
      </c>
    </row>
    <row r="159" spans="2:26">
      <c r="C159" s="271" t="s">
        <v>143</v>
      </c>
      <c r="E159" s="578">
        <v>1</v>
      </c>
      <c r="F159" s="283">
        <f>$E$159*'Southwest Mesa'!F41+'Southwest Mesa'!F110</f>
        <v>3446</v>
      </c>
      <c r="G159" s="283">
        <f>$E$159*'Southwest Mesa'!G41+'Southwest Mesa'!G110</f>
        <v>3446</v>
      </c>
      <c r="H159" s="283">
        <f>$E$159*'Southwest Mesa'!H41+'Southwest Mesa'!H110</f>
        <v>3446</v>
      </c>
      <c r="I159" s="283">
        <f>$E$159*'Southwest Mesa'!I41+'Southwest Mesa'!I110</f>
        <v>3446</v>
      </c>
      <c r="J159" s="283">
        <f>$E$159*'Southwest Mesa'!J41+'Southwest Mesa'!J110</f>
        <v>3446</v>
      </c>
      <c r="K159" s="283">
        <f>$E$159*'Southwest Mesa'!K41+'Southwest Mesa'!K110</f>
        <v>3446</v>
      </c>
      <c r="L159" s="283">
        <f>$E$159*'Southwest Mesa'!L41+'Southwest Mesa'!L110</f>
        <v>3446</v>
      </c>
      <c r="M159" s="283">
        <f>$E$159*'Southwest Mesa'!M41+'Southwest Mesa'!M110</f>
        <v>3446</v>
      </c>
      <c r="N159" s="283">
        <f>$E$159*'Southwest Mesa'!N41+'Southwest Mesa'!N110</f>
        <v>3446</v>
      </c>
      <c r="O159" s="283">
        <f>$E$159*'Southwest Mesa'!O41+'Southwest Mesa'!O110</f>
        <v>3446</v>
      </c>
      <c r="P159" s="283">
        <f>$E$159*'Southwest Mesa'!P41+'Southwest Mesa'!P110</f>
        <v>3446</v>
      </c>
      <c r="Q159" s="283">
        <f>$E$159*'Southwest Mesa'!Q41+'Southwest Mesa'!Q110</f>
        <v>3446</v>
      </c>
      <c r="R159" s="283">
        <f>$E$159*'Southwest Mesa'!R41+'Southwest Mesa'!R110</f>
        <v>3446</v>
      </c>
      <c r="S159" s="283">
        <f>$E$159*'Southwest Mesa'!S41+'Southwest Mesa'!S110</f>
        <v>3446</v>
      </c>
      <c r="T159" s="283">
        <f>$E$159*'Southwest Mesa'!T41+'Southwest Mesa'!T110</f>
        <v>3446</v>
      </c>
      <c r="U159" s="283">
        <f>$E$159*'Southwest Mesa'!U41+'Southwest Mesa'!U110</f>
        <v>3446</v>
      </c>
      <c r="V159" s="283">
        <f>$E$159*'Southwest Mesa'!V41+'Southwest Mesa'!V110</f>
        <v>3446</v>
      </c>
      <c r="W159" s="283">
        <f>$E$159*'Southwest Mesa'!W41+'Southwest Mesa'!W110</f>
        <v>3446</v>
      </c>
      <c r="X159" s="283">
        <f>$E$159*'Southwest Mesa'!X41+'Southwest Mesa'!X110</f>
        <v>3446</v>
      </c>
      <c r="Y159" s="283">
        <f>$E$159*'Southwest Mesa'!Y41+'Southwest Mesa'!Y110</f>
        <v>0</v>
      </c>
    </row>
    <row r="160" spans="2:26">
      <c r="C160" s="271" t="s">
        <v>144</v>
      </c>
      <c r="E160" s="578">
        <v>1</v>
      </c>
      <c r="F160" s="283">
        <f>$E$160*Vansycle!F41+Vansycle!F110</f>
        <v>1520</v>
      </c>
      <c r="G160" s="283">
        <f>$E$160*Vansycle!G41+Vansycle!G110</f>
        <v>1520</v>
      </c>
      <c r="H160" s="283">
        <f>$E$160*Vansycle!H41+Vansycle!H110</f>
        <v>1520</v>
      </c>
      <c r="I160" s="283">
        <f>$E$160*Vansycle!I41+Vansycle!I110</f>
        <v>1520</v>
      </c>
      <c r="J160" s="283">
        <f>$E$160*Vansycle!J41+Vansycle!J110</f>
        <v>1520</v>
      </c>
      <c r="K160" s="283">
        <f>$E$160*Vansycle!K41+Vansycle!K110</f>
        <v>1520</v>
      </c>
      <c r="L160" s="283">
        <f>$E$160*Vansycle!L41+Vansycle!L110</f>
        <v>1520</v>
      </c>
      <c r="M160" s="283">
        <f>$E$160*Vansycle!M41+Vansycle!M110</f>
        <v>1520</v>
      </c>
      <c r="N160" s="283">
        <f>$E$160*Vansycle!N41+Vansycle!N110</f>
        <v>1520</v>
      </c>
      <c r="O160" s="283">
        <f>$E$160*Vansycle!O41+Vansycle!O110</f>
        <v>1520</v>
      </c>
      <c r="P160" s="283">
        <f>$E$160*Vansycle!P41+Vansycle!P110</f>
        <v>1520</v>
      </c>
      <c r="Q160" s="283">
        <f>$E$160*Vansycle!Q41+Vansycle!Q110</f>
        <v>1520</v>
      </c>
      <c r="R160" s="283">
        <f>$E$160*Vansycle!R41+Vansycle!R110</f>
        <v>1520</v>
      </c>
      <c r="S160" s="283">
        <f>$E$160*Vansycle!S41+Vansycle!S110</f>
        <v>1520</v>
      </c>
      <c r="T160" s="283">
        <f>$E$160*Vansycle!T41+Vansycle!T110</f>
        <v>1520</v>
      </c>
      <c r="U160" s="283">
        <f>$E$160*Vansycle!U41+Vansycle!U110</f>
        <v>1520</v>
      </c>
      <c r="V160" s="283">
        <f>$E$160*Vansycle!V41+Vansycle!V110</f>
        <v>1520</v>
      </c>
      <c r="W160" s="283">
        <f>$E$160*Vansycle!W41+Vansycle!W110</f>
        <v>1520</v>
      </c>
      <c r="X160" s="283">
        <f>$E$160*Vansycle!X41+Vansycle!X110</f>
        <v>1520</v>
      </c>
      <c r="Y160" s="283">
        <f>$E$160*Vansycle!Y41+Vansycle!Y110</f>
        <v>1520</v>
      </c>
    </row>
    <row r="161" spans="3:25">
      <c r="C161" s="271" t="s">
        <v>146</v>
      </c>
      <c r="E161" s="578">
        <v>0.5</v>
      </c>
      <c r="F161" s="283">
        <f>$E$161*Cameron!F41+Cameron!F110</f>
        <v>2067</v>
      </c>
      <c r="G161" s="283">
        <f>$E$161*Cameron!G41+Cameron!G110</f>
        <v>2067</v>
      </c>
      <c r="H161" s="283">
        <f>$E$161*Cameron!H41+Cameron!H110</f>
        <v>2067</v>
      </c>
      <c r="I161" s="283">
        <f>$E$161*Cameron!I41+Cameron!I110</f>
        <v>2067</v>
      </c>
      <c r="J161" s="283">
        <f>$E$161*Cameron!J41+Cameron!J110</f>
        <v>2067</v>
      </c>
      <c r="K161" s="283">
        <f>$E$161*Cameron!K41+Cameron!K110</f>
        <v>2067</v>
      </c>
      <c r="L161" s="283">
        <f>$E$161*Cameron!L41+Cameron!L110</f>
        <v>2067</v>
      </c>
      <c r="M161" s="283">
        <f>$E$161*Cameron!M41+Cameron!M110</f>
        <v>2067</v>
      </c>
      <c r="N161" s="283">
        <f>$E$161*Cameron!N41+Cameron!N110</f>
        <v>2067</v>
      </c>
      <c r="O161" s="283">
        <f>$E$161*Cameron!O41+Cameron!O110</f>
        <v>2067</v>
      </c>
      <c r="P161" s="283">
        <f>$E$161*Cameron!P41+Cameron!P110</f>
        <v>2067</v>
      </c>
      <c r="Q161" s="283">
        <f>$E$161*Cameron!Q41+Cameron!Q110</f>
        <v>2067</v>
      </c>
      <c r="R161" s="283">
        <f>$E$161*Cameron!R41+Cameron!R110</f>
        <v>2067</v>
      </c>
      <c r="S161" s="283">
        <f>$E$161*Cameron!S41+Cameron!S110</f>
        <v>2067</v>
      </c>
      <c r="T161" s="283">
        <f>$E$161*Cameron!T41+Cameron!T110</f>
        <v>2067</v>
      </c>
      <c r="U161" s="283">
        <f>$E$161*Cameron!U41+Cameron!U110</f>
        <v>2067</v>
      </c>
      <c r="V161" s="283">
        <f>$E$161*Cameron!V41+Cameron!V110</f>
        <v>2067</v>
      </c>
      <c r="W161" s="283">
        <f>$E$161*Cameron!W41+Cameron!W110</f>
        <v>2067</v>
      </c>
      <c r="X161" s="283">
        <f>$E$161*Cameron!X41+Cameron!X110</f>
        <v>2067</v>
      </c>
      <c r="Y161" s="283">
        <f>$E$161*Cameron!Y41+Cameron!Y110</f>
        <v>2067</v>
      </c>
    </row>
    <row r="162" spans="3:25">
      <c r="C162" s="271" t="s">
        <v>162</v>
      </c>
      <c r="E162" s="578">
        <v>0.5</v>
      </c>
      <c r="F162" s="283">
        <f>$E$162*'Pacific Crest'!F41+'Pacific Crest'!F110</f>
        <v>1801</v>
      </c>
      <c r="G162" s="283">
        <f>$E$162*'Pacific Crest'!G41+'Pacific Crest'!G110</f>
        <v>1801</v>
      </c>
      <c r="H162" s="283">
        <f>$E$162*'Pacific Crest'!H41+'Pacific Crest'!H110</f>
        <v>1801</v>
      </c>
      <c r="I162" s="283">
        <f>$E$162*'Pacific Crest'!I41+'Pacific Crest'!I110</f>
        <v>1801</v>
      </c>
      <c r="J162" s="283">
        <f>$E$162*'Pacific Crest'!J41+'Pacific Crest'!J110</f>
        <v>1801</v>
      </c>
      <c r="K162" s="283">
        <f>$E$162*'Pacific Crest'!K41+'Pacific Crest'!K110</f>
        <v>1801</v>
      </c>
      <c r="L162" s="283">
        <f>$E$162*'Pacific Crest'!L41+'Pacific Crest'!L110</f>
        <v>1801</v>
      </c>
      <c r="M162" s="283">
        <f>$E$162*'Pacific Crest'!M41+'Pacific Crest'!M110</f>
        <v>1801</v>
      </c>
      <c r="N162" s="283">
        <f>$E$162*'Pacific Crest'!N41+'Pacific Crest'!N110</f>
        <v>1801</v>
      </c>
      <c r="O162" s="283">
        <f>$E$162*'Pacific Crest'!O41+'Pacific Crest'!O110</f>
        <v>1801</v>
      </c>
      <c r="P162" s="283">
        <f>$E$162*'Pacific Crest'!P41+'Pacific Crest'!P110</f>
        <v>1801</v>
      </c>
      <c r="Q162" s="283">
        <f>$E$162*'Pacific Crest'!Q41+'Pacific Crest'!Q110</f>
        <v>1801</v>
      </c>
      <c r="R162" s="283">
        <f>$E$162*'Pacific Crest'!R41+'Pacific Crest'!R110</f>
        <v>1801</v>
      </c>
      <c r="S162" s="283">
        <f>$E$162*'Pacific Crest'!S41+'Pacific Crest'!S110</f>
        <v>1801</v>
      </c>
      <c r="T162" s="283">
        <f>$E$162*'Pacific Crest'!T41+'Pacific Crest'!T110</f>
        <v>1801</v>
      </c>
      <c r="U162" s="283">
        <f>$E$162*'Pacific Crest'!U41+'Pacific Crest'!U110</f>
        <v>1801</v>
      </c>
      <c r="V162" s="283">
        <f>$E$162*'Pacific Crest'!V41+'Pacific Crest'!V110</f>
        <v>1801</v>
      </c>
      <c r="W162" s="283">
        <f>$E$162*'Pacific Crest'!W41+'Pacific Crest'!W110</f>
        <v>1801</v>
      </c>
      <c r="X162" s="283">
        <f>$E$162*'Pacific Crest'!X41+'Pacific Crest'!X110</f>
        <v>1801</v>
      </c>
      <c r="Y162" s="283">
        <f>$E$162*'Pacific Crest'!Y41+'Pacific Crest'!Y110</f>
        <v>0</v>
      </c>
    </row>
    <row r="163" spans="3:25">
      <c r="C163" s="271" t="s">
        <v>163</v>
      </c>
      <c r="E163" s="578">
        <v>0.5</v>
      </c>
      <c r="F163" s="283">
        <f>$E$163*'Sky River'!F41+'Sky River'!F110</f>
        <v>2372.5</v>
      </c>
      <c r="G163" s="283">
        <f>$E$163*'Sky River'!G41+'Sky River'!G110</f>
        <v>2372.5</v>
      </c>
      <c r="H163" s="283">
        <f>$E$163*'Sky River'!H41+'Sky River'!H110</f>
        <v>2372.5</v>
      </c>
      <c r="I163" s="283">
        <f>$E$163*'Sky River'!I41+'Sky River'!I110</f>
        <v>2372.5</v>
      </c>
      <c r="J163" s="283">
        <f>$E$163*'Sky River'!J41+'Sky River'!J110</f>
        <v>2372.5</v>
      </c>
      <c r="K163" s="283">
        <f>$E$163*'Sky River'!K41+'Sky River'!K110</f>
        <v>2372.5</v>
      </c>
      <c r="L163" s="283">
        <f>$E$163*'Sky River'!L41+'Sky River'!L110</f>
        <v>2372.5</v>
      </c>
      <c r="M163" s="283">
        <f>$E$163*'Sky River'!M41+'Sky River'!M110</f>
        <v>2372.5</v>
      </c>
      <c r="N163" s="283">
        <f>$E$163*'Sky River'!N41+'Sky River'!N110</f>
        <v>2372.5</v>
      </c>
      <c r="O163" s="283">
        <f>$E$163*'Sky River'!O41+'Sky River'!O110</f>
        <v>2372.5</v>
      </c>
      <c r="P163" s="283">
        <f>$E$163*'Sky River'!P41+'Sky River'!P110</f>
        <v>2372.5</v>
      </c>
      <c r="Q163" s="283">
        <f>$E$163*'Sky River'!Q41+'Sky River'!Q110</f>
        <v>2372.5</v>
      </c>
      <c r="R163" s="283">
        <f>$E$163*'Sky River'!R41+'Sky River'!R110</f>
        <v>2372.5</v>
      </c>
      <c r="S163" s="283">
        <f>$E$163*'Sky River'!S41+'Sky River'!S110</f>
        <v>2372.5</v>
      </c>
      <c r="T163" s="283">
        <f>$E$163*'Sky River'!T41+'Sky River'!T110</f>
        <v>2372.5</v>
      </c>
      <c r="U163" s="283">
        <f>$E$163*'Sky River'!U41+'Sky River'!U110</f>
        <v>2372.5</v>
      </c>
      <c r="V163" s="283">
        <f>$E$163*'Sky River'!V41+'Sky River'!V110</f>
        <v>2372.5</v>
      </c>
      <c r="W163" s="283">
        <f>$E$163*'Sky River'!W41+'Sky River'!W110</f>
        <v>2372.5</v>
      </c>
      <c r="X163" s="283">
        <f>$E$163*'Sky River'!X41+'Sky River'!X110</f>
        <v>2372.5</v>
      </c>
      <c r="Y163" s="283">
        <f>$E$163*'Sky River'!Y41+'Sky River'!Y110</f>
        <v>2372.5</v>
      </c>
    </row>
    <row r="164" spans="3:25">
      <c r="C164" s="271" t="s">
        <v>149</v>
      </c>
      <c r="E164" s="578">
        <v>0.5</v>
      </c>
      <c r="F164" s="283">
        <f>$E$164*Ridgetop!F41+Ridgetop!F110</f>
        <v>417</v>
      </c>
      <c r="G164" s="283">
        <f>$E$164*Ridgetop!G41+Ridgetop!G110</f>
        <v>417</v>
      </c>
      <c r="H164" s="283">
        <f>$E$164*Ridgetop!H41+Ridgetop!H110</f>
        <v>417</v>
      </c>
      <c r="I164" s="283">
        <f>$E$164*Ridgetop!I41+Ridgetop!I110</f>
        <v>417</v>
      </c>
      <c r="J164" s="283">
        <f>$E$164*Ridgetop!J41+Ridgetop!J110</f>
        <v>417</v>
      </c>
      <c r="K164" s="283">
        <f>$E$164*Ridgetop!K41+Ridgetop!K110</f>
        <v>417</v>
      </c>
      <c r="L164" s="283">
        <f>$E$164*Ridgetop!L41+Ridgetop!L110</f>
        <v>417</v>
      </c>
      <c r="M164" s="283">
        <f>$E$164*Ridgetop!M41+Ridgetop!M110</f>
        <v>417</v>
      </c>
      <c r="N164" s="283">
        <f>$E$164*Ridgetop!N41+Ridgetop!N110</f>
        <v>417</v>
      </c>
      <c r="O164" s="283">
        <f>$E$164*Ridgetop!O41+Ridgetop!O110</f>
        <v>417</v>
      </c>
      <c r="P164" s="283">
        <f>$E$164*Ridgetop!P41+Ridgetop!P110</f>
        <v>417</v>
      </c>
      <c r="Q164" s="283">
        <f>$E$164*Ridgetop!Q41+Ridgetop!Q110</f>
        <v>417</v>
      </c>
      <c r="R164" s="283">
        <f>$E$164*Ridgetop!R41+Ridgetop!R110</f>
        <v>417</v>
      </c>
      <c r="S164" s="283">
        <f>$E$164*Ridgetop!S41+Ridgetop!S110</f>
        <v>417</v>
      </c>
      <c r="T164" s="283">
        <f>$E$164*Ridgetop!T41+Ridgetop!T110</f>
        <v>417</v>
      </c>
      <c r="U164" s="283">
        <f>$E$164*Ridgetop!U41+Ridgetop!U110</f>
        <v>417</v>
      </c>
      <c r="V164" s="283">
        <f>$E$164*Ridgetop!V41+Ridgetop!V110</f>
        <v>417</v>
      </c>
      <c r="W164" s="283">
        <f>$E$164*Ridgetop!W41+Ridgetop!W110</f>
        <v>417</v>
      </c>
      <c r="X164" s="283">
        <f>$E$164*Ridgetop!X41+Ridgetop!X110</f>
        <v>417</v>
      </c>
      <c r="Y164" s="283">
        <f>$E$164*Ridgetop!Y41+Ridgetop!Y110</f>
        <v>0</v>
      </c>
    </row>
    <row r="165" spans="3:25">
      <c r="C165" s="271" t="s">
        <v>150</v>
      </c>
      <c r="E165" s="578">
        <v>0.5</v>
      </c>
      <c r="F165" s="283">
        <f>$E$165*'Green Ridge'!F41+'Green Ridge'!F110</f>
        <v>782.5</v>
      </c>
      <c r="G165" s="283">
        <f>$E$165*'Green Ridge'!G41+'Green Ridge'!G110</f>
        <v>782.5</v>
      </c>
      <c r="H165" s="283">
        <f>$E$165*'Green Ridge'!H41+'Green Ridge'!H110</f>
        <v>782.5</v>
      </c>
      <c r="I165" s="283">
        <f>$E$165*'Green Ridge'!I41+'Green Ridge'!I110</f>
        <v>782.5</v>
      </c>
      <c r="J165" s="283">
        <f>$E$165*'Green Ridge'!J41+'Green Ridge'!J110</f>
        <v>782.5</v>
      </c>
      <c r="K165" s="283">
        <f>$E$165*'Green Ridge'!K41+'Green Ridge'!K110</f>
        <v>782.5</v>
      </c>
      <c r="L165" s="283">
        <f>$E$165*'Green Ridge'!L41+'Green Ridge'!L110</f>
        <v>782.5</v>
      </c>
      <c r="M165" s="283">
        <f>$E$165*'Green Ridge'!M41+'Green Ridge'!M110</f>
        <v>782.5</v>
      </c>
      <c r="N165" s="283">
        <f>$E$165*'Green Ridge'!N41+'Green Ridge'!N110</f>
        <v>782.5</v>
      </c>
      <c r="O165" s="283">
        <f>$E$165*'Green Ridge'!O41+'Green Ridge'!O110</f>
        <v>782.5</v>
      </c>
      <c r="P165" s="283">
        <f>$E$165*'Green Ridge'!P41+'Green Ridge'!P110</f>
        <v>782.5</v>
      </c>
      <c r="Q165" s="283">
        <f>$E$165*'Green Ridge'!Q41+'Green Ridge'!Q110</f>
        <v>782.5</v>
      </c>
      <c r="R165" s="283">
        <f>$E$165*'Green Ridge'!R41+'Green Ridge'!R110</f>
        <v>782.5</v>
      </c>
      <c r="S165" s="283">
        <f>$E$165*'Green Ridge'!S41+'Green Ridge'!S110</f>
        <v>0</v>
      </c>
      <c r="T165" s="283">
        <f>$E$165*'Green Ridge'!T41+'Green Ridge'!T110</f>
        <v>0</v>
      </c>
      <c r="U165" s="283">
        <f>$E$165*'Green Ridge'!U41+'Green Ridge'!U110</f>
        <v>0</v>
      </c>
      <c r="V165" s="283">
        <f>$E$165*'Green Ridge'!V41+'Green Ridge'!V110</f>
        <v>0</v>
      </c>
      <c r="W165" s="283">
        <f>$E$165*'Green Ridge'!W41+'Green Ridge'!W110</f>
        <v>0</v>
      </c>
      <c r="X165" s="283">
        <f>$E$165*'Green Ridge'!X41+'Green Ridge'!X110</f>
        <v>0</v>
      </c>
      <c r="Y165" s="283">
        <f>$E$165*'Green Ridge'!Y41+'Green Ridge'!Y110</f>
        <v>0</v>
      </c>
    </row>
    <row r="166" spans="3:25">
      <c r="C166" s="271" t="s">
        <v>164</v>
      </c>
      <c r="E166" s="578">
        <v>0.5</v>
      </c>
      <c r="F166" s="283">
        <f>$E$166*'Mojave 16-18'!F41+'Mojave 16-18'!F110</f>
        <v>318</v>
      </c>
      <c r="G166" s="283">
        <f>$E$166*'Mojave 16-18'!G41+'Mojave 16-18'!G110</f>
        <v>318</v>
      </c>
      <c r="H166" s="283">
        <f>$E$166*'Mojave 16-18'!H41+'Mojave 16-18'!H110</f>
        <v>318</v>
      </c>
      <c r="I166" s="283">
        <f>$E$166*'Mojave 16-18'!I41+'Mojave 16-18'!I110</f>
        <v>318</v>
      </c>
      <c r="J166" s="283">
        <f>$E$166*'Mojave 16-18'!J41+'Mojave 16-18'!J110</f>
        <v>318</v>
      </c>
      <c r="K166" s="283">
        <f>$E$166*'Mojave 16-18'!K41+'Mojave 16-18'!K110</f>
        <v>318</v>
      </c>
      <c r="L166" s="283">
        <f>$E$166*'Mojave 16-18'!L41+'Mojave 16-18'!L110</f>
        <v>318</v>
      </c>
      <c r="M166" s="283">
        <f>$E$166*'Mojave 16-18'!M41+'Mojave 16-18'!M110</f>
        <v>318</v>
      </c>
      <c r="N166" s="283">
        <f>$E$166*'Mojave 16-18'!N41+'Mojave 16-18'!N110</f>
        <v>318</v>
      </c>
      <c r="O166" s="283">
        <f>$E$166*'Mojave 16-18'!O41+'Mojave 16-18'!O110</f>
        <v>318</v>
      </c>
      <c r="P166" s="283">
        <f>$E$166*'Mojave 16-18'!P41+'Mojave 16-18'!P110</f>
        <v>318</v>
      </c>
      <c r="Q166" s="283">
        <f>$E$166*'Mojave 16-18'!Q41+'Mojave 16-18'!Q110</f>
        <v>318</v>
      </c>
      <c r="R166" s="283">
        <f>$E$166*'Mojave 16-18'!R41+'Mojave 16-18'!R110</f>
        <v>318</v>
      </c>
      <c r="S166" s="283">
        <f>$E$166*'Mojave 16-18'!S41+'Mojave 16-18'!S110</f>
        <v>318</v>
      </c>
      <c r="T166" s="283">
        <f>$E$166*'Mojave 16-18'!T41+'Mojave 16-18'!T110</f>
        <v>318</v>
      </c>
      <c r="U166" s="283">
        <f>$E$166*'Mojave 16-18'!U41+'Mojave 16-18'!U110</f>
        <v>318</v>
      </c>
      <c r="V166" s="283">
        <f>$E$166*'Mojave 16-18'!V41+'Mojave 16-18'!V110</f>
        <v>318</v>
      </c>
      <c r="W166" s="283">
        <f>$E$166*'Mojave 16-18'!W41+'Mojave 16-18'!W110</f>
        <v>318</v>
      </c>
      <c r="X166" s="283">
        <f>$E$166*'Mojave 16-18'!X41+'Mojave 16-18'!X110</f>
        <v>318</v>
      </c>
      <c r="Y166" s="283">
        <f>$E$166*'Mojave 16-18'!Y41+'Mojave 16-18'!Y110</f>
        <v>0</v>
      </c>
    </row>
    <row r="167" spans="3:25">
      <c r="C167" s="271" t="s">
        <v>152</v>
      </c>
      <c r="E167" s="578">
        <v>0.5</v>
      </c>
      <c r="F167" s="283">
        <f>$E$167*Morwind!F41+Morwind!F110</f>
        <v>451</v>
      </c>
      <c r="G167" s="283">
        <f>$E$167*Morwind!G41+Morwind!G110</f>
        <v>451</v>
      </c>
      <c r="H167" s="283">
        <f>$E$167*Morwind!H41+Morwind!H110</f>
        <v>451</v>
      </c>
      <c r="I167" s="283">
        <f>$E$167*Morwind!I41+Morwind!I110</f>
        <v>451</v>
      </c>
      <c r="J167" s="283">
        <f>$E$167*Morwind!J41+Morwind!J110</f>
        <v>451</v>
      </c>
      <c r="K167" s="283">
        <f>$E$167*Morwind!K41+Morwind!K110</f>
        <v>451</v>
      </c>
      <c r="L167" s="283">
        <f>$E$167*Morwind!L41+Morwind!L110</f>
        <v>451</v>
      </c>
      <c r="M167" s="283">
        <f>$E$167*Morwind!M41+Morwind!M110</f>
        <v>451</v>
      </c>
      <c r="N167" s="283">
        <f>$E$167*Morwind!N41+Morwind!N110</f>
        <v>451</v>
      </c>
      <c r="O167" s="283">
        <f>$E$167*Morwind!O41+Morwind!O110</f>
        <v>451</v>
      </c>
      <c r="P167" s="283">
        <f>$E$167*Morwind!P41+Morwind!P110</f>
        <v>451</v>
      </c>
      <c r="Q167" s="283">
        <f>$E$167*Morwind!Q41+Morwind!Q110</f>
        <v>451</v>
      </c>
      <c r="R167" s="283">
        <f>$E$167*Morwind!R41+Morwind!R110</f>
        <v>451</v>
      </c>
      <c r="S167" s="283">
        <f>$E$167*Morwind!S41+Morwind!S110</f>
        <v>451</v>
      </c>
      <c r="T167" s="283">
        <f>$E$167*Morwind!T41+Morwind!T110</f>
        <v>451</v>
      </c>
      <c r="U167" s="283">
        <f>$E$167*Morwind!U41+Morwind!U110</f>
        <v>451</v>
      </c>
      <c r="V167" s="283">
        <f>$E$167*Morwind!V41+Morwind!V110</f>
        <v>0</v>
      </c>
      <c r="W167" s="283">
        <f>$E$167*Morwind!W41+Morwind!W110</f>
        <v>0</v>
      </c>
      <c r="X167" s="283">
        <f>$E$167*Morwind!X41+Morwind!X110</f>
        <v>0</v>
      </c>
      <c r="Y167" s="283">
        <f>$E$167*Morwind!Y41+Morwind!Y110</f>
        <v>0</v>
      </c>
    </row>
    <row r="168" spans="3:25">
      <c r="C168" s="271" t="s">
        <v>153</v>
      </c>
      <c r="E168" s="578">
        <v>0.5</v>
      </c>
      <c r="F168" s="283">
        <f>$E$168*VG!F41+VG!F110</f>
        <v>393.5</v>
      </c>
      <c r="G168" s="283">
        <f>$E$168*VG!G41+VG!G110</f>
        <v>393.5</v>
      </c>
      <c r="H168" s="283">
        <f>$E$168*VG!H41+VG!H110</f>
        <v>393.5</v>
      </c>
      <c r="I168" s="283">
        <f>$E$168*VG!I41+VG!I110</f>
        <v>393.5</v>
      </c>
      <c r="J168" s="283">
        <f>$E$168*VG!J41+VG!J110</f>
        <v>393.5</v>
      </c>
      <c r="K168" s="283">
        <f>$E$168*VG!K41+VG!K110</f>
        <v>393.5</v>
      </c>
      <c r="L168" s="283">
        <f>$E$168*VG!L41+VG!L110</f>
        <v>393.5</v>
      </c>
      <c r="M168" s="283">
        <f>$E$168*VG!M41+VG!M110</f>
        <v>393.5</v>
      </c>
      <c r="N168" s="283">
        <f>$E$168*VG!N41+VG!N110</f>
        <v>393.5</v>
      </c>
      <c r="O168" s="283">
        <f>$E$168*VG!O41+VG!O110</f>
        <v>393.5</v>
      </c>
      <c r="P168" s="283">
        <f>$E$168*VG!P41+VG!P110</f>
        <v>393.5</v>
      </c>
      <c r="Q168" s="283">
        <f>$E$168*VG!Q41+VG!Q110</f>
        <v>393.5</v>
      </c>
      <c r="R168" s="283">
        <f>$E$168*VG!R41+VG!R110</f>
        <v>393.5</v>
      </c>
      <c r="S168" s="283">
        <f>$E$168*VG!S41+VG!S110</f>
        <v>393.5</v>
      </c>
      <c r="T168" s="283">
        <f>$E$168*VG!T41+VG!T110</f>
        <v>0</v>
      </c>
      <c r="U168" s="283">
        <f>$E$168*VG!U41+VG!U110</f>
        <v>0</v>
      </c>
      <c r="V168" s="283">
        <f>$E$168*VG!V41+VG!V110</f>
        <v>0</v>
      </c>
      <c r="W168" s="283">
        <f>$E$168*VG!W41+VG!W110</f>
        <v>0</v>
      </c>
      <c r="X168" s="283">
        <f>$E$168*VG!X41+VG!X110</f>
        <v>0</v>
      </c>
      <c r="Y168" s="283">
        <f>$E$168*VG!Y41+VG!Y110</f>
        <v>0</v>
      </c>
    </row>
    <row r="169" spans="3:25">
      <c r="C169" s="271" t="s">
        <v>154</v>
      </c>
      <c r="E169" s="578">
        <v>0.5</v>
      </c>
      <c r="F169" s="283">
        <f>$E$169*'WPP 92'!F41+'WPP 92'!F110</f>
        <v>213.5</v>
      </c>
      <c r="G169" s="283">
        <f>$E$169*'WPP 92'!G41+'WPP 92'!G110</f>
        <v>213.5</v>
      </c>
      <c r="H169" s="283">
        <f>$E$169*'WPP 92'!H41+'WPP 92'!H110</f>
        <v>213.5</v>
      </c>
      <c r="I169" s="283">
        <f>$E$169*'WPP 92'!I41+'WPP 92'!I110</f>
        <v>213.5</v>
      </c>
      <c r="J169" s="283">
        <f>$E$169*'WPP 92'!J41+'WPP 92'!J110</f>
        <v>213.5</v>
      </c>
      <c r="K169" s="283">
        <f>$E$169*'WPP 92'!K41+'WPP 92'!K110</f>
        <v>213.5</v>
      </c>
      <c r="L169" s="283">
        <f>$E$169*'WPP 92'!L41+'WPP 92'!L110</f>
        <v>213.5</v>
      </c>
      <c r="M169" s="283">
        <f>$E$169*'WPP 92'!M41+'WPP 92'!M110</f>
        <v>213.5</v>
      </c>
      <c r="N169" s="283">
        <f>$E$169*'WPP 92'!N41+'WPP 92'!N110</f>
        <v>213.5</v>
      </c>
      <c r="O169" s="283">
        <f>$E$169*'WPP 92'!O41+'WPP 92'!O110</f>
        <v>213.5</v>
      </c>
      <c r="P169" s="283">
        <f>$E$169*'WPP 92'!P41+'WPP 92'!P110</f>
        <v>213.5</v>
      </c>
      <c r="Q169" s="283">
        <f>$E$169*'WPP 92'!Q41+'WPP 92'!Q110</f>
        <v>213.5</v>
      </c>
      <c r="R169" s="283">
        <f>$E$169*'WPP 92'!R41+'WPP 92'!R110</f>
        <v>213.5</v>
      </c>
      <c r="S169" s="283">
        <f>$E$169*'WPP 92'!S41+'WPP 92'!S110</f>
        <v>213.5</v>
      </c>
      <c r="T169" s="283">
        <f>$E$169*'WPP 92'!T41+'WPP 92'!T110</f>
        <v>213.5</v>
      </c>
      <c r="U169" s="283">
        <f>$E$169*'WPP 92'!U41+'WPP 92'!U110</f>
        <v>213.5</v>
      </c>
      <c r="V169" s="283">
        <f>$E$169*'WPP 92'!V41+'WPP 92'!V110</f>
        <v>0</v>
      </c>
      <c r="W169" s="283">
        <f>$E$169*'WPP 92'!W41+'WPP 92'!W110</f>
        <v>0</v>
      </c>
      <c r="X169" s="283">
        <f>$E$169*'WPP 92'!X41+'WPP 92'!X110</f>
        <v>0</v>
      </c>
      <c r="Y169" s="283">
        <f>$E$169*'WPP 92'!Y41+'WPP 92'!Y110</f>
        <v>0</v>
      </c>
    </row>
    <row r="170" spans="3:25">
      <c r="C170" s="271" t="s">
        <v>155</v>
      </c>
      <c r="E170" s="578">
        <v>0.5</v>
      </c>
      <c r="F170" s="283">
        <f>$E$170*'WPP 91-2'!F41+'WPP 91-2'!F110</f>
        <v>111.5</v>
      </c>
      <c r="G170" s="283">
        <f>$E$170*'WPP 91-2'!G41+'WPP 91-2'!G110</f>
        <v>111.5</v>
      </c>
      <c r="H170" s="283">
        <f>$E$170*'WPP 91-2'!H41+'WPP 91-2'!H110</f>
        <v>111.5</v>
      </c>
      <c r="I170" s="283">
        <f>$E$170*'WPP 91-2'!I41+'WPP 91-2'!I110</f>
        <v>111.5</v>
      </c>
      <c r="J170" s="283">
        <f>$E$170*'WPP 91-2'!J41+'WPP 91-2'!J110</f>
        <v>111.5</v>
      </c>
      <c r="K170" s="283">
        <f>$E$170*'WPP 91-2'!K41+'WPP 91-2'!K110</f>
        <v>111.5</v>
      </c>
      <c r="L170" s="283">
        <f>$E$170*'WPP 91-2'!L41+'WPP 91-2'!L110</f>
        <v>111.5</v>
      </c>
      <c r="M170" s="283">
        <f>$E$170*'WPP 91-2'!M41+'WPP 91-2'!M110</f>
        <v>111.5</v>
      </c>
      <c r="N170" s="283">
        <f>$E$170*'WPP 91-2'!N41+'WPP 91-2'!N110</f>
        <v>111.5</v>
      </c>
      <c r="O170" s="283">
        <f>$E$170*'WPP 91-2'!O41+'WPP 91-2'!O110</f>
        <v>111.5</v>
      </c>
      <c r="P170" s="283">
        <f>$E$170*'WPP 91-2'!P41+'WPP 91-2'!P110</f>
        <v>111.5</v>
      </c>
      <c r="Q170" s="283">
        <f>$E$170*'WPP 91-2'!Q41+'WPP 91-2'!Q110</f>
        <v>111.5</v>
      </c>
      <c r="R170" s="283">
        <f>$E$170*'WPP 91-2'!R41+'WPP 91-2'!R110</f>
        <v>111.5</v>
      </c>
      <c r="S170" s="283">
        <f>$E$170*'WPP 91-2'!S41+'WPP 91-2'!S110</f>
        <v>111.5</v>
      </c>
      <c r="T170" s="283">
        <f>$E$170*'WPP 91-2'!T41+'WPP 91-2'!T110</f>
        <v>111.5</v>
      </c>
      <c r="U170" s="283">
        <f>$E$170*'WPP 91-2'!U41+'WPP 91-2'!U110</f>
        <v>0</v>
      </c>
      <c r="V170" s="283">
        <f>$E$170*'WPP 91-2'!V41+'WPP 91-2'!V110</f>
        <v>0</v>
      </c>
      <c r="W170" s="283">
        <f>$E$170*'WPP 91-2'!W41+'WPP 91-2'!W110</f>
        <v>0</v>
      </c>
      <c r="X170" s="283">
        <f>$E$170*'WPP 91-2'!X41+'WPP 91-2'!X110</f>
        <v>0</v>
      </c>
      <c r="Y170" s="283">
        <f>$E$170*'WPP 91-2'!Y41+'WPP 91-2'!Y110</f>
        <v>0</v>
      </c>
    </row>
    <row r="171" spans="3:25">
      <c r="C171" s="271" t="s">
        <v>156</v>
      </c>
      <c r="E171" s="578">
        <v>0</v>
      </c>
      <c r="F171" s="283">
        <v>0</v>
      </c>
      <c r="G171" s="283">
        <v>0</v>
      </c>
      <c r="H171" s="283">
        <v>0</v>
      </c>
      <c r="I171" s="283">
        <v>0</v>
      </c>
      <c r="J171" s="283">
        <v>0</v>
      </c>
      <c r="K171" s="283">
        <v>0</v>
      </c>
      <c r="L171" s="283">
        <v>0</v>
      </c>
      <c r="M171" s="283">
        <v>0</v>
      </c>
      <c r="N171" s="283">
        <v>0</v>
      </c>
      <c r="O171" s="283">
        <v>0</v>
      </c>
      <c r="P171" s="283">
        <v>0</v>
      </c>
      <c r="Q171" s="283">
        <v>0</v>
      </c>
      <c r="R171" s="283">
        <v>0</v>
      </c>
      <c r="S171" s="283">
        <v>0</v>
      </c>
      <c r="T171" s="283">
        <v>0</v>
      </c>
      <c r="U171" s="283">
        <v>0</v>
      </c>
      <c r="V171" s="283">
        <v>0</v>
      </c>
      <c r="W171" s="283">
        <v>0</v>
      </c>
      <c r="X171" s="283">
        <v>0</v>
      </c>
      <c r="Y171" s="283">
        <v>0</v>
      </c>
    </row>
    <row r="172" spans="3:25">
      <c r="C172" s="271" t="s">
        <v>157</v>
      </c>
      <c r="E172" s="578">
        <v>0.5</v>
      </c>
      <c r="F172" s="283">
        <f>$E$172*'WPP 89'!F41+'WPP 89'!F110</f>
        <v>387.5</v>
      </c>
      <c r="G172" s="283">
        <f>$E$172*'WPP 89'!G41+'WPP 89'!G110</f>
        <v>387.5</v>
      </c>
      <c r="H172" s="283">
        <f>$E$172*'WPP 89'!H41+'WPP 89'!H110</f>
        <v>387.5</v>
      </c>
      <c r="I172" s="283">
        <f>$E$172*'WPP 89'!I41+'WPP 89'!I110</f>
        <v>387.5</v>
      </c>
      <c r="J172" s="283">
        <f>$E$172*'WPP 89'!J41+'WPP 89'!J110</f>
        <v>387.5</v>
      </c>
      <c r="K172" s="283">
        <f>$E$172*'WPP 89'!K41+'WPP 89'!K110</f>
        <v>387.5</v>
      </c>
      <c r="L172" s="283">
        <f>$E$172*'WPP 89'!L41+'WPP 89'!L110</f>
        <v>387.5</v>
      </c>
      <c r="M172" s="283">
        <f>$E$172*'WPP 89'!M41+'WPP 89'!M110</f>
        <v>387.5</v>
      </c>
      <c r="N172" s="283">
        <f>$E$172*'WPP 89'!N41+'WPP 89'!N110</f>
        <v>387.5</v>
      </c>
      <c r="O172" s="283">
        <f>$E$172*'WPP 89'!O41+'WPP 89'!O110</f>
        <v>387.5</v>
      </c>
      <c r="P172" s="283">
        <f>$E$172*'WPP 89'!P41+'WPP 89'!P110</f>
        <v>387.5</v>
      </c>
      <c r="Q172" s="283">
        <f>$E$172*'WPP 89'!Q41+'WPP 89'!Q110</f>
        <v>387.5</v>
      </c>
      <c r="R172" s="283">
        <f>$E$172*'WPP 89'!R41+'WPP 89'!R110</f>
        <v>387.5</v>
      </c>
      <c r="S172" s="283">
        <f>$E$172*'WPP 89'!S41+'WPP 89'!S110</f>
        <v>387.5</v>
      </c>
      <c r="T172" s="283">
        <f>$E$172*'WPP 89'!T41+'WPP 89'!T110</f>
        <v>387.5</v>
      </c>
      <c r="U172" s="283">
        <f>$E$172*'WPP 89'!U41+'WPP 89'!U110</f>
        <v>387.5</v>
      </c>
      <c r="V172" s="283">
        <f>$E$172*'WPP 89'!V41+'WPP 89'!V110</f>
        <v>387.5</v>
      </c>
      <c r="W172" s="283">
        <f>$E$172*'WPP 89'!W41+'WPP 89'!W110</f>
        <v>387.5</v>
      </c>
      <c r="X172" s="283">
        <f>$E$172*'WPP 89'!X41+'WPP 89'!X110</f>
        <v>387.5</v>
      </c>
      <c r="Y172" s="283">
        <f>$E$172*'WPP 89'!Y41+'WPP 89'!Y110</f>
        <v>0</v>
      </c>
    </row>
    <row r="173" spans="3:25">
      <c r="C173" s="271" t="s">
        <v>158</v>
      </c>
      <c r="E173" s="578">
        <v>0.5</v>
      </c>
      <c r="F173" s="283">
        <f>$E$173*'WPP 91'!F41+'WPP 91'!F110</f>
        <v>104.5</v>
      </c>
      <c r="G173" s="283">
        <f>$E$173*'WPP 91'!G41+'WPP 91'!G110</f>
        <v>104.5</v>
      </c>
      <c r="H173" s="283">
        <f>$E$173*'WPP 91'!H41+'WPP 91'!H110</f>
        <v>104.5</v>
      </c>
      <c r="I173" s="283">
        <f>$E$173*'WPP 91'!I41+'WPP 91'!I110</f>
        <v>104.5</v>
      </c>
      <c r="J173" s="283">
        <f>$E$173*'WPP 91'!J41+'WPP 91'!J110</f>
        <v>104.5</v>
      </c>
      <c r="K173" s="283">
        <f>$E$173*'WPP 91'!K41+'WPP 91'!K110</f>
        <v>104.5</v>
      </c>
      <c r="L173" s="283">
        <f>$E$173*'WPP 91'!L41+'WPP 91'!L110</f>
        <v>104.5</v>
      </c>
      <c r="M173" s="283">
        <f>$E$173*'WPP 91'!M41+'WPP 91'!M110</f>
        <v>104.5</v>
      </c>
      <c r="N173" s="283">
        <f>$E$173*'WPP 91'!N41+'WPP 91'!N110</f>
        <v>104.5</v>
      </c>
      <c r="O173" s="283">
        <f>$E$173*'WPP 91'!O41+'WPP 91'!O110</f>
        <v>104.5</v>
      </c>
      <c r="P173" s="283">
        <f>$E$173*'WPP 91'!P41+'WPP 91'!P110</f>
        <v>104.5</v>
      </c>
      <c r="Q173" s="283">
        <f>$E$173*'WPP 91'!Q41+'WPP 91'!Q110</f>
        <v>104.5</v>
      </c>
      <c r="R173" s="283">
        <f>$E$173*'WPP 91'!R41+'WPP 91'!R110</f>
        <v>104.5</v>
      </c>
      <c r="S173" s="283">
        <f>$E$173*'WPP 91'!S41+'WPP 91'!S110</f>
        <v>104.5</v>
      </c>
      <c r="T173" s="283">
        <f>$E$173*'WPP 91'!T41+'WPP 91'!T110</f>
        <v>104.5</v>
      </c>
      <c r="U173" s="283">
        <f>$E$173*'WPP 91'!U41+'WPP 91'!U110</f>
        <v>104.5</v>
      </c>
      <c r="V173" s="283">
        <f>$E$173*'WPP 91'!V41+'WPP 91'!V110</f>
        <v>104.5</v>
      </c>
      <c r="W173" s="283">
        <f>$E$173*'WPP 91'!W41+'WPP 91'!W110</f>
        <v>104.5</v>
      </c>
      <c r="X173" s="283">
        <f>$E$173*'WPP 91'!X41+'WPP 91'!X110</f>
        <v>0</v>
      </c>
      <c r="Y173" s="283">
        <f>$E$173*'WPP 91'!Y41+'WPP 91'!Y110</f>
        <v>0</v>
      </c>
    </row>
    <row r="174" spans="3:25">
      <c r="C174" s="271" t="s">
        <v>159</v>
      </c>
      <c r="E174" s="578">
        <v>0.5</v>
      </c>
      <c r="F174" s="283">
        <f>$E$174*'WPP 90'!F41+'WPP 90'!F110</f>
        <v>93.5</v>
      </c>
      <c r="G174" s="283">
        <f>$E$174*'WPP 90'!G41+'WPP 90'!G110</f>
        <v>93.5</v>
      </c>
      <c r="H174" s="283">
        <f>$E$174*'WPP 90'!H41+'WPP 90'!H110</f>
        <v>93.5</v>
      </c>
      <c r="I174" s="283">
        <f>$E$174*'WPP 90'!I41+'WPP 90'!I110</f>
        <v>93.5</v>
      </c>
      <c r="J174" s="283">
        <f>$E$174*'WPP 90'!J41+'WPP 90'!J110</f>
        <v>93.5</v>
      </c>
      <c r="K174" s="283">
        <f>$E$174*'WPP 90'!K41+'WPP 90'!K110</f>
        <v>93.5</v>
      </c>
      <c r="L174" s="283">
        <f>$E$174*'WPP 90'!L41+'WPP 90'!L110</f>
        <v>93.5</v>
      </c>
      <c r="M174" s="283">
        <f>$E$174*'WPP 90'!M41+'WPP 90'!M110</f>
        <v>93.5</v>
      </c>
      <c r="N174" s="283">
        <f>$E$174*'WPP 90'!N41+'WPP 90'!N110</f>
        <v>93.5</v>
      </c>
      <c r="O174" s="283">
        <f>$E$174*'WPP 90'!O41+'WPP 90'!O110</f>
        <v>93.5</v>
      </c>
      <c r="P174" s="283">
        <f>$E$174*'WPP 90'!P41+'WPP 90'!P110</f>
        <v>93.5</v>
      </c>
      <c r="Q174" s="283">
        <f>$E$174*'WPP 90'!Q41+'WPP 90'!Q110</f>
        <v>93.5</v>
      </c>
      <c r="R174" s="283">
        <f>$E$174*'WPP 90'!R41+'WPP 90'!R110</f>
        <v>93.5</v>
      </c>
      <c r="S174" s="283">
        <f>$E$174*'WPP 90'!S41+'WPP 90'!S110</f>
        <v>93.5</v>
      </c>
      <c r="T174" s="283">
        <f>$E$174*'WPP 90'!T41+'WPP 90'!T110</f>
        <v>93.5</v>
      </c>
      <c r="U174" s="283">
        <f>$E$174*'WPP 90'!U41+'WPP 90'!U110</f>
        <v>93.5</v>
      </c>
      <c r="V174" s="283">
        <f>$E$174*'WPP 90'!V41+'WPP 90'!V110</f>
        <v>93.5</v>
      </c>
      <c r="W174" s="283">
        <f>$E$174*'WPP 90'!W41+'WPP 90'!W110</f>
        <v>93.5</v>
      </c>
      <c r="X174" s="283">
        <f>$E$174*'WPP 90'!X41+'WPP 90'!X110</f>
        <v>0</v>
      </c>
      <c r="Y174" s="283">
        <f>$E$174*'WPP 90'!Y41+'WPP 90'!Y110</f>
        <v>0</v>
      </c>
    </row>
    <row r="175" spans="3:25">
      <c r="C175" s="271" t="s">
        <v>160</v>
      </c>
      <c r="E175" s="578">
        <v>0</v>
      </c>
      <c r="F175" s="600">
        <v>0</v>
      </c>
      <c r="G175" s="600">
        <v>0</v>
      </c>
      <c r="H175" s="600">
        <v>0</v>
      </c>
      <c r="I175" s="600">
        <v>0</v>
      </c>
      <c r="J175" s="600">
        <v>0</v>
      </c>
      <c r="K175" s="600">
        <v>0</v>
      </c>
      <c r="L175" s="600">
        <v>0</v>
      </c>
      <c r="M175" s="600">
        <v>0</v>
      </c>
      <c r="N175" s="600">
        <v>0</v>
      </c>
      <c r="O175" s="600">
        <v>0</v>
      </c>
      <c r="P175" s="600">
        <v>0</v>
      </c>
      <c r="Q175" s="600">
        <v>0</v>
      </c>
      <c r="R175" s="600">
        <v>0</v>
      </c>
      <c r="S175" s="600">
        <v>0</v>
      </c>
      <c r="T175" s="600">
        <v>0</v>
      </c>
      <c r="U175" s="600">
        <v>0</v>
      </c>
      <c r="V175" s="600">
        <v>0</v>
      </c>
      <c r="W175" s="600">
        <v>0</v>
      </c>
      <c r="X175" s="600">
        <v>0</v>
      </c>
      <c r="Y175" s="600">
        <v>0</v>
      </c>
    </row>
    <row r="176" spans="3:25">
      <c r="C176" s="562" t="s">
        <v>255</v>
      </c>
      <c r="F176" s="276">
        <f>SUM(F158:F175)</f>
        <v>16181</v>
      </c>
      <c r="G176" s="276">
        <f t="shared" ref="G176:Y176" si="23">SUM(G158:G175)</f>
        <v>16181</v>
      </c>
      <c r="H176" s="276">
        <f t="shared" si="23"/>
        <v>16181</v>
      </c>
      <c r="I176" s="276">
        <f t="shared" si="23"/>
        <v>16181</v>
      </c>
      <c r="J176" s="276">
        <f t="shared" si="23"/>
        <v>16181</v>
      </c>
      <c r="K176" s="276">
        <f t="shared" si="23"/>
        <v>16181</v>
      </c>
      <c r="L176" s="276">
        <f t="shared" si="23"/>
        <v>16181</v>
      </c>
      <c r="M176" s="276">
        <f t="shared" si="23"/>
        <v>16181</v>
      </c>
      <c r="N176" s="276">
        <f t="shared" si="23"/>
        <v>16181</v>
      </c>
      <c r="O176" s="276">
        <f t="shared" si="23"/>
        <v>16181</v>
      </c>
      <c r="P176" s="276">
        <f t="shared" si="23"/>
        <v>16181</v>
      </c>
      <c r="Q176" s="276">
        <f t="shared" si="23"/>
        <v>16181</v>
      </c>
      <c r="R176" s="276">
        <f t="shared" si="23"/>
        <v>16181</v>
      </c>
      <c r="S176" s="276">
        <f t="shared" si="23"/>
        <v>15398.5</v>
      </c>
      <c r="T176" s="276">
        <f t="shared" si="23"/>
        <v>15005</v>
      </c>
      <c r="U176" s="276">
        <f t="shared" si="23"/>
        <v>14893.5</v>
      </c>
      <c r="V176" s="276">
        <f t="shared" si="23"/>
        <v>14229</v>
      </c>
      <c r="W176" s="276">
        <f t="shared" si="23"/>
        <v>14229</v>
      </c>
      <c r="X176" s="276">
        <f t="shared" si="23"/>
        <v>14031</v>
      </c>
      <c r="Y176" s="276">
        <f t="shared" si="23"/>
        <v>7661.5</v>
      </c>
    </row>
    <row r="179" spans="2:27" ht="15.75">
      <c r="B179" s="737" t="s">
        <v>26</v>
      </c>
      <c r="C179" s="619"/>
    </row>
    <row r="180" spans="2:27">
      <c r="C180" s="271" t="s">
        <v>142</v>
      </c>
      <c r="E180" s="578">
        <v>1</v>
      </c>
      <c r="F180" s="283">
        <f>$E$180*'Cerro Gordo'!F46</f>
        <v>0</v>
      </c>
      <c r="G180" s="283">
        <f>$E$180*'Cerro Gordo'!G46</f>
        <v>0</v>
      </c>
      <c r="H180" s="283">
        <f>$E$180*'Cerro Gordo'!H46</f>
        <v>0</v>
      </c>
      <c r="I180" s="283">
        <f>$E$180*'Cerro Gordo'!I46</f>
        <v>0</v>
      </c>
      <c r="J180" s="283">
        <f>$E$180*'Cerro Gordo'!J46</f>
        <v>0</v>
      </c>
      <c r="K180" s="283">
        <f>$E$180*'Cerro Gordo'!K46</f>
        <v>0</v>
      </c>
      <c r="L180" s="283">
        <f>$E$180*'Cerro Gordo'!L46</f>
        <v>0</v>
      </c>
      <c r="M180" s="283">
        <f>$E$180*'Cerro Gordo'!M46</f>
        <v>0</v>
      </c>
      <c r="N180" s="283">
        <f>$E$180*'Cerro Gordo'!N46</f>
        <v>0</v>
      </c>
      <c r="O180" s="283">
        <f>$E$180*'Cerro Gordo'!O46</f>
        <v>0</v>
      </c>
      <c r="P180" s="283">
        <f>$E$180*'Cerro Gordo'!P46</f>
        <v>0</v>
      </c>
      <c r="Q180" s="283">
        <f>$E$180*'Cerro Gordo'!Q46</f>
        <v>0</v>
      </c>
      <c r="R180" s="283">
        <f>$E$180*'Cerro Gordo'!R46</f>
        <v>0</v>
      </c>
      <c r="S180" s="283">
        <f>$E$180*'Cerro Gordo'!S46</f>
        <v>0</v>
      </c>
      <c r="T180" s="283">
        <f>$E$180*'Cerro Gordo'!T46</f>
        <v>0</v>
      </c>
      <c r="U180" s="283">
        <f>$E$180*'Cerro Gordo'!U46</f>
        <v>0</v>
      </c>
      <c r="V180" s="283">
        <f>$E$180*'Cerro Gordo'!V46</f>
        <v>0</v>
      </c>
      <c r="W180" s="283">
        <f>$E$180*'Cerro Gordo'!W46</f>
        <v>0</v>
      </c>
      <c r="X180" s="283">
        <f>$E$180*'Cerro Gordo'!X46</f>
        <v>0</v>
      </c>
      <c r="Y180" s="283">
        <f>$E$180*'Cerro Gordo'!Y46</f>
        <v>0</v>
      </c>
      <c r="AA180" s="283"/>
    </row>
    <row r="181" spans="2:27">
      <c r="C181" s="1164" t="s">
        <v>143</v>
      </c>
      <c r="E181" s="578">
        <v>1</v>
      </c>
      <c r="F181" s="283">
        <f>$E$181*'Southwest Mesa'!F46</f>
        <v>3164.484375</v>
      </c>
      <c r="G181" s="283">
        <f>$E$181*'Southwest Mesa'!G46</f>
        <v>3010.0791666666664</v>
      </c>
      <c r="H181" s="283">
        <f>$E$181*'Southwest Mesa'!H46</f>
        <v>2848.0216666666665</v>
      </c>
      <c r="I181" s="283">
        <f>$E$181*'Southwest Mesa'!I46</f>
        <v>2679.4631250000002</v>
      </c>
      <c r="J181" s="283">
        <f>$E$181*'Southwest Mesa'!J46</f>
        <v>2491.4495833333331</v>
      </c>
      <c r="K181" s="283">
        <f>$E$181*'Southwest Mesa'!K46</f>
        <v>2291.5235416666665</v>
      </c>
      <c r="L181" s="283">
        <f>$E$181*'Southwest Mesa'!L46</f>
        <v>2072.6241666666665</v>
      </c>
      <c r="M181" s="283">
        <f>$E$181*'Southwest Mesa'!M46</f>
        <v>1837.2437500000001</v>
      </c>
      <c r="N181" s="283">
        <f>$E$181*'Southwest Mesa'!N46</f>
        <v>1584.3795833333331</v>
      </c>
      <c r="O181" s="283">
        <f>$E$181*'Southwest Mesa'!O46</f>
        <v>1384.3679166666666</v>
      </c>
      <c r="P181" s="283">
        <f>$E$181*'Southwest Mesa'!P46</f>
        <v>1198.1310416666665</v>
      </c>
      <c r="Q181" s="283">
        <f>$E$181*'Southwest Mesa'!Q46</f>
        <v>998.64625000000001</v>
      </c>
      <c r="R181" s="283">
        <f>$E$181*'Southwest Mesa'!R46</f>
        <v>777.1810416666666</v>
      </c>
      <c r="S181" s="283">
        <f>$E$181*'Southwest Mesa'!S46</f>
        <v>543</v>
      </c>
      <c r="T181" s="283">
        <f>$E$181*'Southwest Mesa'!T46</f>
        <v>292.46916666666664</v>
      </c>
      <c r="U181" s="283">
        <f>$E$181*'Southwest Mesa'!U46</f>
        <v>47.008124999999993</v>
      </c>
      <c r="V181" s="283">
        <f>$E$181*'Southwest Mesa'!V46</f>
        <v>0</v>
      </c>
      <c r="W181" s="283">
        <f>$E$181*'Southwest Mesa'!W46</f>
        <v>0</v>
      </c>
      <c r="X181" s="283">
        <f>$E$181*'Southwest Mesa'!X46</f>
        <v>0</v>
      </c>
      <c r="Y181" s="283">
        <f>$E$181*'Southwest Mesa'!Y46</f>
        <v>0</v>
      </c>
      <c r="AA181" s="283"/>
    </row>
    <row r="182" spans="2:27">
      <c r="C182" s="271" t="s">
        <v>144</v>
      </c>
      <c r="E182" s="578">
        <v>1</v>
      </c>
      <c r="F182" s="283">
        <f>$E$182*Vansycle!F46</f>
        <v>0</v>
      </c>
      <c r="G182" s="283">
        <f>$E$182*Vansycle!G46</f>
        <v>0</v>
      </c>
      <c r="H182" s="283">
        <f>$E$182*Vansycle!H46</f>
        <v>0</v>
      </c>
      <c r="I182" s="283">
        <f>$E$182*Vansycle!I46</f>
        <v>0</v>
      </c>
      <c r="J182" s="283">
        <f>$E$182*Vansycle!J46</f>
        <v>0</v>
      </c>
      <c r="K182" s="283">
        <f>$E$182*Vansycle!K46</f>
        <v>0</v>
      </c>
      <c r="L182" s="283">
        <f>$E$182*Vansycle!L46</f>
        <v>0</v>
      </c>
      <c r="M182" s="283">
        <f>$E$182*Vansycle!M46</f>
        <v>0</v>
      </c>
      <c r="N182" s="283">
        <f>$E$182*Vansycle!N46</f>
        <v>0</v>
      </c>
      <c r="O182" s="283">
        <f>$E$182*Vansycle!O46</f>
        <v>0</v>
      </c>
      <c r="P182" s="283">
        <f>$E$182*Vansycle!P46</f>
        <v>0</v>
      </c>
      <c r="Q182" s="283">
        <f>$E$182*Vansycle!Q46</f>
        <v>0</v>
      </c>
      <c r="R182" s="283">
        <f>$E$182*Vansycle!R46</f>
        <v>0</v>
      </c>
      <c r="S182" s="283">
        <f>$E$182*Vansycle!S46</f>
        <v>0</v>
      </c>
      <c r="T182" s="283">
        <f>$E$182*Vansycle!T46</f>
        <v>0</v>
      </c>
      <c r="U182" s="283">
        <f>$E$182*Vansycle!U46</f>
        <v>0</v>
      </c>
      <c r="V182" s="283">
        <f>$E$182*Vansycle!V46</f>
        <v>0</v>
      </c>
      <c r="W182" s="283">
        <f>$E$182*Vansycle!W46</f>
        <v>0</v>
      </c>
      <c r="X182" s="283">
        <f>$E$182*Vansycle!X46</f>
        <v>0</v>
      </c>
      <c r="Y182" s="283">
        <f>$E$182*Vansycle!Y46</f>
        <v>0</v>
      </c>
      <c r="AA182" s="283"/>
    </row>
    <row r="183" spans="2:27">
      <c r="C183" s="1164" t="s">
        <v>146</v>
      </c>
      <c r="E183" s="578">
        <v>0.5</v>
      </c>
      <c r="F183" s="283">
        <f>$E$183*Cameron!F46</f>
        <v>1776.2448760434766</v>
      </c>
      <c r="G183" s="283">
        <f>$E$183*Cameron!G46</f>
        <v>1709.8637972140207</v>
      </c>
      <c r="H183" s="283">
        <f>$E$183*Cameron!H46</f>
        <v>1642.3476045411294</v>
      </c>
      <c r="I183" s="283">
        <f>$E$183*Cameron!I46</f>
        <v>1567.1386661676497</v>
      </c>
      <c r="J183" s="283">
        <f>$E$183*Cameron!J46</f>
        <v>1483.0881419736866</v>
      </c>
      <c r="K183" s="283">
        <f>$E$183*Cameron!K46</f>
        <v>1390.0971421973807</v>
      </c>
      <c r="L183" s="283">
        <f>$E$183*Cameron!L46</f>
        <v>1289.18704045188</v>
      </c>
      <c r="M183" s="283">
        <f>$E$183*Cameron!M46</f>
        <v>1180.9159279695575</v>
      </c>
      <c r="N183" s="283">
        <f>$E$183*Cameron!N46</f>
        <v>1064.0001904454614</v>
      </c>
      <c r="O183" s="283">
        <f>$E$183*Cameron!O46</f>
        <v>938.28176127343272</v>
      </c>
      <c r="P183" s="283">
        <f>$E$183*Cameron!P46</f>
        <v>802.96757315631305</v>
      </c>
      <c r="Q183" s="283">
        <f>$E$183*Cameron!Q46</f>
        <v>655.68067036341586</v>
      </c>
      <c r="R183" s="283">
        <f>$E$183*Cameron!R46</f>
        <v>493.02311103443571</v>
      </c>
      <c r="S183" s="283">
        <f>$E$183*Cameron!S46</f>
        <v>601.74012980035218</v>
      </c>
      <c r="T183" s="283">
        <f>$E$183*Cameron!T46</f>
        <v>141.24096870258282</v>
      </c>
      <c r="U183" s="283">
        <f>$E$183*Cameron!U46</f>
        <v>0</v>
      </c>
      <c r="V183" s="283">
        <f>$E$183*Cameron!V46</f>
        <v>0</v>
      </c>
      <c r="W183" s="283">
        <f>$E$183*Cameron!W46</f>
        <v>0</v>
      </c>
      <c r="X183" s="283">
        <f>$E$183*Cameron!X46</f>
        <v>0</v>
      </c>
      <c r="Y183" s="283">
        <f>$E$183*Cameron!Y46</f>
        <v>0</v>
      </c>
      <c r="AA183" s="283"/>
    </row>
    <row r="184" spans="2:27">
      <c r="C184" s="1164" t="s">
        <v>162</v>
      </c>
      <c r="E184" s="578">
        <v>0.5</v>
      </c>
      <c r="F184" s="283">
        <f>$E$184*'Pacific Crest'!F46</f>
        <v>1538.6989630211383</v>
      </c>
      <c r="G184" s="283">
        <f>$E$184*'Pacific Crest'!G46</f>
        <v>1481.6778707436515</v>
      </c>
      <c r="H184" s="283">
        <f>$E$184*'Pacific Crest'!H46</f>
        <v>1422.4980636914806</v>
      </c>
      <c r="I184" s="283">
        <f>$E$184*'Pacific Crest'!I46</f>
        <v>1361.5964446825531</v>
      </c>
      <c r="J184" s="283">
        <f>$E$184*'Pacific Crest'!J46</f>
        <v>1293.592615422886</v>
      </c>
      <c r="K184" s="283">
        <f>$E$184*'Pacific Crest'!K46</f>
        <v>1208.1344278795507</v>
      </c>
      <c r="L184" s="283">
        <f>$E$184*'Pacific Crest'!L46</f>
        <v>1111.7253882987229</v>
      </c>
      <c r="M184" s="283">
        <f>$E$184*'Pacific Crest'!M46</f>
        <v>1003.763543495548</v>
      </c>
      <c r="N184" s="283">
        <f>$E$184*'Pacific Crest'!N46</f>
        <v>881.79009319148258</v>
      </c>
      <c r="O184" s="283">
        <f>$E$184*'Pacific Crest'!O46</f>
        <v>744.81634957166477</v>
      </c>
      <c r="P184" s="283">
        <f>$E$184*'Pacific Crest'!P46</f>
        <v>591.74874654603457</v>
      </c>
      <c r="Q184" s="283">
        <f>$E$184*'Pacific Crest'!Q46</f>
        <v>422.29147507234177</v>
      </c>
      <c r="R184" s="283">
        <f>$E$184*'Pacific Crest'!R46</f>
        <v>234.69487079516583</v>
      </c>
      <c r="S184" s="283">
        <f>$E$184*'Pacific Crest'!S46</f>
        <v>44.286131588563364</v>
      </c>
      <c r="T184" s="283">
        <f>$E$184*'Pacific Crest'!T46</f>
        <v>0</v>
      </c>
      <c r="U184" s="283">
        <f>$E$184*'Pacific Crest'!U46</f>
        <v>0</v>
      </c>
      <c r="V184" s="283">
        <f>$E$184*'Pacific Crest'!V46</f>
        <v>0</v>
      </c>
      <c r="W184" s="283">
        <f>$E$184*'Pacific Crest'!W46</f>
        <v>0</v>
      </c>
      <c r="X184" s="283">
        <f>$E$184*'Pacific Crest'!X46</f>
        <v>0</v>
      </c>
      <c r="Y184" s="283">
        <f>$E$184*'Pacific Crest'!Y46</f>
        <v>0</v>
      </c>
      <c r="AA184" s="283"/>
    </row>
    <row r="185" spans="2:27">
      <c r="C185" s="271" t="s">
        <v>163</v>
      </c>
      <c r="E185" s="578">
        <v>0.5</v>
      </c>
      <c r="F185" s="283">
        <f>$E$185*'Sky River'!F46</f>
        <v>2465.5</v>
      </c>
      <c r="G185" s="283">
        <f>$E$185*'Sky River'!G46</f>
        <v>911.25</v>
      </c>
      <c r="H185" s="283">
        <f>$E$185*'Sky River'!H46</f>
        <v>919.875</v>
      </c>
      <c r="I185" s="283">
        <f>$E$185*'Sky River'!I46</f>
        <v>943.875</v>
      </c>
      <c r="J185" s="283">
        <f>$E$185*'Sky River'!J46</f>
        <v>1210.5008885940269</v>
      </c>
      <c r="K185" s="283">
        <f>$E$185*'Sky River'!K46</f>
        <v>1268.1254379073089</v>
      </c>
      <c r="L185" s="283">
        <f>$E$185*'Sky River'!L46</f>
        <v>1292.1044022866993</v>
      </c>
      <c r="M185" s="283">
        <f>$E$185*'Sky River'!M46</f>
        <v>1310.0383617295311</v>
      </c>
      <c r="N185" s="283">
        <f>$E$185*'Sky River'!N46</f>
        <v>1328.4565380773201</v>
      </c>
      <c r="O185" s="283">
        <f>$E$185*'Sky River'!O46</f>
        <v>1347.3720051864993</v>
      </c>
      <c r="P185" s="283">
        <f>$E$185*'Sky River'!P46</f>
        <v>1367.5176782306312</v>
      </c>
      <c r="Q185" s="283">
        <f>$E$185*'Sky River'!Q46</f>
        <v>1388.2274301199982</v>
      </c>
      <c r="R185" s="283">
        <f>$E$185*'Sky River'!R46</f>
        <v>1409.5170550622681</v>
      </c>
      <c r="S185" s="283">
        <f>$E$185*'Sky River'!S46</f>
        <v>1431.4027895029212</v>
      </c>
      <c r="T185" s="283">
        <f>$E$185*'Sky River'!T46</f>
        <v>1453.7018610351147</v>
      </c>
      <c r="U185" s="283">
        <f>$E$185*'Sky River'!U46</f>
        <v>1476.4743184819135</v>
      </c>
      <c r="V185" s="283">
        <f>$E$185*'Sky River'!V46</f>
        <v>1499.8844047372227</v>
      </c>
      <c r="W185" s="283">
        <f>$E$185*'Sky River'!W46</f>
        <v>1523.9499734076805</v>
      </c>
      <c r="X185" s="283">
        <f>$E$185*'Sky River'!X46</f>
        <v>1548.6893780009109</v>
      </c>
      <c r="Y185" s="283">
        <f>$E$185*'Sky River'!Y46</f>
        <v>1574.1214859227521</v>
      </c>
      <c r="AA185" s="283"/>
    </row>
    <row r="186" spans="2:27">
      <c r="C186" s="271" t="s">
        <v>149</v>
      </c>
      <c r="E186" s="578">
        <v>0.5</v>
      </c>
      <c r="F186" s="283">
        <f>$E$186*Ridgetop!F46</f>
        <v>0</v>
      </c>
      <c r="G186" s="283">
        <f>$E$186*Ridgetop!G46</f>
        <v>0</v>
      </c>
      <c r="H186" s="283">
        <f>$E$186*Ridgetop!H46</f>
        <v>0</v>
      </c>
      <c r="I186" s="283">
        <f>$E$186*Ridgetop!I46</f>
        <v>0</v>
      </c>
      <c r="J186" s="283">
        <f>$E$186*Ridgetop!J46</f>
        <v>0</v>
      </c>
      <c r="K186" s="283">
        <f>$E$186*Ridgetop!K46</f>
        <v>0</v>
      </c>
      <c r="L186" s="283">
        <f>$E$186*Ridgetop!L46</f>
        <v>0</v>
      </c>
      <c r="M186" s="283">
        <f>$E$186*Ridgetop!M46</f>
        <v>0</v>
      </c>
      <c r="N186" s="283">
        <f>$E$186*Ridgetop!N46</f>
        <v>0</v>
      </c>
      <c r="O186" s="283">
        <f>$E$186*Ridgetop!O46</f>
        <v>0</v>
      </c>
      <c r="P186" s="283">
        <f>$E$186*Ridgetop!P46</f>
        <v>0</v>
      </c>
      <c r="Q186" s="283">
        <f>$E$186*Ridgetop!Q46</f>
        <v>0</v>
      </c>
      <c r="R186" s="283">
        <f>$E$186*Ridgetop!R46</f>
        <v>0</v>
      </c>
      <c r="S186" s="283">
        <f>$E$186*Ridgetop!S46</f>
        <v>0</v>
      </c>
      <c r="T186" s="283">
        <f>$E$186*Ridgetop!T46</f>
        <v>0</v>
      </c>
      <c r="U186" s="283">
        <f>$E$186*Ridgetop!U46</f>
        <v>0</v>
      </c>
      <c r="V186" s="283">
        <f>$E$186*Ridgetop!V46</f>
        <v>0</v>
      </c>
      <c r="W186" s="283">
        <f>$E$186*Ridgetop!W46</f>
        <v>0</v>
      </c>
      <c r="X186" s="283">
        <f>$E$186*Ridgetop!X46</f>
        <v>0</v>
      </c>
      <c r="Y186" s="283">
        <f>$E$186*Ridgetop!Y46</f>
        <v>0</v>
      </c>
      <c r="AA186" s="283"/>
    </row>
    <row r="187" spans="2:27">
      <c r="C187" s="271" t="s">
        <v>150</v>
      </c>
      <c r="E187" s="578">
        <v>0.5</v>
      </c>
      <c r="F187" s="283">
        <f>$E$187*'Green Ridge'!F46</f>
        <v>0</v>
      </c>
      <c r="G187" s="283">
        <f>$E$187*'Green Ridge'!G46</f>
        <v>0</v>
      </c>
      <c r="H187" s="283">
        <f>$E$187*'Green Ridge'!H46</f>
        <v>0</v>
      </c>
      <c r="I187" s="283">
        <f>$E$187*'Green Ridge'!I46</f>
        <v>0</v>
      </c>
      <c r="J187" s="283">
        <f>$E$187*'Green Ridge'!J46</f>
        <v>0</v>
      </c>
      <c r="K187" s="283">
        <f>$E$187*'Green Ridge'!K46</f>
        <v>0</v>
      </c>
      <c r="L187" s="283">
        <f>$E$187*'Green Ridge'!L46</f>
        <v>0</v>
      </c>
      <c r="M187" s="283">
        <f>$E$187*'Green Ridge'!M46</f>
        <v>0</v>
      </c>
      <c r="N187" s="283">
        <f>$E$187*'Green Ridge'!N46</f>
        <v>0</v>
      </c>
      <c r="O187" s="283">
        <f>$E$187*'Green Ridge'!O46</f>
        <v>0</v>
      </c>
      <c r="P187" s="283">
        <f>$E$187*'Green Ridge'!P46</f>
        <v>0</v>
      </c>
      <c r="Q187" s="283">
        <f>$E$187*'Green Ridge'!Q46</f>
        <v>0</v>
      </c>
      <c r="R187" s="283">
        <f>$E$187*'Green Ridge'!R46</f>
        <v>0</v>
      </c>
      <c r="S187" s="283">
        <f>$E$187*'Green Ridge'!S46</f>
        <v>0</v>
      </c>
      <c r="T187" s="283">
        <f>$E$187*'Green Ridge'!T46</f>
        <v>0</v>
      </c>
      <c r="U187" s="283">
        <f>$E$187*'Green Ridge'!U46</f>
        <v>0</v>
      </c>
      <c r="V187" s="283">
        <f>$E$187*'Green Ridge'!V46</f>
        <v>0</v>
      </c>
      <c r="W187" s="283">
        <f>$E$187*'Green Ridge'!W46</f>
        <v>0</v>
      </c>
      <c r="X187" s="283">
        <f>$E$187*'Green Ridge'!X46</f>
        <v>0</v>
      </c>
      <c r="Y187" s="283">
        <f>$E$187*'Green Ridge'!Y46</f>
        <v>0</v>
      </c>
      <c r="AA187" s="283"/>
    </row>
    <row r="188" spans="2:27">
      <c r="C188" s="271" t="s">
        <v>164</v>
      </c>
      <c r="E188" s="578">
        <v>0.5</v>
      </c>
      <c r="F188" s="283">
        <f>$E$188*'Mojave 16-18'!F46</f>
        <v>0</v>
      </c>
      <c r="G188" s="283">
        <f>$E$188*'Mojave 16-18'!G46</f>
        <v>0</v>
      </c>
      <c r="H188" s="283">
        <f>$E$188*'Mojave 16-18'!H46</f>
        <v>0</v>
      </c>
      <c r="I188" s="283">
        <f>$E$188*'Mojave 16-18'!I46</f>
        <v>0</v>
      </c>
      <c r="J188" s="283">
        <f>$E$188*'Mojave 16-18'!J46</f>
        <v>0</v>
      </c>
      <c r="K188" s="283">
        <f>$E$188*'Mojave 16-18'!K46</f>
        <v>0</v>
      </c>
      <c r="L188" s="283">
        <f>$E$188*'Mojave 16-18'!L46</f>
        <v>0</v>
      </c>
      <c r="M188" s="283">
        <f>$E$188*'Mojave 16-18'!M46</f>
        <v>0</v>
      </c>
      <c r="N188" s="283">
        <f>$E$188*'Mojave 16-18'!N46</f>
        <v>0</v>
      </c>
      <c r="O188" s="283">
        <f>$E$188*'Mojave 16-18'!O46</f>
        <v>0</v>
      </c>
      <c r="P188" s="283">
        <f>$E$188*'Mojave 16-18'!P46</f>
        <v>0</v>
      </c>
      <c r="Q188" s="283">
        <f>$E$188*'Mojave 16-18'!Q46</f>
        <v>0</v>
      </c>
      <c r="R188" s="283">
        <f>$E$188*'Mojave 16-18'!R46</f>
        <v>0</v>
      </c>
      <c r="S188" s="283">
        <f>$E$188*'Mojave 16-18'!S46</f>
        <v>0</v>
      </c>
      <c r="T188" s="283">
        <f>$E$188*'Mojave 16-18'!T46</f>
        <v>0</v>
      </c>
      <c r="U188" s="283">
        <f>$E$188*'Mojave 16-18'!U46</f>
        <v>0</v>
      </c>
      <c r="V188" s="283">
        <f>$E$188*'Mojave 16-18'!V46</f>
        <v>0</v>
      </c>
      <c r="W188" s="283">
        <f>$E$188*'Mojave 16-18'!W46</f>
        <v>0</v>
      </c>
      <c r="X188" s="283">
        <f>$E$188*'Mojave 16-18'!X46</f>
        <v>0</v>
      </c>
      <c r="Y188" s="283">
        <f>$E$188*'Mojave 16-18'!Y46</f>
        <v>0</v>
      </c>
      <c r="AA188" s="283"/>
    </row>
    <row r="189" spans="2:27">
      <c r="C189" s="271" t="s">
        <v>152</v>
      </c>
      <c r="E189" s="578">
        <v>0.5</v>
      </c>
      <c r="F189" s="283">
        <f>$E$189*Morwind!F46</f>
        <v>0</v>
      </c>
      <c r="G189" s="283">
        <f>$E$189*Morwind!G46</f>
        <v>0</v>
      </c>
      <c r="H189" s="283">
        <f>$E$189*Morwind!H46</f>
        <v>0</v>
      </c>
      <c r="I189" s="283">
        <f>$E$189*Morwind!I46</f>
        <v>0</v>
      </c>
      <c r="J189" s="283">
        <f>$E$189*Morwind!J46</f>
        <v>0</v>
      </c>
      <c r="K189" s="283">
        <f>$E$189*Morwind!K46</f>
        <v>0</v>
      </c>
      <c r="L189" s="283">
        <f>$E$189*Morwind!L46</f>
        <v>0</v>
      </c>
      <c r="M189" s="283">
        <f>$E$189*Morwind!M46</f>
        <v>0</v>
      </c>
      <c r="N189" s="283">
        <f>$E$189*Morwind!N46</f>
        <v>0</v>
      </c>
      <c r="O189" s="283">
        <f>$E$189*Morwind!O46</f>
        <v>0</v>
      </c>
      <c r="P189" s="283">
        <f>$E$189*Morwind!P46</f>
        <v>0</v>
      </c>
      <c r="Q189" s="283">
        <f>$E$189*Morwind!Q46</f>
        <v>0</v>
      </c>
      <c r="R189" s="283">
        <f>$E$189*Morwind!R46</f>
        <v>0</v>
      </c>
      <c r="S189" s="283">
        <f>$E$189*Morwind!S46</f>
        <v>0</v>
      </c>
      <c r="T189" s="283">
        <f>$E$189*Morwind!T46</f>
        <v>0</v>
      </c>
      <c r="U189" s="283">
        <f>$E$189*Morwind!U46</f>
        <v>0</v>
      </c>
      <c r="V189" s="283">
        <f>$E$189*Morwind!V46</f>
        <v>0</v>
      </c>
      <c r="W189" s="283">
        <f>$E$189*Morwind!W46</f>
        <v>0</v>
      </c>
      <c r="X189" s="283">
        <f>$E$189*Morwind!X46</f>
        <v>0</v>
      </c>
      <c r="Y189" s="283">
        <f>$E$189*Morwind!Y46</f>
        <v>0</v>
      </c>
      <c r="AA189" s="283"/>
    </row>
    <row r="190" spans="2:27">
      <c r="C190" s="271" t="s">
        <v>153</v>
      </c>
      <c r="E190" s="578">
        <v>0.5</v>
      </c>
      <c r="F190" s="283">
        <f>$E$190*VG!F46</f>
        <v>0</v>
      </c>
      <c r="G190" s="283">
        <f>$E$190*VG!G46</f>
        <v>0</v>
      </c>
      <c r="H190" s="283">
        <f>$E$190*VG!H46</f>
        <v>0</v>
      </c>
      <c r="I190" s="283">
        <f>$E$190*VG!I46</f>
        <v>0</v>
      </c>
      <c r="J190" s="283">
        <f>$E$190*VG!J46</f>
        <v>0</v>
      </c>
      <c r="K190" s="283">
        <f>$E$190*VG!K46</f>
        <v>0</v>
      </c>
      <c r="L190" s="283">
        <f>$E$190*VG!L46</f>
        <v>0</v>
      </c>
      <c r="M190" s="283">
        <f>$E$190*VG!M46</f>
        <v>0</v>
      </c>
      <c r="N190" s="283">
        <f>$E$190*VG!N46</f>
        <v>0</v>
      </c>
      <c r="O190" s="283">
        <f>$E$190*VG!O46</f>
        <v>0</v>
      </c>
      <c r="P190" s="283">
        <f>$E$190*VG!P46</f>
        <v>0</v>
      </c>
      <c r="Q190" s="283">
        <f>$E$190*VG!Q46</f>
        <v>0</v>
      </c>
      <c r="R190" s="283">
        <f>$E$190*VG!R46</f>
        <v>0</v>
      </c>
      <c r="S190" s="283">
        <f>$E$190*VG!S46</f>
        <v>0</v>
      </c>
      <c r="T190" s="283">
        <f>$E$190*VG!T46</f>
        <v>0</v>
      </c>
      <c r="U190" s="283">
        <f>$E$190*VG!U46</f>
        <v>0</v>
      </c>
      <c r="V190" s="283">
        <f>$E$190*VG!V46</f>
        <v>0</v>
      </c>
      <c r="W190" s="283">
        <f>$E$190*VG!W46</f>
        <v>0</v>
      </c>
      <c r="X190" s="283">
        <f>$E$190*VG!X46</f>
        <v>0</v>
      </c>
      <c r="Y190" s="283">
        <f>$E$190*VG!Y46</f>
        <v>0</v>
      </c>
      <c r="AA190" s="283"/>
    </row>
    <row r="191" spans="2:27">
      <c r="C191" s="271" t="s">
        <v>154</v>
      </c>
      <c r="E191" s="578">
        <v>0.5</v>
      </c>
      <c r="F191" s="283">
        <f>$E$191*'WPP 92'!F46</f>
        <v>0</v>
      </c>
      <c r="G191" s="283">
        <f>$E$191*'WPP 92'!G46</f>
        <v>0</v>
      </c>
      <c r="H191" s="283">
        <f>$E$191*'WPP 92'!H46</f>
        <v>0</v>
      </c>
      <c r="I191" s="283">
        <f>$E$191*'WPP 92'!I46</f>
        <v>0</v>
      </c>
      <c r="J191" s="283">
        <f>$E$191*'WPP 92'!J46</f>
        <v>0</v>
      </c>
      <c r="K191" s="283">
        <f>$E$191*'WPP 92'!K46</f>
        <v>0</v>
      </c>
      <c r="L191" s="283">
        <f>$E$191*'WPP 92'!L46</f>
        <v>0</v>
      </c>
      <c r="M191" s="283">
        <f>$E$191*'WPP 92'!M46</f>
        <v>0</v>
      </c>
      <c r="N191" s="283">
        <f>$E$191*'WPP 92'!N46</f>
        <v>0</v>
      </c>
      <c r="O191" s="283">
        <f>$E$191*'WPP 92'!O46</f>
        <v>0</v>
      </c>
      <c r="P191" s="283">
        <f>$E$191*'WPP 92'!P46</f>
        <v>0</v>
      </c>
      <c r="Q191" s="283">
        <f>$E$191*'WPP 92'!Q46</f>
        <v>0</v>
      </c>
      <c r="R191" s="283">
        <f>$E$191*'WPP 92'!R46</f>
        <v>0</v>
      </c>
      <c r="S191" s="283">
        <f>$E$191*'WPP 92'!S46</f>
        <v>0</v>
      </c>
      <c r="T191" s="283">
        <f>$E$191*'WPP 92'!T46</f>
        <v>0</v>
      </c>
      <c r="U191" s="283">
        <f>$E$191*'WPP 92'!U46</f>
        <v>0</v>
      </c>
      <c r="V191" s="283">
        <f>$E$191*'WPP 92'!V46</f>
        <v>0</v>
      </c>
      <c r="W191" s="283">
        <f>$E$191*'WPP 92'!W46</f>
        <v>0</v>
      </c>
      <c r="X191" s="283">
        <f>$E$191*'WPP 92'!X46</f>
        <v>0</v>
      </c>
      <c r="Y191" s="283">
        <f>$E$191*'WPP 92'!Y46</f>
        <v>0</v>
      </c>
      <c r="AA191" s="283"/>
    </row>
    <row r="192" spans="2:27">
      <c r="C192" s="271" t="s">
        <v>155</v>
      </c>
      <c r="E192" s="578">
        <v>0.5</v>
      </c>
      <c r="F192" s="283">
        <f>$E$192*'WPP 91-2'!F46</f>
        <v>0</v>
      </c>
      <c r="G192" s="283">
        <f>$E$192*'WPP 91-2'!G46</f>
        <v>0</v>
      </c>
      <c r="H192" s="283">
        <f>$E$192*'WPP 91-2'!H46</f>
        <v>0</v>
      </c>
      <c r="I192" s="283">
        <f>$E$192*'WPP 91-2'!I46</f>
        <v>0</v>
      </c>
      <c r="J192" s="283">
        <f>$E$192*'WPP 91-2'!J46</f>
        <v>0</v>
      </c>
      <c r="K192" s="283">
        <f>$E$192*'WPP 91-2'!K46</f>
        <v>0</v>
      </c>
      <c r="L192" s="283">
        <f>$E$192*'WPP 91-2'!L46</f>
        <v>0</v>
      </c>
      <c r="M192" s="283">
        <f>$E$192*'WPP 91-2'!M46</f>
        <v>0</v>
      </c>
      <c r="N192" s="283">
        <f>$E$192*'WPP 91-2'!N46</f>
        <v>0</v>
      </c>
      <c r="O192" s="283">
        <f>$E$192*'WPP 91-2'!O46</f>
        <v>0</v>
      </c>
      <c r="P192" s="283">
        <f>$E$192*'WPP 91-2'!P46</f>
        <v>0</v>
      </c>
      <c r="Q192" s="283">
        <f>$E$192*'WPP 91-2'!Q46</f>
        <v>0</v>
      </c>
      <c r="R192" s="283">
        <f>$E$192*'WPP 91-2'!R46</f>
        <v>0</v>
      </c>
      <c r="S192" s="283">
        <f>$E$192*'WPP 91-2'!S46</f>
        <v>0</v>
      </c>
      <c r="T192" s="283">
        <f>$E$192*'WPP 91-2'!T46</f>
        <v>0</v>
      </c>
      <c r="U192" s="283">
        <f>$E$192*'WPP 91-2'!U46</f>
        <v>0</v>
      </c>
      <c r="V192" s="283">
        <f>$E$192*'WPP 91-2'!V46</f>
        <v>0</v>
      </c>
      <c r="W192" s="283">
        <f>$E$192*'WPP 91-2'!W46</f>
        <v>0</v>
      </c>
      <c r="X192" s="283">
        <f>$E$192*'WPP 91-2'!X46</f>
        <v>0</v>
      </c>
      <c r="Y192" s="283">
        <f>$E$192*'WPP 91-2'!Y46</f>
        <v>0</v>
      </c>
      <c r="AA192" s="283"/>
    </row>
    <row r="193" spans="2:27">
      <c r="C193" s="271" t="s">
        <v>156</v>
      </c>
      <c r="E193" s="578">
        <v>0</v>
      </c>
      <c r="F193" s="283">
        <v>0</v>
      </c>
      <c r="G193" s="283">
        <v>0</v>
      </c>
      <c r="H193" s="283">
        <v>0</v>
      </c>
      <c r="I193" s="283">
        <v>0</v>
      </c>
      <c r="J193" s="283">
        <v>0</v>
      </c>
      <c r="K193" s="283">
        <v>0</v>
      </c>
      <c r="L193" s="283">
        <v>0</v>
      </c>
      <c r="M193" s="283">
        <v>0</v>
      </c>
      <c r="N193" s="283">
        <v>0</v>
      </c>
      <c r="O193" s="283">
        <v>0</v>
      </c>
      <c r="P193" s="283">
        <v>0</v>
      </c>
      <c r="Q193" s="283">
        <v>0</v>
      </c>
      <c r="R193" s="283">
        <v>0</v>
      </c>
      <c r="S193" s="283">
        <v>0</v>
      </c>
      <c r="T193" s="283">
        <v>0</v>
      </c>
      <c r="U193" s="283">
        <v>0</v>
      </c>
      <c r="V193" s="283">
        <v>0</v>
      </c>
      <c r="W193" s="283">
        <v>0</v>
      </c>
      <c r="X193" s="283">
        <v>0</v>
      </c>
      <c r="Y193" s="283">
        <v>0</v>
      </c>
      <c r="AA193" s="283"/>
    </row>
    <row r="194" spans="2:27">
      <c r="C194" s="271" t="s">
        <v>157</v>
      </c>
      <c r="E194" s="578">
        <v>0.5</v>
      </c>
      <c r="F194" s="283">
        <f>$E$194*'WPP 89'!F46</f>
        <v>0</v>
      </c>
      <c r="G194" s="283">
        <f>$E$194*'WPP 89'!G46</f>
        <v>0</v>
      </c>
      <c r="H194" s="283">
        <f>$E$194*'WPP 89'!H46</f>
        <v>0</v>
      </c>
      <c r="I194" s="283">
        <f>$E$194*'WPP 89'!I46</f>
        <v>0</v>
      </c>
      <c r="J194" s="283">
        <f>$E$194*'WPP 89'!J46</f>
        <v>0</v>
      </c>
      <c r="K194" s="283">
        <f>$E$194*'WPP 89'!K46</f>
        <v>0</v>
      </c>
      <c r="L194" s="283">
        <f>$E$194*'WPP 89'!L46</f>
        <v>0</v>
      </c>
      <c r="M194" s="283">
        <f>$E$194*'WPP 89'!M46</f>
        <v>0</v>
      </c>
      <c r="N194" s="283">
        <f>$E$194*'WPP 89'!N46</f>
        <v>0</v>
      </c>
      <c r="O194" s="283">
        <f>$E$194*'WPP 89'!O46</f>
        <v>0</v>
      </c>
      <c r="P194" s="283">
        <f>$E$194*'WPP 89'!P46</f>
        <v>0</v>
      </c>
      <c r="Q194" s="283">
        <f>$E$194*'WPP 89'!Q46</f>
        <v>0</v>
      </c>
      <c r="R194" s="283">
        <f>$E$194*'WPP 89'!R46</f>
        <v>0</v>
      </c>
      <c r="S194" s="283">
        <f>$E$194*'WPP 89'!S46</f>
        <v>0</v>
      </c>
      <c r="T194" s="283">
        <f>$E$194*'WPP 89'!T46</f>
        <v>0</v>
      </c>
      <c r="U194" s="283">
        <f>$E$194*'WPP 89'!U46</f>
        <v>0</v>
      </c>
      <c r="V194" s="283">
        <f>$E$194*'WPP 89'!V46</f>
        <v>0</v>
      </c>
      <c r="W194" s="283">
        <f>$E$194*'WPP 89'!W46</f>
        <v>0</v>
      </c>
      <c r="X194" s="283">
        <f>$E$194*'WPP 89'!X46</f>
        <v>0</v>
      </c>
      <c r="Y194" s="283">
        <f>$E$194*'WPP 89'!Y46</f>
        <v>0</v>
      </c>
      <c r="AA194" s="283"/>
    </row>
    <row r="195" spans="2:27">
      <c r="C195" s="271" t="s">
        <v>158</v>
      </c>
      <c r="E195" s="578">
        <v>0.5</v>
      </c>
      <c r="F195" s="283">
        <f>$E$195*'WPP 91'!F46</f>
        <v>0</v>
      </c>
      <c r="G195" s="283">
        <f>$E$195*'WPP 91'!G46</f>
        <v>0</v>
      </c>
      <c r="H195" s="283">
        <f>$E$195*'WPP 91'!H46</f>
        <v>0</v>
      </c>
      <c r="I195" s="283">
        <f>$E$195*'WPP 91'!I46</f>
        <v>0</v>
      </c>
      <c r="J195" s="283">
        <f>$E$195*'WPP 91'!J46</f>
        <v>0</v>
      </c>
      <c r="K195" s="283">
        <f>$E$195*'WPP 91'!K46</f>
        <v>0</v>
      </c>
      <c r="L195" s="283">
        <f>$E$195*'WPP 91'!L46</f>
        <v>0</v>
      </c>
      <c r="M195" s="283">
        <f>$E$195*'WPP 91'!M46</f>
        <v>0</v>
      </c>
      <c r="N195" s="283">
        <f>$E$195*'WPP 91'!N46</f>
        <v>0</v>
      </c>
      <c r="O195" s="283">
        <f>$E$195*'WPP 91'!O46</f>
        <v>0</v>
      </c>
      <c r="P195" s="283">
        <f>$E$195*'WPP 91'!P46</f>
        <v>0</v>
      </c>
      <c r="Q195" s="283">
        <f>$E$195*'WPP 91'!Q46</f>
        <v>0</v>
      </c>
      <c r="R195" s="283">
        <f>$E$195*'WPP 91'!R46</f>
        <v>0</v>
      </c>
      <c r="S195" s="283">
        <f>$E$195*'WPP 91'!S46</f>
        <v>0</v>
      </c>
      <c r="T195" s="283">
        <f>$E$195*'WPP 91'!T46</f>
        <v>0</v>
      </c>
      <c r="U195" s="283">
        <f>$E$195*'WPP 91'!U46</f>
        <v>0</v>
      </c>
      <c r="V195" s="283">
        <f>$E$195*'WPP 91'!V46</f>
        <v>0</v>
      </c>
      <c r="W195" s="283">
        <f>$E$195*'WPP 91'!W46</f>
        <v>0</v>
      </c>
      <c r="X195" s="283">
        <f>$E$195*'WPP 91'!X46</f>
        <v>0</v>
      </c>
      <c r="Y195" s="283">
        <f>$E$195*'WPP 91'!Y46</f>
        <v>0</v>
      </c>
      <c r="AA195" s="283"/>
    </row>
    <row r="196" spans="2:27">
      <c r="C196" s="271" t="s">
        <v>159</v>
      </c>
      <c r="E196" s="578">
        <v>0.5</v>
      </c>
      <c r="F196" s="283">
        <f>$E$196*'WPP 90'!F46</f>
        <v>0</v>
      </c>
      <c r="G196" s="283">
        <f>$E$196*'WPP 90'!G46</f>
        <v>0</v>
      </c>
      <c r="H196" s="283">
        <f>$E$196*'WPP 90'!H46</f>
        <v>0</v>
      </c>
      <c r="I196" s="283">
        <f>$E$196*'WPP 90'!I46</f>
        <v>0</v>
      </c>
      <c r="J196" s="283">
        <f>$E$196*'WPP 90'!J46</f>
        <v>0</v>
      </c>
      <c r="K196" s="283">
        <f>$E$196*'WPP 90'!K46</f>
        <v>0</v>
      </c>
      <c r="L196" s="283">
        <f>$E$196*'WPP 90'!L46</f>
        <v>0</v>
      </c>
      <c r="M196" s="283">
        <f>$E$196*'WPP 90'!M46</f>
        <v>0</v>
      </c>
      <c r="N196" s="283">
        <f>$E$196*'WPP 90'!N46</f>
        <v>0</v>
      </c>
      <c r="O196" s="283">
        <f>$E$196*'WPP 90'!O46</f>
        <v>0</v>
      </c>
      <c r="P196" s="283">
        <f>$E$196*'WPP 90'!P46</f>
        <v>0</v>
      </c>
      <c r="Q196" s="283">
        <f>$E$196*'WPP 90'!Q46</f>
        <v>0</v>
      </c>
      <c r="R196" s="283">
        <f>$E$196*'WPP 90'!R46</f>
        <v>0</v>
      </c>
      <c r="S196" s="283">
        <f>$E$196*'WPP 90'!S46</f>
        <v>0</v>
      </c>
      <c r="T196" s="283">
        <f>$E$196*'WPP 90'!T46</f>
        <v>0</v>
      </c>
      <c r="U196" s="283">
        <f>$E$196*'WPP 90'!U46</f>
        <v>0</v>
      </c>
      <c r="V196" s="283">
        <f>$E$196*'WPP 90'!V46</f>
        <v>0</v>
      </c>
      <c r="W196" s="283">
        <f>$E$196*'WPP 90'!W46</f>
        <v>0</v>
      </c>
      <c r="X196" s="283">
        <f>$E$196*'WPP 90'!X46</f>
        <v>0</v>
      </c>
      <c r="Y196" s="283">
        <f>$E$196*'WPP 90'!Y46</f>
        <v>0</v>
      </c>
      <c r="AA196" s="283"/>
    </row>
    <row r="197" spans="2:27">
      <c r="C197" s="271" t="s">
        <v>160</v>
      </c>
      <c r="E197" s="578">
        <v>0</v>
      </c>
      <c r="F197" s="600">
        <v>0</v>
      </c>
      <c r="G197" s="600">
        <v>0</v>
      </c>
      <c r="H197" s="600">
        <v>0</v>
      </c>
      <c r="I197" s="600">
        <v>0</v>
      </c>
      <c r="J197" s="600">
        <v>0</v>
      </c>
      <c r="K197" s="600">
        <v>0</v>
      </c>
      <c r="L197" s="600">
        <v>0</v>
      </c>
      <c r="M197" s="600">
        <v>0</v>
      </c>
      <c r="N197" s="600">
        <v>0</v>
      </c>
      <c r="O197" s="600">
        <v>0</v>
      </c>
      <c r="P197" s="600">
        <v>0</v>
      </c>
      <c r="Q197" s="600">
        <v>0</v>
      </c>
      <c r="R197" s="600">
        <v>0</v>
      </c>
      <c r="S197" s="600">
        <v>0</v>
      </c>
      <c r="T197" s="600">
        <v>0</v>
      </c>
      <c r="U197" s="600">
        <v>0</v>
      </c>
      <c r="V197" s="600">
        <v>0</v>
      </c>
      <c r="W197" s="600">
        <v>0</v>
      </c>
      <c r="X197" s="600">
        <v>0</v>
      </c>
      <c r="Y197" s="600">
        <v>0</v>
      </c>
      <c r="AA197" s="283"/>
    </row>
    <row r="198" spans="2:27">
      <c r="C198" s="562" t="s">
        <v>255</v>
      </c>
      <c r="F198" s="276">
        <f>SUM(F180:F197)</f>
        <v>8944.9282140646137</v>
      </c>
      <c r="G198" s="276">
        <f t="shared" ref="G198:Y198" si="24">SUM(G180:G197)</f>
        <v>7112.8708346243384</v>
      </c>
      <c r="H198" s="276">
        <f t="shared" si="24"/>
        <v>6832.7423348992761</v>
      </c>
      <c r="I198" s="276">
        <f t="shared" si="24"/>
        <v>6552.0732358502028</v>
      </c>
      <c r="J198" s="276">
        <f t="shared" si="24"/>
        <v>6478.6312293239325</v>
      </c>
      <c r="K198" s="276">
        <f t="shared" si="24"/>
        <v>6157.8805496509067</v>
      </c>
      <c r="L198" s="276">
        <f t="shared" si="24"/>
        <v>5765.6409977039684</v>
      </c>
      <c r="M198" s="276">
        <f t="shared" si="24"/>
        <v>5331.9615831946367</v>
      </c>
      <c r="N198" s="276">
        <f t="shared" si="24"/>
        <v>4858.6264050475975</v>
      </c>
      <c r="O198" s="276">
        <f t="shared" si="24"/>
        <v>4414.8380326982642</v>
      </c>
      <c r="P198" s="276">
        <f t="shared" si="24"/>
        <v>3960.3650395996451</v>
      </c>
      <c r="Q198" s="276">
        <f t="shared" si="24"/>
        <v>3464.8458255557557</v>
      </c>
      <c r="R198" s="276">
        <f t="shared" si="24"/>
        <v>2914.4160785585364</v>
      </c>
      <c r="S198" s="276">
        <f t="shared" si="24"/>
        <v>2620.4290508918366</v>
      </c>
      <c r="T198" s="276">
        <f t="shared" si="24"/>
        <v>1887.4119964043641</v>
      </c>
      <c r="U198" s="276">
        <f t="shared" si="24"/>
        <v>1523.4824434819136</v>
      </c>
      <c r="V198" s="276">
        <f t="shared" si="24"/>
        <v>1499.8844047372227</v>
      </c>
      <c r="W198" s="276">
        <f t="shared" si="24"/>
        <v>1523.9499734076805</v>
      </c>
      <c r="X198" s="276">
        <f t="shared" si="24"/>
        <v>1548.6893780009109</v>
      </c>
      <c r="Y198" s="276">
        <f t="shared" si="24"/>
        <v>1574.1214859227521</v>
      </c>
    </row>
    <row r="201" spans="2:27" ht="15.75">
      <c r="B201" s="737" t="s">
        <v>33</v>
      </c>
      <c r="C201" s="619"/>
    </row>
    <row r="202" spans="2:27">
      <c r="C202" s="271" t="s">
        <v>142</v>
      </c>
      <c r="E202" s="578">
        <v>1</v>
      </c>
      <c r="F202" s="334">
        <f>$E$202*'Cerro Gordo'!F66</f>
        <v>0</v>
      </c>
      <c r="G202" s="334">
        <f>$E$202*'Cerro Gordo'!G66</f>
        <v>0</v>
      </c>
      <c r="H202" s="334">
        <f>$E$202*'Cerro Gordo'!H66</f>
        <v>0</v>
      </c>
      <c r="I202" s="334">
        <f>$E$202*'Cerro Gordo'!I66</f>
        <v>0</v>
      </c>
      <c r="J202" s="334">
        <f>$E$202*'Cerro Gordo'!J66</f>
        <v>0</v>
      </c>
      <c r="K202" s="334">
        <f>$E$202*'Cerro Gordo'!K66</f>
        <v>0</v>
      </c>
      <c r="L202" s="334">
        <f>$E$202*'Cerro Gordo'!L66</f>
        <v>0</v>
      </c>
      <c r="M202" s="334">
        <f>$E$202*'Cerro Gordo'!M66</f>
        <v>0</v>
      </c>
      <c r="N202" s="334">
        <f>$E$202*'Cerro Gordo'!N66</f>
        <v>0</v>
      </c>
      <c r="O202" s="334">
        <f>$E$202*'Cerro Gordo'!O66</f>
        <v>0</v>
      </c>
      <c r="P202" s="334">
        <f>$E$202*'Cerro Gordo'!P66</f>
        <v>0</v>
      </c>
      <c r="Q202" s="334">
        <f>$E$202*'Cerro Gordo'!Q66</f>
        <v>0</v>
      </c>
      <c r="R202" s="334">
        <f>$E$202*'Cerro Gordo'!R66</f>
        <v>0</v>
      </c>
      <c r="S202" s="334">
        <f>$E$202*'Cerro Gordo'!S66</f>
        <v>0</v>
      </c>
      <c r="T202" s="334">
        <f>$E$202*'Cerro Gordo'!T66</f>
        <v>0</v>
      </c>
      <c r="U202" s="334">
        <f>$E$202*'Cerro Gordo'!U66</f>
        <v>0</v>
      </c>
      <c r="V202" s="334">
        <f>$E$202*'Cerro Gordo'!V66</f>
        <v>0</v>
      </c>
      <c r="W202" s="334">
        <f>$E$202*'Cerro Gordo'!W66</f>
        <v>0</v>
      </c>
      <c r="X202" s="334">
        <f>$E$202*'Cerro Gordo'!X66</f>
        <v>0</v>
      </c>
      <c r="Y202" s="334">
        <f>$E$202*'Cerro Gordo'!Y66</f>
        <v>0</v>
      </c>
    </row>
    <row r="203" spans="2:27">
      <c r="C203" s="271" t="s">
        <v>143</v>
      </c>
      <c r="E203" s="578">
        <v>1</v>
      </c>
      <c r="F203" s="334">
        <f>$E$203*'Southwest Mesa'!F66</f>
        <v>-5182.484375</v>
      </c>
      <c r="G203" s="334">
        <f>$E$203*'Southwest Mesa'!G66</f>
        <v>-5080.0791666666664</v>
      </c>
      <c r="H203" s="334">
        <f>$E$203*'Southwest Mesa'!H66</f>
        <v>-5167.0216666666665</v>
      </c>
      <c r="I203" s="334">
        <f>$E$203*'Southwest Mesa'!I66</f>
        <v>-4988.4631250000002</v>
      </c>
      <c r="J203" s="334">
        <f>$E$203*'Southwest Mesa'!J66</f>
        <v>-5060.4495833333331</v>
      </c>
      <c r="K203" s="334">
        <f>$E$203*'Southwest Mesa'!K66</f>
        <v>-5105.5235416666665</v>
      </c>
      <c r="L203" s="334">
        <f>$E$203*'Southwest Mesa'!L66</f>
        <v>-5149.6241666666665</v>
      </c>
      <c r="M203" s="334">
        <f>$E$203*'Southwest Mesa'!M66</f>
        <v>-5272.2437499999996</v>
      </c>
      <c r="N203" s="334">
        <f>$E$203*'Southwest Mesa'!N66</f>
        <v>-4291.3795833333334</v>
      </c>
      <c r="O203" s="334">
        <f>$E$203*'Southwest Mesa'!O66</f>
        <v>-3781.3679166666666</v>
      </c>
      <c r="P203" s="334">
        <f>$E$203*'Southwest Mesa'!P66</f>
        <v>-3807.1310416666665</v>
      </c>
      <c r="Q203" s="334">
        <f>$E$203*'Southwest Mesa'!Q66</f>
        <v>-3822.6462499999998</v>
      </c>
      <c r="R203" s="334">
        <f>$E$203*'Southwest Mesa'!R66</f>
        <v>-3805.1810416666667</v>
      </c>
      <c r="S203" s="334">
        <f>$E$203*'Southwest Mesa'!S66</f>
        <v>-3782</v>
      </c>
      <c r="T203" s="334">
        <f>$E$203*'Southwest Mesa'!T66</f>
        <v>-3758.4691666666668</v>
      </c>
      <c r="U203" s="334">
        <f>$E$203*'Southwest Mesa'!U66</f>
        <v>-1280.0081250000001</v>
      </c>
      <c r="V203" s="334">
        <f>$E$203*'Southwest Mesa'!V66</f>
        <v>0</v>
      </c>
      <c r="W203" s="334">
        <f>$E$203*'Southwest Mesa'!W66</f>
        <v>0</v>
      </c>
      <c r="X203" s="334">
        <f>$E$203*'Southwest Mesa'!X66</f>
        <v>0</v>
      </c>
      <c r="Y203" s="334">
        <f>$E$203*'Southwest Mesa'!Y66</f>
        <v>0</v>
      </c>
    </row>
    <row r="204" spans="2:27">
      <c r="C204" s="271" t="s">
        <v>144</v>
      </c>
      <c r="E204" s="578">
        <v>1</v>
      </c>
      <c r="F204" s="334">
        <f>$E$204*Vansycle!F66</f>
        <v>0</v>
      </c>
      <c r="G204" s="334">
        <f>$E$204*Vansycle!G66</f>
        <v>0</v>
      </c>
      <c r="H204" s="334">
        <f>$E$204*Vansycle!H66</f>
        <v>0</v>
      </c>
      <c r="I204" s="334">
        <f>$E$204*Vansycle!I66</f>
        <v>0</v>
      </c>
      <c r="J204" s="334">
        <f>$E$204*Vansycle!J66</f>
        <v>0</v>
      </c>
      <c r="K204" s="334">
        <f>$E$204*Vansycle!K66</f>
        <v>0</v>
      </c>
      <c r="L204" s="334">
        <f>$E$204*Vansycle!L66</f>
        <v>0</v>
      </c>
      <c r="M204" s="334">
        <f>$E$204*Vansycle!M66</f>
        <v>0</v>
      </c>
      <c r="N204" s="334">
        <f>$E$204*Vansycle!N66</f>
        <v>0</v>
      </c>
      <c r="O204" s="334">
        <f>$E$204*Vansycle!O66</f>
        <v>0</v>
      </c>
      <c r="P204" s="334">
        <f>$E$204*Vansycle!P66</f>
        <v>0</v>
      </c>
      <c r="Q204" s="334">
        <f>$E$204*Vansycle!Q66</f>
        <v>0</v>
      </c>
      <c r="R204" s="334">
        <f>$E$204*Vansycle!R66</f>
        <v>0</v>
      </c>
      <c r="S204" s="334">
        <f>$E$204*Vansycle!S66</f>
        <v>0</v>
      </c>
      <c r="T204" s="334">
        <f>$E$204*Vansycle!T66</f>
        <v>0</v>
      </c>
      <c r="U204" s="334">
        <f>$E$204*Vansycle!U66</f>
        <v>0</v>
      </c>
      <c r="V204" s="334">
        <f>$E$204*Vansycle!V66</f>
        <v>0</v>
      </c>
      <c r="W204" s="334">
        <f>$E$204*Vansycle!W66</f>
        <v>0</v>
      </c>
      <c r="X204" s="334">
        <f>$E$204*Vansycle!X66</f>
        <v>0</v>
      </c>
      <c r="Y204" s="334">
        <f>$E$204*Vansycle!Y66</f>
        <v>0</v>
      </c>
    </row>
    <row r="205" spans="2:27">
      <c r="C205" s="271" t="s">
        <v>146</v>
      </c>
      <c r="E205" s="578">
        <v>0.5</v>
      </c>
      <c r="F205" s="334">
        <f>$E$205*Cameron!F66</f>
        <v>-2661.9649168071974</v>
      </c>
      <c r="G205" s="334">
        <f>$E$205*Cameron!G66</f>
        <v>-2595.7441635164578</v>
      </c>
      <c r="H205" s="334">
        <f>$E$205*Cameron!H66</f>
        <v>-2619.0942134295324</v>
      </c>
      <c r="I205" s="334">
        <f>$E$205*Cameron!I66</f>
        <v>-2659.2306834914543</v>
      </c>
      <c r="J205" s="334">
        <f>$E$205*Cameron!J66</f>
        <v>-2697.8439332338307</v>
      </c>
      <c r="K205" s="334">
        <f>$E$205*Cameron!K66</f>
        <v>-2711.6674041867191</v>
      </c>
      <c r="L205" s="334">
        <f>$E$205*Cameron!L66</f>
        <v>-2710.6761159443545</v>
      </c>
      <c r="M205" s="334">
        <f>$E$205*Cameron!M66</f>
        <v>-2696.1169217242605</v>
      </c>
      <c r="N205" s="334">
        <f>$E$205*Cameron!N66</f>
        <v>-2695.2862312490151</v>
      </c>
      <c r="O205" s="334">
        <f>$E$205*Cameron!O66</f>
        <v>-2689.853280916017</v>
      </c>
      <c r="P205" s="334">
        <f>$E$205*Cameron!P66</f>
        <v>-2699.8005929023348</v>
      </c>
      <c r="Q205" s="334">
        <f>$E$205*Cameron!Q66</f>
        <v>-2754.5591370313869</v>
      </c>
      <c r="R205" s="334">
        <f>$E$205*Cameron!R66</f>
        <v>-2783.7190040023906</v>
      </c>
      <c r="S205" s="334">
        <f>$E$205*Cameron!S66</f>
        <v>-2895.6374652009908</v>
      </c>
      <c r="T205" s="334">
        <f>$E$205*Cameron!T66</f>
        <v>-2693.1235376988325</v>
      </c>
      <c r="U205" s="334">
        <f>$E$205*Cameron!U66</f>
        <v>0</v>
      </c>
      <c r="V205" s="334">
        <f>$E$205*Cameron!V66</f>
        <v>0</v>
      </c>
      <c r="W205" s="334">
        <f>$E$205*Cameron!W66</f>
        <v>0</v>
      </c>
      <c r="X205" s="334">
        <f>$E$205*Cameron!X66</f>
        <v>0</v>
      </c>
      <c r="Y205" s="334">
        <f>$E$205*Cameron!Y66</f>
        <v>0</v>
      </c>
    </row>
    <row r="206" spans="2:27">
      <c r="C206" s="271" t="s">
        <v>162</v>
      </c>
      <c r="E206" s="578">
        <v>0.5</v>
      </c>
      <c r="F206" s="334">
        <f>$E$206*'Pacific Crest'!F66</f>
        <v>-2247.9156523915235</v>
      </c>
      <c r="G206" s="334">
        <f>$E$206*'Pacific Crest'!G66</f>
        <v>-2219.4977071950261</v>
      </c>
      <c r="H206" s="334">
        <f>$E$206*'Pacific Crest'!H66</f>
        <v>-2177.8163570586121</v>
      </c>
      <c r="I206" s="334">
        <f>$E$206*'Pacific Crest'!I66</f>
        <v>-2159.1745197845694</v>
      </c>
      <c r="J206" s="334">
        <f>$E$206*'Pacific Crest'!J66</f>
        <v>-2330.3582225270757</v>
      </c>
      <c r="K206" s="334">
        <f>$E$206*'Pacific Crest'!K66</f>
        <v>-2382.9682469840927</v>
      </c>
      <c r="L206" s="334">
        <f>$E$206*'Pacific Crest'!L66</f>
        <v>-2417.5245649732278</v>
      </c>
      <c r="M206" s="334">
        <f>$E$206*'Pacific Crest'!M66</f>
        <v>-2465.1178077201453</v>
      </c>
      <c r="N206" s="334">
        <f>$E$206*'Pacific Crest'!N66</f>
        <v>-2526.8870500145249</v>
      </c>
      <c r="O206" s="334">
        <f>$E$206*'Pacific Crest'!O66</f>
        <v>-2588.8512455968544</v>
      </c>
      <c r="P206" s="334">
        <f>$E$206*'Pacific Crest'!P66</f>
        <v>-2636.9690698335689</v>
      </c>
      <c r="Q206" s="334">
        <f>$E$206*'Pacific Crest'!Q66</f>
        <v>-2683.6703742091595</v>
      </c>
      <c r="R206" s="334">
        <f>$E$206*'Pacific Crest'!R66</f>
        <v>-2730.1175532485622</v>
      </c>
      <c r="S206" s="334">
        <f>$E$206*'Pacific Crest'!S66</f>
        <v>-1125.5591829218477</v>
      </c>
      <c r="T206" s="334">
        <f>$E$206*'Pacific Crest'!T66</f>
        <v>0</v>
      </c>
      <c r="U206" s="334">
        <f>$E$206*'Pacific Crest'!U66</f>
        <v>0</v>
      </c>
      <c r="V206" s="334">
        <f>$E$206*'Pacific Crest'!V66</f>
        <v>0</v>
      </c>
      <c r="W206" s="334">
        <f>$E$206*'Pacific Crest'!W66</f>
        <v>0</v>
      </c>
      <c r="X206" s="334">
        <f>$E$206*'Pacific Crest'!X66</f>
        <v>0</v>
      </c>
      <c r="Y206" s="334">
        <f>$E$206*'Pacific Crest'!Y66</f>
        <v>0</v>
      </c>
    </row>
    <row r="207" spans="2:27">
      <c r="C207" s="271" t="s">
        <v>163</v>
      </c>
      <c r="E207" s="578">
        <v>0.5</v>
      </c>
      <c r="F207" s="334">
        <f>$E$207*'Sky River'!F66</f>
        <v>-4931</v>
      </c>
      <c r="G207" s="334">
        <f>$E$207*'Sky River'!G66</f>
        <v>-1822.5</v>
      </c>
      <c r="H207" s="334">
        <f>$E$207*'Sky River'!H66</f>
        <v>-1839.75</v>
      </c>
      <c r="I207" s="334">
        <f>$E$207*'Sky River'!I66</f>
        <v>-1887.75</v>
      </c>
      <c r="J207" s="334">
        <f>$E$207*'Sky River'!J66</f>
        <v>-2421.0017771880539</v>
      </c>
      <c r="K207" s="334">
        <f>$E$207*'Sky River'!K66</f>
        <v>-2536.2508758146178</v>
      </c>
      <c r="L207" s="334">
        <f>$E$207*'Sky River'!L66</f>
        <v>-2584.2088045733985</v>
      </c>
      <c r="M207" s="334">
        <f>$E$207*'Sky River'!M66</f>
        <v>-2620.0767234590621</v>
      </c>
      <c r="N207" s="334">
        <f>$E$207*'Sky River'!N66</f>
        <v>-2656.9130761546403</v>
      </c>
      <c r="O207" s="334">
        <f>$E$207*'Sky River'!O66</f>
        <v>-2694.7440103729987</v>
      </c>
      <c r="P207" s="334">
        <f>$E$207*'Sky River'!P66</f>
        <v>-2735.0353564612624</v>
      </c>
      <c r="Q207" s="334">
        <f>$E$207*'Sky River'!Q66</f>
        <v>-2776.4548602399964</v>
      </c>
      <c r="R207" s="334">
        <f>$E$207*'Sky River'!R66</f>
        <v>-2819.0341101245363</v>
      </c>
      <c r="S207" s="334">
        <f>$E$207*'Sky River'!S66</f>
        <v>-2862.8055790058424</v>
      </c>
      <c r="T207" s="334">
        <f>$E$207*'Sky River'!T66</f>
        <v>-2907.4037220702294</v>
      </c>
      <c r="U207" s="334">
        <f>$E$207*'Sky River'!U66</f>
        <v>-2952.9486369638271</v>
      </c>
      <c r="V207" s="334">
        <f>$E$207*'Sky River'!V66</f>
        <v>-2999.7688094744453</v>
      </c>
      <c r="W207" s="334">
        <f>$E$207*'Sky River'!W66</f>
        <v>-3047.8999468153611</v>
      </c>
      <c r="X207" s="334">
        <f>$E$207*'Sky River'!X66</f>
        <v>-3097.3787560018218</v>
      </c>
      <c r="Y207" s="334">
        <f>$E$207*'Sky River'!Y66</f>
        <v>-3148.2429718455041</v>
      </c>
    </row>
    <row r="208" spans="2:27">
      <c r="C208" s="271" t="s">
        <v>149</v>
      </c>
      <c r="E208" s="578">
        <v>0.5</v>
      </c>
      <c r="F208" s="334">
        <f>$E$208*Ridgetop!F66</f>
        <v>0</v>
      </c>
      <c r="G208" s="334">
        <f>$E$208*Ridgetop!G66</f>
        <v>0</v>
      </c>
      <c r="H208" s="334">
        <f>$E$208*Ridgetop!H66</f>
        <v>0</v>
      </c>
      <c r="I208" s="334">
        <f>$E$208*Ridgetop!I66</f>
        <v>0</v>
      </c>
      <c r="J208" s="334">
        <f>$E$208*Ridgetop!J66</f>
        <v>0</v>
      </c>
      <c r="K208" s="334">
        <f>$E$208*Ridgetop!K66</f>
        <v>0</v>
      </c>
      <c r="L208" s="334">
        <f>$E$208*Ridgetop!L66</f>
        <v>0</v>
      </c>
      <c r="M208" s="334">
        <f>$E$208*Ridgetop!M66</f>
        <v>0</v>
      </c>
      <c r="N208" s="334">
        <f>$E$208*Ridgetop!N66</f>
        <v>0</v>
      </c>
      <c r="O208" s="334">
        <f>$E$208*Ridgetop!O66</f>
        <v>0</v>
      </c>
      <c r="P208" s="334">
        <f>$E$208*Ridgetop!P66</f>
        <v>0</v>
      </c>
      <c r="Q208" s="334">
        <f>$E$208*Ridgetop!Q66</f>
        <v>0</v>
      </c>
      <c r="R208" s="334">
        <f>$E$208*Ridgetop!R66</f>
        <v>0</v>
      </c>
      <c r="S208" s="334">
        <f>$E$208*Ridgetop!S66</f>
        <v>0</v>
      </c>
      <c r="T208" s="334">
        <f>$E$208*Ridgetop!T66</f>
        <v>0</v>
      </c>
      <c r="U208" s="334">
        <f>$E$208*Ridgetop!U66</f>
        <v>0</v>
      </c>
      <c r="V208" s="334">
        <f>$E$208*Ridgetop!V66</f>
        <v>0</v>
      </c>
      <c r="W208" s="334">
        <f>$E$208*Ridgetop!W66</f>
        <v>0</v>
      </c>
      <c r="X208" s="334">
        <f>$E$208*Ridgetop!X66</f>
        <v>0</v>
      </c>
      <c r="Y208" s="334">
        <f>$E$208*Ridgetop!Y66</f>
        <v>0</v>
      </c>
    </row>
    <row r="209" spans="2:35">
      <c r="C209" s="271" t="s">
        <v>150</v>
      </c>
      <c r="E209" s="578">
        <v>0.5</v>
      </c>
      <c r="F209" s="334">
        <f>$E$209*'Green Ridge'!F66</f>
        <v>0</v>
      </c>
      <c r="G209" s="334">
        <f>$E$209*'Green Ridge'!G66</f>
        <v>0</v>
      </c>
      <c r="H209" s="334">
        <f>$E$209*'Green Ridge'!H66</f>
        <v>0</v>
      </c>
      <c r="I209" s="334">
        <f>$E$209*'Green Ridge'!I66</f>
        <v>0</v>
      </c>
      <c r="J209" s="334">
        <f>$E$209*'Green Ridge'!J66</f>
        <v>0</v>
      </c>
      <c r="K209" s="334">
        <f>$E$209*'Green Ridge'!K66</f>
        <v>0</v>
      </c>
      <c r="L209" s="334">
        <f>$E$209*'Green Ridge'!L66</f>
        <v>0</v>
      </c>
      <c r="M209" s="334">
        <f>$E$209*'Green Ridge'!M66</f>
        <v>0</v>
      </c>
      <c r="N209" s="334">
        <f>$E$209*'Green Ridge'!N66</f>
        <v>0</v>
      </c>
      <c r="O209" s="334">
        <f>$E$209*'Green Ridge'!O66</f>
        <v>0</v>
      </c>
      <c r="P209" s="334">
        <f>$E$209*'Green Ridge'!P66</f>
        <v>0</v>
      </c>
      <c r="Q209" s="334">
        <f>$E$209*'Green Ridge'!Q66</f>
        <v>0</v>
      </c>
      <c r="R209" s="334">
        <f>$E$209*'Green Ridge'!R66</f>
        <v>0</v>
      </c>
      <c r="S209" s="334">
        <f>$E$209*'Green Ridge'!S66</f>
        <v>0</v>
      </c>
      <c r="T209" s="334">
        <f>$E$209*'Green Ridge'!T66</f>
        <v>0</v>
      </c>
      <c r="U209" s="334">
        <f>$E$209*'Green Ridge'!U66</f>
        <v>0</v>
      </c>
      <c r="V209" s="334">
        <f>$E$209*'Green Ridge'!V66</f>
        <v>0</v>
      </c>
      <c r="W209" s="334">
        <f>$E$209*'Green Ridge'!W66</f>
        <v>0</v>
      </c>
      <c r="X209" s="334">
        <f>$E$209*'Green Ridge'!X66</f>
        <v>0</v>
      </c>
      <c r="Y209" s="334">
        <f>$E$209*'Green Ridge'!Y66</f>
        <v>0</v>
      </c>
    </row>
    <row r="210" spans="2:35">
      <c r="C210" s="271" t="s">
        <v>164</v>
      </c>
      <c r="E210" s="578">
        <v>0.5</v>
      </c>
      <c r="F210" s="334">
        <f>$E$210*'Mojave 16-18'!F66</f>
        <v>0</v>
      </c>
      <c r="G210" s="334">
        <f>$E$210*'Mojave 16-18'!G66</f>
        <v>0</v>
      </c>
      <c r="H210" s="334">
        <f>$E$210*'Mojave 16-18'!H66</f>
        <v>0</v>
      </c>
      <c r="I210" s="334">
        <f>$E$210*'Mojave 16-18'!I66</f>
        <v>0</v>
      </c>
      <c r="J210" s="334">
        <f>$E$210*'Mojave 16-18'!J66</f>
        <v>0</v>
      </c>
      <c r="K210" s="334">
        <f>$E$210*'Mojave 16-18'!K66</f>
        <v>0</v>
      </c>
      <c r="L210" s="334">
        <f>$E$210*'Mojave 16-18'!L66</f>
        <v>0</v>
      </c>
      <c r="M210" s="334">
        <f>$E$210*'Mojave 16-18'!M66</f>
        <v>0</v>
      </c>
      <c r="N210" s="334">
        <f>$E$210*'Mojave 16-18'!N66</f>
        <v>0</v>
      </c>
      <c r="O210" s="334">
        <f>$E$210*'Mojave 16-18'!O66</f>
        <v>0</v>
      </c>
      <c r="P210" s="334">
        <f>$E$210*'Mojave 16-18'!P66</f>
        <v>0</v>
      </c>
      <c r="Q210" s="334">
        <f>$E$210*'Mojave 16-18'!Q66</f>
        <v>0</v>
      </c>
      <c r="R210" s="334">
        <f>$E$210*'Mojave 16-18'!R66</f>
        <v>0</v>
      </c>
      <c r="S210" s="334">
        <f>$E$210*'Mojave 16-18'!S66</f>
        <v>0</v>
      </c>
      <c r="T210" s="334">
        <f>$E$210*'Mojave 16-18'!T66</f>
        <v>0</v>
      </c>
      <c r="U210" s="334">
        <f>$E$210*'Mojave 16-18'!U66</f>
        <v>0</v>
      </c>
      <c r="V210" s="334">
        <f>$E$210*'Mojave 16-18'!V66</f>
        <v>0</v>
      </c>
      <c r="W210" s="334">
        <f>$E$210*'Mojave 16-18'!W66</f>
        <v>0</v>
      </c>
      <c r="X210" s="334">
        <f>$E$210*'Mojave 16-18'!X66</f>
        <v>0</v>
      </c>
      <c r="Y210" s="334">
        <f>$E$210*'Mojave 16-18'!Y66</f>
        <v>0</v>
      </c>
    </row>
    <row r="211" spans="2:35">
      <c r="C211" s="271" t="s">
        <v>152</v>
      </c>
      <c r="E211" s="578">
        <v>0.5</v>
      </c>
      <c r="F211" s="334">
        <f>$E$211*Morwind!F66</f>
        <v>0</v>
      </c>
      <c r="G211" s="334">
        <f>$E$211*Morwind!G66</f>
        <v>0</v>
      </c>
      <c r="H211" s="334">
        <f>$E$211*Morwind!H66</f>
        <v>0</v>
      </c>
      <c r="I211" s="334">
        <f>$E$211*Morwind!I66</f>
        <v>0</v>
      </c>
      <c r="J211" s="334">
        <f>$E$211*Morwind!J66</f>
        <v>0</v>
      </c>
      <c r="K211" s="334">
        <f>$E$211*Morwind!K66</f>
        <v>0</v>
      </c>
      <c r="L211" s="334">
        <f>$E$211*Morwind!L66</f>
        <v>0</v>
      </c>
      <c r="M211" s="334">
        <f>$E$211*Morwind!M66</f>
        <v>0</v>
      </c>
      <c r="N211" s="334">
        <f>$E$211*Morwind!N66</f>
        <v>0</v>
      </c>
      <c r="O211" s="334">
        <f>$E$211*Morwind!O66</f>
        <v>0</v>
      </c>
      <c r="P211" s="334">
        <f>$E$211*Morwind!P66</f>
        <v>0</v>
      </c>
      <c r="Q211" s="334">
        <f>$E$211*Morwind!Q66</f>
        <v>0</v>
      </c>
      <c r="R211" s="334">
        <f>$E$211*Morwind!R66</f>
        <v>0</v>
      </c>
      <c r="S211" s="334">
        <f>$E$211*Morwind!S66</f>
        <v>0</v>
      </c>
      <c r="T211" s="334">
        <f>$E$211*Morwind!T66</f>
        <v>0</v>
      </c>
      <c r="U211" s="334">
        <f>$E$211*Morwind!U66</f>
        <v>0</v>
      </c>
      <c r="V211" s="334">
        <f>$E$211*Morwind!V66</f>
        <v>0</v>
      </c>
      <c r="W211" s="334">
        <f>$E$211*Morwind!W66</f>
        <v>0</v>
      </c>
      <c r="X211" s="334">
        <f>$E$211*Morwind!X66</f>
        <v>0</v>
      </c>
      <c r="Y211" s="334">
        <f>$E$211*Morwind!Y66</f>
        <v>0</v>
      </c>
    </row>
    <row r="212" spans="2:35">
      <c r="C212" s="271" t="s">
        <v>153</v>
      </c>
      <c r="E212" s="578">
        <v>0.5</v>
      </c>
      <c r="F212" s="334">
        <f>$E$212*VG!F66</f>
        <v>0</v>
      </c>
      <c r="G212" s="334">
        <f>$E$212*VG!G66</f>
        <v>0</v>
      </c>
      <c r="H212" s="334">
        <f>$E$212*VG!H66</f>
        <v>0</v>
      </c>
      <c r="I212" s="334">
        <f>$E$212*VG!I66</f>
        <v>0</v>
      </c>
      <c r="J212" s="334">
        <f>$E$212*VG!J66</f>
        <v>0</v>
      </c>
      <c r="K212" s="334">
        <f>$E$212*VG!K66</f>
        <v>0</v>
      </c>
      <c r="L212" s="334">
        <f>$E$212*VG!L66</f>
        <v>0</v>
      </c>
      <c r="M212" s="334">
        <f>$E$212*VG!M66</f>
        <v>0</v>
      </c>
      <c r="N212" s="334">
        <f>$E$212*VG!N66</f>
        <v>0</v>
      </c>
      <c r="O212" s="334">
        <f>$E$212*VG!O66</f>
        <v>0</v>
      </c>
      <c r="P212" s="334">
        <f>$E$212*VG!P66</f>
        <v>0</v>
      </c>
      <c r="Q212" s="334">
        <f>$E$212*VG!Q66</f>
        <v>0</v>
      </c>
      <c r="R212" s="334">
        <f>$E$212*VG!R66</f>
        <v>0</v>
      </c>
      <c r="S212" s="334">
        <f>$E$212*VG!S66</f>
        <v>0</v>
      </c>
      <c r="T212" s="334">
        <f>$E$212*VG!T66</f>
        <v>0</v>
      </c>
      <c r="U212" s="334">
        <f>$E$212*VG!U66</f>
        <v>0</v>
      </c>
      <c r="V212" s="334">
        <f>$E$212*VG!V66</f>
        <v>0</v>
      </c>
      <c r="W212" s="334">
        <f>$E$212*VG!W66</f>
        <v>0</v>
      </c>
      <c r="X212" s="334">
        <f>$E$212*VG!X66</f>
        <v>0</v>
      </c>
      <c r="Y212" s="334">
        <f>$E$212*VG!Y66</f>
        <v>0</v>
      </c>
    </row>
    <row r="213" spans="2:35">
      <c r="C213" s="271" t="s">
        <v>154</v>
      </c>
      <c r="E213" s="578">
        <v>0.5</v>
      </c>
      <c r="F213" s="334">
        <f>E213*'WPP 92'!F66</f>
        <v>0</v>
      </c>
      <c r="G213" s="334">
        <f>F213*'WPP 92'!G66</f>
        <v>0</v>
      </c>
      <c r="H213" s="334">
        <f>G213*'WPP 92'!H66</f>
        <v>0</v>
      </c>
      <c r="I213" s="334">
        <f>H213*'WPP 92'!I66</f>
        <v>0</v>
      </c>
      <c r="J213" s="334">
        <f>I213*'WPP 92'!J66</f>
        <v>0</v>
      </c>
      <c r="K213" s="334">
        <f>J213*'WPP 92'!K66</f>
        <v>0</v>
      </c>
      <c r="L213" s="334">
        <f>K213*'WPP 92'!L66</f>
        <v>0</v>
      </c>
      <c r="M213" s="334">
        <f>L213*'WPP 92'!M66</f>
        <v>0</v>
      </c>
      <c r="N213" s="334">
        <f>M213*'WPP 92'!N66</f>
        <v>0</v>
      </c>
      <c r="O213" s="334">
        <f>N213*'WPP 92'!O66</f>
        <v>0</v>
      </c>
      <c r="P213" s="334">
        <f>O213*'WPP 92'!P66</f>
        <v>0</v>
      </c>
      <c r="Q213" s="334">
        <f>P213*'WPP 92'!Q66</f>
        <v>0</v>
      </c>
      <c r="R213" s="334">
        <f>Q213*'WPP 92'!R66</f>
        <v>0</v>
      </c>
      <c r="S213" s="334">
        <f>R213*'WPP 92'!S66</f>
        <v>0</v>
      </c>
      <c r="T213" s="334">
        <f>S213*'WPP 92'!T66</f>
        <v>0</v>
      </c>
      <c r="U213" s="334">
        <f>T213*'WPP 92'!U66</f>
        <v>0</v>
      </c>
      <c r="V213" s="334">
        <f>U213*'WPP 92'!V66</f>
        <v>0</v>
      </c>
      <c r="W213" s="334">
        <f>V213*'WPP 92'!W66</f>
        <v>0</v>
      </c>
      <c r="X213" s="334">
        <f>W213*'WPP 92'!X66</f>
        <v>0</v>
      </c>
      <c r="Y213" s="334">
        <f>X213*'WPP 92'!Y66</f>
        <v>0</v>
      </c>
    </row>
    <row r="214" spans="2:35">
      <c r="C214" s="271" t="s">
        <v>155</v>
      </c>
      <c r="E214" s="578">
        <v>0.5</v>
      </c>
      <c r="F214" s="334">
        <f>$E$214*'WPP 91-2'!F66</f>
        <v>0</v>
      </c>
      <c r="G214" s="334">
        <f>$E$214*'WPP 91-2'!G66</f>
        <v>0</v>
      </c>
      <c r="H214" s="334">
        <f>$E$214*'WPP 91-2'!H66</f>
        <v>0</v>
      </c>
      <c r="I214" s="334">
        <f>$E$214*'WPP 91-2'!I66</f>
        <v>0</v>
      </c>
      <c r="J214" s="334">
        <f>$E$214*'WPP 91-2'!J66</f>
        <v>0</v>
      </c>
      <c r="K214" s="334">
        <f>$E$214*'WPP 91-2'!K66</f>
        <v>0</v>
      </c>
      <c r="L214" s="334">
        <f>$E$214*'WPP 91-2'!L66</f>
        <v>0</v>
      </c>
      <c r="M214" s="334">
        <f>$E$214*'WPP 91-2'!M66</f>
        <v>0</v>
      </c>
      <c r="N214" s="334">
        <f>$E$214*'WPP 91-2'!N66</f>
        <v>0</v>
      </c>
      <c r="O214" s="334">
        <f>$E$214*'WPP 91-2'!O66</f>
        <v>0</v>
      </c>
      <c r="P214" s="334">
        <f>$E$214*'WPP 91-2'!P66</f>
        <v>0</v>
      </c>
      <c r="Q214" s="334">
        <f>$E$214*'WPP 91-2'!Q66</f>
        <v>0</v>
      </c>
      <c r="R214" s="334">
        <f>$E$214*'WPP 91-2'!R66</f>
        <v>0</v>
      </c>
      <c r="S214" s="334">
        <f>$E$214*'WPP 91-2'!S66</f>
        <v>0</v>
      </c>
      <c r="T214" s="334">
        <f>$E$214*'WPP 91-2'!T66</f>
        <v>0</v>
      </c>
      <c r="U214" s="334">
        <f>$E$214*'WPP 91-2'!U66</f>
        <v>0</v>
      </c>
      <c r="V214" s="334">
        <f>$E$214*'WPP 91-2'!V66</f>
        <v>0</v>
      </c>
      <c r="W214" s="334">
        <f>$E$214*'WPP 91-2'!W66</f>
        <v>0</v>
      </c>
      <c r="X214" s="334">
        <f>$E$214*'WPP 91-2'!X66</f>
        <v>0</v>
      </c>
      <c r="Y214" s="334">
        <f>$E$214*'WPP 91-2'!Y66</f>
        <v>0</v>
      </c>
    </row>
    <row r="215" spans="2:35">
      <c r="C215" s="271" t="s">
        <v>156</v>
      </c>
      <c r="E215" s="578">
        <v>0</v>
      </c>
      <c r="F215" s="283">
        <v>0</v>
      </c>
      <c r="G215" s="283">
        <v>0</v>
      </c>
      <c r="H215" s="283">
        <v>0</v>
      </c>
      <c r="I215" s="283">
        <v>0</v>
      </c>
      <c r="J215" s="283">
        <v>0</v>
      </c>
      <c r="K215" s="283">
        <v>0</v>
      </c>
      <c r="L215" s="283">
        <v>0</v>
      </c>
      <c r="M215" s="283">
        <v>0</v>
      </c>
      <c r="N215" s="283">
        <v>0</v>
      </c>
      <c r="O215" s="283">
        <v>0</v>
      </c>
      <c r="P215" s="283">
        <v>0</v>
      </c>
      <c r="Q215" s="283">
        <v>0</v>
      </c>
      <c r="R215" s="283">
        <v>0</v>
      </c>
      <c r="S215" s="283">
        <v>0</v>
      </c>
      <c r="T215" s="283">
        <v>0</v>
      </c>
      <c r="U215" s="283">
        <v>0</v>
      </c>
      <c r="V215" s="283">
        <v>0</v>
      </c>
      <c r="W215" s="283">
        <v>0</v>
      </c>
      <c r="X215" s="283">
        <v>0</v>
      </c>
      <c r="Y215" s="283">
        <v>0</v>
      </c>
    </row>
    <row r="216" spans="2:35">
      <c r="C216" s="271" t="s">
        <v>157</v>
      </c>
      <c r="E216" s="578">
        <v>0.5</v>
      </c>
      <c r="F216" s="334">
        <f>$E$216*'WPP 89'!F66</f>
        <v>0</v>
      </c>
      <c r="G216" s="334">
        <f>$E$216*'WPP 89'!G66</f>
        <v>0</v>
      </c>
      <c r="H216" s="334">
        <f>$E$216*'WPP 89'!H66</f>
        <v>0</v>
      </c>
      <c r="I216" s="334">
        <f>$E$216*'WPP 89'!I66</f>
        <v>0</v>
      </c>
      <c r="J216" s="334">
        <f>$E$216*'WPP 89'!J66</f>
        <v>0</v>
      </c>
      <c r="K216" s="334">
        <f>$E$216*'WPP 89'!K66</f>
        <v>0</v>
      </c>
      <c r="L216" s="334">
        <f>$E$216*'WPP 89'!L66</f>
        <v>0</v>
      </c>
      <c r="M216" s="334">
        <f>$E$216*'WPP 89'!M66</f>
        <v>0</v>
      </c>
      <c r="N216" s="334">
        <f>$E$216*'WPP 89'!N66</f>
        <v>0</v>
      </c>
      <c r="O216" s="334">
        <f>$E$216*'WPP 89'!O66</f>
        <v>0</v>
      </c>
      <c r="P216" s="334">
        <f>$E$216*'WPP 89'!P66</f>
        <v>0</v>
      </c>
      <c r="Q216" s="334">
        <f>$E$216*'WPP 89'!Q66</f>
        <v>0</v>
      </c>
      <c r="R216" s="334">
        <f>$E$216*'WPP 89'!R66</f>
        <v>0</v>
      </c>
      <c r="S216" s="334">
        <f>$E$216*'WPP 89'!S66</f>
        <v>0</v>
      </c>
      <c r="T216" s="334">
        <f>$E$216*'WPP 89'!T66</f>
        <v>0</v>
      </c>
      <c r="U216" s="334">
        <f>$E$216*'WPP 89'!U66</f>
        <v>0</v>
      </c>
      <c r="V216" s="334">
        <f>$E$216*'WPP 89'!V66</f>
        <v>0</v>
      </c>
      <c r="W216" s="334">
        <f>$E$216*'WPP 89'!W66</f>
        <v>0</v>
      </c>
      <c r="X216" s="334">
        <f>$E$216*'WPP 89'!X66</f>
        <v>0</v>
      </c>
      <c r="Y216" s="334">
        <f>$E$216*'WPP 89'!Y66</f>
        <v>0</v>
      </c>
    </row>
    <row r="217" spans="2:35">
      <c r="C217" s="271" t="s">
        <v>158</v>
      </c>
      <c r="E217" s="578">
        <v>0.5</v>
      </c>
      <c r="F217" s="334">
        <f>$E$217*'WPP 91'!F66</f>
        <v>0</v>
      </c>
      <c r="G217" s="334">
        <f>$E$217*'WPP 91'!G66</f>
        <v>0</v>
      </c>
      <c r="H217" s="334">
        <f>$E$217*'WPP 91'!H66</f>
        <v>0</v>
      </c>
      <c r="I217" s="334">
        <f>$E$217*'WPP 91'!I66</f>
        <v>0</v>
      </c>
      <c r="J217" s="334">
        <f>$E$217*'WPP 91'!J66</f>
        <v>0</v>
      </c>
      <c r="K217" s="334">
        <f>$E$217*'WPP 91'!K66</f>
        <v>0</v>
      </c>
      <c r="L217" s="334">
        <f>$E$217*'WPP 91'!L66</f>
        <v>0</v>
      </c>
      <c r="M217" s="334">
        <f>$E$217*'WPP 91'!M66</f>
        <v>0</v>
      </c>
      <c r="N217" s="334">
        <f>$E$217*'WPP 91'!N66</f>
        <v>0</v>
      </c>
      <c r="O217" s="334">
        <f>$E$217*'WPP 91'!O66</f>
        <v>0</v>
      </c>
      <c r="P217" s="334">
        <f>$E$217*'WPP 91'!P66</f>
        <v>0</v>
      </c>
      <c r="Q217" s="334">
        <f>$E$217*'WPP 91'!Q66</f>
        <v>0</v>
      </c>
      <c r="R217" s="334">
        <f>$E$217*'WPP 91'!R66</f>
        <v>0</v>
      </c>
      <c r="S217" s="334">
        <f>$E$217*'WPP 91'!S66</f>
        <v>0</v>
      </c>
      <c r="T217" s="334">
        <f>$E$217*'WPP 91'!T66</f>
        <v>0</v>
      </c>
      <c r="U217" s="334">
        <f>$E$217*'WPP 91'!U66</f>
        <v>0</v>
      </c>
      <c r="V217" s="334">
        <f>$E$217*'WPP 91'!V66</f>
        <v>0</v>
      </c>
      <c r="W217" s="334">
        <f>$E$217*'WPP 91'!W66</f>
        <v>0</v>
      </c>
      <c r="X217" s="334">
        <f>$E$217*'WPP 91'!X66</f>
        <v>0</v>
      </c>
      <c r="Y217" s="334">
        <f>$E$217*'WPP 91'!Y66</f>
        <v>0</v>
      </c>
    </row>
    <row r="218" spans="2:35">
      <c r="C218" s="271" t="s">
        <v>159</v>
      </c>
      <c r="E218" s="578">
        <v>0.5</v>
      </c>
      <c r="F218" s="334">
        <f>$E$218*'WPP 90'!F66</f>
        <v>0</v>
      </c>
      <c r="G218" s="334">
        <f>$E$218*'WPP 90'!G66</f>
        <v>0</v>
      </c>
      <c r="H218" s="334">
        <f>$E$218*'WPP 90'!H66</f>
        <v>0</v>
      </c>
      <c r="I218" s="334">
        <f>$E$218*'WPP 90'!I66</f>
        <v>0</v>
      </c>
      <c r="J218" s="334">
        <f>$E$218*'WPP 90'!J66</f>
        <v>0</v>
      </c>
      <c r="K218" s="334">
        <f>$E$218*'WPP 90'!K66</f>
        <v>0</v>
      </c>
      <c r="L218" s="334">
        <f>$E$218*'WPP 90'!L66</f>
        <v>0</v>
      </c>
      <c r="M218" s="334">
        <f>$E$218*'WPP 90'!M66</f>
        <v>0</v>
      </c>
      <c r="N218" s="334">
        <f>$E$218*'WPP 90'!N66</f>
        <v>0</v>
      </c>
      <c r="O218" s="334">
        <f>$E$218*'WPP 90'!O66</f>
        <v>0</v>
      </c>
      <c r="P218" s="334">
        <f>$E$218*'WPP 90'!P66</f>
        <v>0</v>
      </c>
      <c r="Q218" s="334">
        <f>$E$218*'WPP 90'!Q66</f>
        <v>0</v>
      </c>
      <c r="R218" s="334">
        <f>$E$218*'WPP 90'!R66</f>
        <v>0</v>
      </c>
      <c r="S218" s="334">
        <f>$E$218*'WPP 90'!S66</f>
        <v>0</v>
      </c>
      <c r="T218" s="334">
        <f>$E$218*'WPP 90'!T66</f>
        <v>0</v>
      </c>
      <c r="U218" s="334">
        <f>$E$218*'WPP 90'!U66</f>
        <v>0</v>
      </c>
      <c r="V218" s="334">
        <f>$E$218*'WPP 90'!V66</f>
        <v>0</v>
      </c>
      <c r="W218" s="334">
        <f>$E$218*'WPP 90'!W66</f>
        <v>0</v>
      </c>
      <c r="X218" s="334">
        <f>$E$218*'WPP 90'!X66</f>
        <v>0</v>
      </c>
      <c r="Y218" s="334">
        <f>$E$218*'WPP 90'!Y66</f>
        <v>0</v>
      </c>
    </row>
    <row r="219" spans="2:35">
      <c r="C219" s="271" t="s">
        <v>160</v>
      </c>
      <c r="E219" s="578">
        <v>0</v>
      </c>
      <c r="F219" s="600">
        <v>0</v>
      </c>
      <c r="G219" s="600">
        <v>0</v>
      </c>
      <c r="H219" s="600">
        <v>0</v>
      </c>
      <c r="I219" s="600">
        <v>0</v>
      </c>
      <c r="J219" s="600">
        <v>0</v>
      </c>
      <c r="K219" s="600">
        <v>0</v>
      </c>
      <c r="L219" s="600">
        <v>0</v>
      </c>
      <c r="M219" s="600">
        <v>0</v>
      </c>
      <c r="N219" s="600">
        <v>0</v>
      </c>
      <c r="O219" s="600">
        <v>0</v>
      </c>
      <c r="P219" s="600">
        <v>0</v>
      </c>
      <c r="Q219" s="600">
        <v>0</v>
      </c>
      <c r="R219" s="600">
        <v>0</v>
      </c>
      <c r="S219" s="600">
        <v>0</v>
      </c>
      <c r="T219" s="600">
        <v>0</v>
      </c>
      <c r="U219" s="600">
        <v>0</v>
      </c>
      <c r="V219" s="600">
        <v>0</v>
      </c>
      <c r="W219" s="600">
        <v>0</v>
      </c>
      <c r="X219" s="600">
        <v>0</v>
      </c>
      <c r="Y219" s="600">
        <v>0</v>
      </c>
    </row>
    <row r="220" spans="2:35">
      <c r="C220" s="562" t="s">
        <v>255</v>
      </c>
      <c r="F220" s="584">
        <f>SUM(F202:F219)</f>
        <v>-15023.364944198722</v>
      </c>
      <c r="G220" s="584">
        <f t="shared" ref="G220:Y220" si="25">SUM(G202:G219)</f>
        <v>-11717.821037378151</v>
      </c>
      <c r="H220" s="584">
        <f t="shared" si="25"/>
        <v>-11803.682237154811</v>
      </c>
      <c r="I220" s="584">
        <f t="shared" si="25"/>
        <v>-11694.618328276025</v>
      </c>
      <c r="J220" s="584">
        <f t="shared" si="25"/>
        <v>-12509.653516282293</v>
      </c>
      <c r="K220" s="584">
        <f t="shared" si="25"/>
        <v>-12736.410068652096</v>
      </c>
      <c r="L220" s="584">
        <f t="shared" si="25"/>
        <v>-12862.033652157646</v>
      </c>
      <c r="M220" s="584">
        <f t="shared" si="25"/>
        <v>-13053.555202903468</v>
      </c>
      <c r="N220" s="584">
        <f t="shared" si="25"/>
        <v>-12170.465940751514</v>
      </c>
      <c r="O220" s="584">
        <f t="shared" si="25"/>
        <v>-11754.816453552536</v>
      </c>
      <c r="P220" s="584">
        <f t="shared" si="25"/>
        <v>-11878.936060863834</v>
      </c>
      <c r="Q220" s="584">
        <f t="shared" si="25"/>
        <v>-12037.330621480542</v>
      </c>
      <c r="R220" s="584">
        <f t="shared" si="25"/>
        <v>-12138.051709042156</v>
      </c>
      <c r="S220" s="584">
        <f t="shared" si="25"/>
        <v>-10666.00222712868</v>
      </c>
      <c r="T220" s="584">
        <f t="shared" si="25"/>
        <v>-9358.9964264357295</v>
      </c>
      <c r="U220" s="584">
        <f t="shared" si="25"/>
        <v>-4232.9567619638274</v>
      </c>
      <c r="V220" s="584">
        <f t="shared" si="25"/>
        <v>-2999.7688094744453</v>
      </c>
      <c r="W220" s="584">
        <f t="shared" si="25"/>
        <v>-3047.8999468153611</v>
      </c>
      <c r="X220" s="584">
        <f t="shared" si="25"/>
        <v>-3097.3787560018218</v>
      </c>
      <c r="Y220" s="584">
        <f t="shared" si="25"/>
        <v>-3148.2429718455041</v>
      </c>
    </row>
    <row r="223" spans="2:35" ht="15.75">
      <c r="B223" s="737" t="s">
        <v>76</v>
      </c>
      <c r="C223" s="619"/>
    </row>
    <row r="224" spans="2:35">
      <c r="C224" s="271" t="s">
        <v>142</v>
      </c>
      <c r="E224" s="578">
        <v>1</v>
      </c>
      <c r="F224" s="334">
        <f>$E$224*'Cerro Gordo'!F124</f>
        <v>-4901.4969404901813</v>
      </c>
      <c r="G224" s="334">
        <f>$E$224*'Cerro Gordo'!G124</f>
        <v>-10323.84350478429</v>
      </c>
      <c r="H224" s="334">
        <f>$E$224*'Cerro Gordo'!H124</f>
        <v>-4644.4409028705732</v>
      </c>
      <c r="I224" s="334">
        <f>$E$224*'Cerro Gordo'!I124</f>
        <v>-1220.1541417223443</v>
      </c>
      <c r="J224" s="334">
        <f>$E$224*'Cerro Gordo'!J124</f>
        <v>-1311.1217371702651</v>
      </c>
      <c r="K224" s="334">
        <f>$E$224*'Cerro Gordo'!K124</f>
        <v>1252.8641759314551</v>
      </c>
      <c r="L224" s="334">
        <f>$E$224*'Cerro Gordo'!L124</f>
        <v>3818.1175678354139</v>
      </c>
      <c r="M224" s="334">
        <f>$E$224*'Cerro Gordo'!M124</f>
        <v>3833.7213309979297</v>
      </c>
      <c r="N224" s="334">
        <f>$E$224*'Cerro Gordo'!N124</f>
        <v>3849.0359092847621</v>
      </c>
      <c r="O224" s="334">
        <f>$E$224*'Cerro Gordo'!O124</f>
        <v>3866.9442656274396</v>
      </c>
      <c r="P224" s="334">
        <f>$E$224*'Cerro Gordo'!P124</f>
        <v>3886.2822654984043</v>
      </c>
      <c r="Q224" s="334">
        <f>$E$224*'Cerro Gordo'!Q124</f>
        <v>3906.3673960269812</v>
      </c>
      <c r="R224" s="334">
        <f>$E$224*'Cerro Gordo'!R124</f>
        <v>3927.191474436363</v>
      </c>
      <c r="S224" s="334">
        <f>$E$224*'Cerro Gordo'!S124</f>
        <v>3949.2279332516873</v>
      </c>
      <c r="T224" s="334">
        <f>$E$224*'Cerro Gordo'!T124</f>
        <v>3971.6974127799995</v>
      </c>
      <c r="U224" s="334">
        <f>$E$224*'Cerro Gordo'!U124</f>
        <v>3993.5313156866359</v>
      </c>
      <c r="V224" s="334">
        <f>$E$224*'Cerro Gordo'!V124</f>
        <v>4015.5879867942854</v>
      </c>
      <c r="W224" s="334">
        <f>$E$224*'Cerro Gordo'!W124</f>
        <v>2908.3758037436392</v>
      </c>
      <c r="X224" s="334">
        <f>$E$224*'Cerro Gordo'!X124</f>
        <v>1330.3810304805429</v>
      </c>
      <c r="Y224" s="334">
        <f>$E$224*'Cerro Gordo'!Y124</f>
        <v>1305.9330910995775</v>
      </c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</row>
    <row r="225" spans="3:35">
      <c r="C225" s="271" t="s">
        <v>143</v>
      </c>
      <c r="E225" s="578">
        <v>1</v>
      </c>
      <c r="F225" s="334">
        <f>$E$225*'Southwest Mesa'!F124</f>
        <v>-15627.547312297196</v>
      </c>
      <c r="G225" s="334">
        <f>$E$225*'Southwest Mesa'!G124</f>
        <v>-26334.790471567077</v>
      </c>
      <c r="H225" s="334">
        <f>$E$225*'Southwest Mesa'!H124</f>
        <v>-14640.504140621884</v>
      </c>
      <c r="I225" s="334">
        <f>$E$225*'Southwest Mesa'!I124</f>
        <v>-7847.7769445718423</v>
      </c>
      <c r="J225" s="334">
        <f>$E$225*'Southwest Mesa'!J124</f>
        <v>-7611.3212957106698</v>
      </c>
      <c r="K225" s="334">
        <f>$E$225*'Southwest Mesa'!K124</f>
        <v>-2169.7361479020283</v>
      </c>
      <c r="L225" s="334">
        <f>$E$225*'Southwest Mesa'!L124</f>
        <v>3292.9668106473473</v>
      </c>
      <c r="M225" s="334">
        <f>$E$225*'Southwest Mesa'!M124</f>
        <v>3606.1365355252233</v>
      </c>
      <c r="N225" s="334">
        <f>$E$225*'Southwest Mesa'!N124</f>
        <v>3822.3843218559723</v>
      </c>
      <c r="O225" s="334">
        <f>$E$225*'Southwest Mesa'!O124</f>
        <v>4082.9451823776803</v>
      </c>
      <c r="P225" s="334">
        <f>$E$225*'Southwest Mesa'!P124</f>
        <v>4281.3493288034133</v>
      </c>
      <c r="Q225" s="334">
        <f>$E$225*'Southwest Mesa'!Q124</f>
        <v>4455.0832099310992</v>
      </c>
      <c r="R225" s="334">
        <f>$E$225*'Southwest Mesa'!R124</f>
        <v>4649.2189854955504</v>
      </c>
      <c r="S225" s="334">
        <f>$E$225*'Southwest Mesa'!S124</f>
        <v>4905.0071788487276</v>
      </c>
      <c r="T225" s="334">
        <f>$E$225*'Southwest Mesa'!T124</f>
        <v>5126.2740744757166</v>
      </c>
      <c r="U225" s="334">
        <f>$E$225*'Southwest Mesa'!U124</f>
        <v>5341.6897205951182</v>
      </c>
      <c r="V225" s="334">
        <f>$E$225*'Southwest Mesa'!V124</f>
        <v>5357.8579241347988</v>
      </c>
      <c r="W225" s="334">
        <f>$E$225*'Southwest Mesa'!W124</f>
        <v>5326.2101473278472</v>
      </c>
      <c r="X225" s="334">
        <f>$E$225*'Southwest Mesa'!X124</f>
        <v>2496.9596410466374</v>
      </c>
      <c r="Y225" s="334">
        <f>$E$225*'Southwest Mesa'!Y124</f>
        <v>0</v>
      </c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</row>
    <row r="226" spans="3:35">
      <c r="C226" s="271" t="s">
        <v>144</v>
      </c>
      <c r="E226" s="578">
        <v>1</v>
      </c>
      <c r="F226" s="334">
        <f>$E$226*Vansycle!F124</f>
        <v>-5409.3118544461577</v>
      </c>
      <c r="G226" s="334">
        <f>$E$226*Vansycle!G124</f>
        <v>-10273.334368813792</v>
      </c>
      <c r="H226" s="334">
        <f>$E$226*Vansycle!H124</f>
        <v>-5083.3358824923353</v>
      </c>
      <c r="I226" s="334">
        <f>$E$226*Vansycle!I124</f>
        <v>-1918.7934903818141</v>
      </c>
      <c r="J226" s="334">
        <f>$E$226*Vansycle!J124</f>
        <v>-1793.8859847158355</v>
      </c>
      <c r="K226" s="334">
        <f>$E$226*Vansycle!K124</f>
        <v>614.82479373782508</v>
      </c>
      <c r="L226" s="334">
        <f>$E$226*Vansycle!L124</f>
        <v>3022.9593110114597</v>
      </c>
      <c r="M226" s="334">
        <f>$E$226*Vansycle!M124</f>
        <v>3078.8883976717302</v>
      </c>
      <c r="N226" s="334">
        <f>$E$226*Vansycle!N124</f>
        <v>3176.7544504961998</v>
      </c>
      <c r="O226" s="334">
        <f>$E$226*Vansycle!O124</f>
        <v>3277.2597368062861</v>
      </c>
      <c r="P226" s="334">
        <f>$E$226*Vansycle!P124</f>
        <v>3384.3886780078856</v>
      </c>
      <c r="Q226" s="334">
        <f>$E$226*Vansycle!Q124</f>
        <v>3494.4421624765314</v>
      </c>
      <c r="R226" s="334">
        <f>$E$226*Vansycle!R124</f>
        <v>3560.3665825227845</v>
      </c>
      <c r="S226" s="334">
        <f>$E$226*Vansycle!S124</f>
        <v>3675.1696241991467</v>
      </c>
      <c r="T226" s="334">
        <f>$E$226*Vansycle!T124</f>
        <v>3793.1831795514117</v>
      </c>
      <c r="U226" s="334">
        <f>$E$226*Vansycle!U124</f>
        <v>3914.4970707528519</v>
      </c>
      <c r="V226" s="334">
        <f>$E$226*Vansycle!V124</f>
        <v>4039.2036296398355</v>
      </c>
      <c r="W226" s="334">
        <f>$E$226*Vansycle!W124</f>
        <v>4167.3977801327628</v>
      </c>
      <c r="X226" s="334">
        <f>$E$226*Vansycle!X124</f>
        <v>4299.1770985768717</v>
      </c>
      <c r="Y226" s="334">
        <f>$E$226*Vansycle!Y124</f>
        <v>4434.6418920692486</v>
      </c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</row>
    <row r="227" spans="3:35">
      <c r="C227" s="271" t="s">
        <v>146</v>
      </c>
      <c r="E227" s="578">
        <v>0.5</v>
      </c>
      <c r="F227" s="334">
        <f>$E$227*Cameron!F124</f>
        <v>-8301.6672815123366</v>
      </c>
      <c r="G227" s="334">
        <f>$E$227*Cameron!G124</f>
        <v>-14439.398302988251</v>
      </c>
      <c r="H227" s="334">
        <f>$E$227*Cameron!H124</f>
        <v>-7741.2897723174774</v>
      </c>
      <c r="I227" s="334">
        <f>$E$227*Cameron!I124</f>
        <v>-3656.2577383038065</v>
      </c>
      <c r="J227" s="334">
        <f>$E$227*Cameron!J124</f>
        <v>-3465.3158064074769</v>
      </c>
      <c r="K227" s="334">
        <f>$E$227*Cameron!K124</f>
        <v>-377.68370038678336</v>
      </c>
      <c r="L227" s="334">
        <f>$E$227*Cameron!L124</f>
        <v>2699.2875475166948</v>
      </c>
      <c r="M227" s="334">
        <f>$E$227*Cameron!M124</f>
        <v>2821.3858216807912</v>
      </c>
      <c r="N227" s="334">
        <f>$E$227*Cameron!N124</f>
        <v>2940.9988629980953</v>
      </c>
      <c r="O227" s="334">
        <f>$E$227*Cameron!O124</f>
        <v>3058.4888531941679</v>
      </c>
      <c r="P227" s="334">
        <f>$E$227*Cameron!P124</f>
        <v>3210.73078174291</v>
      </c>
      <c r="Q227" s="334">
        <f>$E$227*Cameron!Q124</f>
        <v>3445.9456568313881</v>
      </c>
      <c r="R227" s="334">
        <f>$E$227*Cameron!R124</f>
        <v>3647.8295270423832</v>
      </c>
      <c r="S227" s="334">
        <f>$E$227*Cameron!S124</f>
        <v>3635.570020031716</v>
      </c>
      <c r="T227" s="334">
        <f>$E$227*Cameron!T124</f>
        <v>3839.5298032308219</v>
      </c>
      <c r="U227" s="334">
        <f>$E$227*Cameron!U124</f>
        <v>2482.7102114910094</v>
      </c>
      <c r="V227" s="334">
        <f>$E$227*Cameron!V124</f>
        <v>2482.907905954723</v>
      </c>
      <c r="W227" s="334">
        <f>$E$227*Cameron!W124</f>
        <v>2515.1136916871301</v>
      </c>
      <c r="X227" s="334">
        <f>$E$227*Cameron!X124</f>
        <v>2571.2695227917484</v>
      </c>
      <c r="Y227" s="334">
        <f>$E$227*Cameron!Y124</f>
        <v>2648.3057217724372</v>
      </c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</row>
    <row r="228" spans="3:35">
      <c r="C228" s="271" t="s">
        <v>162</v>
      </c>
      <c r="E228" s="578">
        <v>0.5</v>
      </c>
      <c r="F228" s="334">
        <f>$E$228*'Pacific Crest'!F124</f>
        <v>-7287.5114919068519</v>
      </c>
      <c r="G228" s="334">
        <f>$E$228*'Pacific Crest'!G124</f>
        <v>-12539.28565428722</v>
      </c>
      <c r="H228" s="334">
        <f>$E$228*'Pacific Crest'!H124</f>
        <v>-6839.7146959234124</v>
      </c>
      <c r="I228" s="334">
        <f>$E$228*'Pacific Crest'!I124</f>
        <v>-3396.4924075449435</v>
      </c>
      <c r="J228" s="334">
        <f>$E$228*'Pacific Crest'!J124</f>
        <v>-2979.083385712865</v>
      </c>
      <c r="K228" s="334">
        <f>$E$228*'Pacific Crest'!K124</f>
        <v>-254.49706386734647</v>
      </c>
      <c r="L228" s="334">
        <f>$E$228*'Pacific Crest'!L124</f>
        <v>2473.1839341532323</v>
      </c>
      <c r="M228" s="334">
        <f>$E$228*'Pacific Crest'!M124</f>
        <v>2674.3860820930495</v>
      </c>
      <c r="N228" s="334">
        <f>$E$228*'Pacific Crest'!N124</f>
        <v>2889.3720077388134</v>
      </c>
      <c r="O228" s="334">
        <f>$E$228*'Pacific Crest'!O124</f>
        <v>3119.1258439059379</v>
      </c>
      <c r="P228" s="334">
        <f>$E$228*'Pacific Crest'!P124</f>
        <v>3341.8133150309945</v>
      </c>
      <c r="Q228" s="334">
        <f>$E$228*'Pacific Crest'!Q124</f>
        <v>3580.648686781105</v>
      </c>
      <c r="R228" s="334">
        <f>$E$228*'Pacific Crest'!R124</f>
        <v>3837.3767898045226</v>
      </c>
      <c r="S228" s="334">
        <f>$E$228*'Pacific Crest'!S124</f>
        <v>4096.6654958780364</v>
      </c>
      <c r="T228" s="334">
        <f>$E$228*'Pacific Crest'!T124</f>
        <v>3139.4930271010439</v>
      </c>
      <c r="U228" s="334">
        <f>$E$228*'Pacific Crest'!U124</f>
        <v>3359.9756936844269</v>
      </c>
      <c r="V228" s="334">
        <f>$E$228*'Pacific Crest'!V124</f>
        <v>3672.5777443163825</v>
      </c>
      <c r="W228" s="334">
        <f>$E$228*'Pacific Crest'!W124</f>
        <v>3799.4113643070355</v>
      </c>
      <c r="X228" s="334">
        <f>$E$228*'Pacific Crest'!X124</f>
        <v>2058.1300983218516</v>
      </c>
      <c r="Y228" s="334">
        <f>$E$228*'Pacific Crest'!Y124</f>
        <v>0</v>
      </c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</row>
    <row r="229" spans="3:35">
      <c r="C229" s="271" t="s">
        <v>163</v>
      </c>
      <c r="E229" s="578">
        <v>0.5</v>
      </c>
      <c r="F229" s="334">
        <f>$E$229*'Sky River'!F124</f>
        <v>-5529.8280737711557</v>
      </c>
      <c r="G229" s="334">
        <f>$E$229*'Sky River'!G124</f>
        <v>-17948.374918033849</v>
      </c>
      <c r="H229" s="334">
        <f>$E$229*'Sky River'!H124</f>
        <v>-9649.6499508203087</v>
      </c>
      <c r="I229" s="334">
        <f>$E$229*'Sky River'!I124</f>
        <v>-4613.9399704921852</v>
      </c>
      <c r="J229" s="334">
        <f>$E$229*'Sky River'!J124</f>
        <v>-3814.0623047101044</v>
      </c>
      <c r="K229" s="334">
        <f>$E$229*'Sky River'!K124</f>
        <v>81.593828475834016</v>
      </c>
      <c r="L229" s="334">
        <f>$E$229*'Sky River'!L124</f>
        <v>3876.313206860098</v>
      </c>
      <c r="M229" s="334">
        <f>$E$229*'Sky River'!M124</f>
        <v>3930.1150851885932</v>
      </c>
      <c r="N229" s="334">
        <f>$E$229*'Sky River'!N124</f>
        <v>3985.3696142319604</v>
      </c>
      <c r="O229" s="334">
        <f>$E$229*'Sky River'!O124</f>
        <v>4042.116015559498</v>
      </c>
      <c r="P229" s="334">
        <f>$E$229*'Sky River'!P124</f>
        <v>4102.5530346918931</v>
      </c>
      <c r="Q229" s="334">
        <f>$E$229*'Sky River'!Q124</f>
        <v>4164.682290359995</v>
      </c>
      <c r="R229" s="334">
        <f>$E$229*'Sky River'!R124</f>
        <v>4228.5511651868046</v>
      </c>
      <c r="S229" s="334">
        <f>$E$229*'Sky River'!S124</f>
        <v>4294.2083685087637</v>
      </c>
      <c r="T229" s="334">
        <f>$E$229*'Sky River'!T124</f>
        <v>4361.1055831053436</v>
      </c>
      <c r="U229" s="334">
        <f>$E$229*'Sky River'!U124</f>
        <v>4429.4229554457406</v>
      </c>
      <c r="V229" s="334">
        <f>$E$229*'Sky River'!V124</f>
        <v>4499.6532142116685</v>
      </c>
      <c r="W229" s="334">
        <f>$E$229*'Sky River'!W124</f>
        <v>4571.8499202230414</v>
      </c>
      <c r="X229" s="334">
        <f>$E$229*'Sky River'!X124</f>
        <v>4646.0681340027331</v>
      </c>
      <c r="Y229" s="334">
        <f>$E$229*'Sky River'!Y124</f>
        <v>4722.3644577682562</v>
      </c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</row>
    <row r="230" spans="3:35">
      <c r="C230" s="271" t="s">
        <v>149</v>
      </c>
      <c r="E230" s="578">
        <v>0.5</v>
      </c>
      <c r="F230" s="334">
        <f>$E$230*Ridgetop!F124</f>
        <v>-1081.5969805359898</v>
      </c>
      <c r="G230" s="334">
        <f>$E$230*Ridgetop!G124</f>
        <v>-2384.8081499114974</v>
      </c>
      <c r="H230" s="334">
        <f>$E$230*Ridgetop!H124</f>
        <v>-1013.4003097577245</v>
      </c>
      <c r="I230" s="334">
        <f>$E$230*Ridgetop!I124</f>
        <v>-198.62454650302902</v>
      </c>
      <c r="J230" s="334">
        <f>$E$230*Ridgetop!J124</f>
        <v>-83.702777413241165</v>
      </c>
      <c r="K230" s="334">
        <f>$E$230*Ridgetop!K124</f>
        <v>567.68606950587912</v>
      </c>
      <c r="L230" s="334">
        <f>$E$230*Ridgetop!L124</f>
        <v>1218.8013763047425</v>
      </c>
      <c r="M230" s="334">
        <f>$E$230*Ridgetop!M124</f>
        <v>1245.6139864136978</v>
      </c>
      <c r="N230" s="334">
        <f>$E$230*Ridgetop!N124</f>
        <v>1272.1420238375422</v>
      </c>
      <c r="O230" s="334">
        <f>$E$230*Ridgetop!O124</f>
        <v>1298.3798065282126</v>
      </c>
      <c r="P230" s="334">
        <f>$E$230*Ridgetop!P124</f>
        <v>1315.3250926726528</v>
      </c>
      <c r="Q230" s="334">
        <f>$E$230*Ridgetop!Q124</f>
        <v>1331.9684173495687</v>
      </c>
      <c r="R230" s="334">
        <f>$E$230*Ridgetop!R124</f>
        <v>1348.3037512962815</v>
      </c>
      <c r="S230" s="334">
        <f>$E$230*Ridgetop!S124</f>
        <v>1364.3249448592076</v>
      </c>
      <c r="T230" s="334">
        <f>$E$230*Ridgetop!T124</f>
        <v>975.47776278637321</v>
      </c>
      <c r="U230" s="334">
        <f>$E$230*Ridgetop!U124</f>
        <v>1032.0796329180462</v>
      </c>
      <c r="V230" s="334">
        <f>$E$230*Ridgetop!V124</f>
        <v>1115.8986378820623</v>
      </c>
      <c r="W230" s="334">
        <f>$E$230*Ridgetop!W124</f>
        <v>903.28186507107375</v>
      </c>
      <c r="X230" s="334">
        <f>$E$230*Ridgetop!X124</f>
        <v>215.11521046155576</v>
      </c>
      <c r="Y230" s="334">
        <f>$E$230*Ridgetop!Y124</f>
        <v>0</v>
      </c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</row>
    <row r="231" spans="3:35">
      <c r="C231" s="271" t="s">
        <v>150</v>
      </c>
      <c r="E231" s="578">
        <v>0.5</v>
      </c>
      <c r="F231" s="334">
        <f>$E$231*'Green Ridge'!F124</f>
        <v>-2300.1887289153806</v>
      </c>
      <c r="G231" s="334">
        <f>$E$231*'Green Ridge'!G124</f>
        <v>-5228.2306504327044</v>
      </c>
      <c r="H231" s="334">
        <f>$E$231*'Green Ridge'!H124</f>
        <v>-2412.8468870159209</v>
      </c>
      <c r="I231" s="334">
        <f>$E$231*'Green Ridge'!I124</f>
        <v>-622.0195951362698</v>
      </c>
      <c r="J231" s="334">
        <f>$E$231*'Green Ridge'!J124</f>
        <v>-401.41001794071735</v>
      </c>
      <c r="K231" s="334">
        <f>$E$231*'Green Ridge'!K124</f>
        <v>973.44304945364343</v>
      </c>
      <c r="L231" s="334">
        <f>$E$231*'Green Ridge'!L124</f>
        <v>2344.0367390782967</v>
      </c>
      <c r="M231" s="334">
        <f>$E$231*'Green Ridge'!M124</f>
        <v>2392.0093836860924</v>
      </c>
      <c r="N231" s="334">
        <f>$E$231*'Green Ridge'!N124</f>
        <v>2416.5949406202872</v>
      </c>
      <c r="O231" s="334">
        <f>$E$231*'Green Ridge'!O124</f>
        <v>2517.3773128037456</v>
      </c>
      <c r="P231" s="334">
        <f>$E$231*'Green Ridge'!P124</f>
        <v>2615.2663159781378</v>
      </c>
      <c r="Q231" s="334">
        <f>$E$231*'Green Ridge'!Q124</f>
        <v>2710.1925308584359</v>
      </c>
      <c r="R231" s="334">
        <f>$E$231*'Green Ridge'!R124</f>
        <v>2458.1542787194676</v>
      </c>
      <c r="S231" s="334">
        <f>$E$231*'Green Ridge'!S124</f>
        <v>0</v>
      </c>
      <c r="T231" s="334">
        <f>$E$231*'Green Ridge'!T124</f>
        <v>0</v>
      </c>
      <c r="U231" s="334">
        <f>$E$231*'Green Ridge'!U124</f>
        <v>0</v>
      </c>
      <c r="V231" s="334">
        <f>$E$231*'Green Ridge'!V124</f>
        <v>0</v>
      </c>
      <c r="W231" s="334">
        <f>$E$231*'Green Ridge'!W124</f>
        <v>0</v>
      </c>
      <c r="X231" s="334">
        <f>$E$231*'Green Ridge'!X124</f>
        <v>0</v>
      </c>
      <c r="Y231" s="334">
        <f>$E$231*'Green Ridge'!Y124</f>
        <v>0</v>
      </c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</row>
    <row r="232" spans="3:35">
      <c r="C232" s="271" t="s">
        <v>164</v>
      </c>
      <c r="E232" s="578">
        <v>0.5</v>
      </c>
      <c r="F232" s="334">
        <f>$E$232*'Mojave 16-18'!F124</f>
        <v>-1148.6036637732507</v>
      </c>
      <c r="G232" s="334">
        <f>$E$232*'Mojave 16-18'!G124</f>
        <v>-2166.5240897644017</v>
      </c>
      <c r="H232" s="334">
        <f>$E$232*'Mojave 16-18'!H124</f>
        <v>-1081.5518006319926</v>
      </c>
      <c r="I232" s="334">
        <f>$E$232*'Mojave 16-18'!I124</f>
        <v>-422.53914013561928</v>
      </c>
      <c r="J232" s="334">
        <f>$E$232*'Mojave 16-18'!J124</f>
        <v>-407.58863592443026</v>
      </c>
      <c r="K232" s="334">
        <f>$E$232*'Mojave 16-18'!K124</f>
        <v>74.624922303307301</v>
      </c>
      <c r="L232" s="334">
        <f>$E$232*'Mojave 16-18'!L124</f>
        <v>565.99525489307894</v>
      </c>
      <c r="M232" s="334">
        <f>$E$232*'Mojave 16-18'!M124</f>
        <v>579.72935522515104</v>
      </c>
      <c r="N232" s="334">
        <f>$E$232*'Mojave 16-18'!N124</f>
        <v>525.86377939353986</v>
      </c>
      <c r="O232" s="334">
        <f>$E$232*'Mojave 16-18'!O124</f>
        <v>531.07952249777099</v>
      </c>
      <c r="P232" s="334">
        <f>$E$232*'Mojave 16-18'!P124</f>
        <v>550.48903525166691</v>
      </c>
      <c r="Q232" s="334">
        <f>$E$232*'Mojave 16-18'!Q124</f>
        <v>569.68555215892025</v>
      </c>
      <c r="R232" s="334">
        <f>$E$232*'Mojave 16-18'!R124</f>
        <v>588.75174274978519</v>
      </c>
      <c r="S232" s="334">
        <f>$E$232*'Mojave 16-18'!S124</f>
        <v>596.39909384124405</v>
      </c>
      <c r="T232" s="334">
        <f>$E$232*'Mojave 16-18'!T124</f>
        <v>605.63393517500026</v>
      </c>
      <c r="U232" s="334">
        <f>$E$232*'Mojave 16-18'!U124</f>
        <v>612.84928345404478</v>
      </c>
      <c r="V232" s="334">
        <f>$E$232*'Mojave 16-18'!V124</f>
        <v>619.48430348033833</v>
      </c>
      <c r="W232" s="334">
        <f>$E$232*'Mojave 16-18'!W124</f>
        <v>639.48929446138231</v>
      </c>
      <c r="X232" s="334">
        <f>$E$232*'Mojave 16-18'!X124</f>
        <v>185.18607986772116</v>
      </c>
      <c r="Y232" s="334">
        <f>$E$232*'Mojave 16-18'!Y124</f>
        <v>0</v>
      </c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</row>
    <row r="233" spans="3:35">
      <c r="C233" s="271" t="s">
        <v>152</v>
      </c>
      <c r="E233" s="578">
        <v>0.5</v>
      </c>
      <c r="F233" s="334">
        <f>$E$233*Morwind!F124</f>
        <v>-1388.6165831877854</v>
      </c>
      <c r="G233" s="334">
        <f>$E$233*Morwind!G124</f>
        <v>-2954.5569420516813</v>
      </c>
      <c r="H233" s="334">
        <f>$E$233*Morwind!H124</f>
        <v>-1280.2026240923319</v>
      </c>
      <c r="I233" s="334">
        <f>$E$233*Morwind!I124</f>
        <v>-381.90046539366131</v>
      </c>
      <c r="J233" s="334">
        <f>$E$233*Morwind!J124</f>
        <v>-328.86017643680839</v>
      </c>
      <c r="K233" s="334">
        <f>$E$233*Morwind!K124</f>
        <v>391.0688950499391</v>
      </c>
      <c r="L233" s="334">
        <f>$E$233*Morwind!L124</f>
        <v>1108.5294129814934</v>
      </c>
      <c r="M233" s="334">
        <f>$E$233*Morwind!M124</f>
        <v>1147.3046611122932</v>
      </c>
      <c r="N233" s="334">
        <f>$E$233*Morwind!N124</f>
        <v>1185.982743579355</v>
      </c>
      <c r="O233" s="334">
        <f>$E$233*Morwind!O124</f>
        <v>1207.2769509847571</v>
      </c>
      <c r="P233" s="334">
        <f>$E$233*Morwind!P124</f>
        <v>771.06550412586103</v>
      </c>
      <c r="Q233" s="334">
        <f>$E$233*Morwind!Q124</f>
        <v>776.89957365870191</v>
      </c>
      <c r="R233" s="334">
        <f>$E$233*Morwind!R124</f>
        <v>784.00914446711079</v>
      </c>
      <c r="S233" s="334">
        <f>$E$233*Morwind!S124</f>
        <v>787.01168996129229</v>
      </c>
      <c r="T233" s="334">
        <f>$E$233*Morwind!T124</f>
        <v>837.69171818904977</v>
      </c>
      <c r="U233" s="334">
        <f>$E$233*Morwind!U124</f>
        <v>985.98690980596746</v>
      </c>
      <c r="V233" s="334">
        <f>$E$233*Morwind!V124</f>
        <v>0</v>
      </c>
      <c r="W233" s="334">
        <f>$E$233*Morwind!W124</f>
        <v>0</v>
      </c>
      <c r="X233" s="334">
        <f>$E$233*Morwind!X124</f>
        <v>0</v>
      </c>
      <c r="Y233" s="334">
        <f>$E$233*Morwind!Y124</f>
        <v>0</v>
      </c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</row>
    <row r="234" spans="3:35">
      <c r="C234" s="271" t="s">
        <v>153</v>
      </c>
      <c r="E234" s="578">
        <v>0.5</v>
      </c>
      <c r="F234" s="334">
        <f>$E$234*VG!F124</f>
        <v>-934.1577400674405</v>
      </c>
      <c r="G234" s="334">
        <f>$E$234*VG!G124</f>
        <v>-2151.5418295042723</v>
      </c>
      <c r="H234" s="334">
        <f>$E$234*VG!H124</f>
        <v>-835.08162644629874</v>
      </c>
      <c r="I234" s="334">
        <f>$E$234*VG!I124</f>
        <v>-41.586986075506275</v>
      </c>
      <c r="J234" s="334">
        <f>$E$234*VG!J124</f>
        <v>-32.601752515223552</v>
      </c>
      <c r="K234" s="334">
        <f>$E$234*VG!K124</f>
        <v>552.56312436405256</v>
      </c>
      <c r="L234" s="334">
        <f>$E$234*VG!L124</f>
        <v>1137.36069732497</v>
      </c>
      <c r="M234" s="334">
        <f>$E$234*VG!M124</f>
        <v>1133.3005463326688</v>
      </c>
      <c r="N234" s="334">
        <f>$E$234*VG!N124</f>
        <v>1128.8459690284085</v>
      </c>
      <c r="O234" s="334">
        <f>$E$234*VG!O124</f>
        <v>1140.2793616024574</v>
      </c>
      <c r="P234" s="334">
        <f>$E$234*VG!P124</f>
        <v>1151.9414754466236</v>
      </c>
      <c r="Q234" s="334">
        <f>$E$234*VG!Q124</f>
        <v>1163.8368860279738</v>
      </c>
      <c r="R234" s="334">
        <f>$E$234*VG!R124</f>
        <v>1175.9702603432258</v>
      </c>
      <c r="S234" s="334">
        <f>$E$234*VG!S124</f>
        <v>1168.3134939072625</v>
      </c>
      <c r="T234" s="334">
        <f>$E$234*VG!T124</f>
        <v>0</v>
      </c>
      <c r="U234" s="334">
        <f>$E$234*VG!U124</f>
        <v>0</v>
      </c>
      <c r="V234" s="334">
        <f>$E$234*VG!V124</f>
        <v>0</v>
      </c>
      <c r="W234" s="334">
        <f>$E$234*VG!W124</f>
        <v>0</v>
      </c>
      <c r="X234" s="334">
        <f>$E$234*VG!X124</f>
        <v>0</v>
      </c>
      <c r="Y234" s="334">
        <f>$E$234*VG!Y124</f>
        <v>0</v>
      </c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</row>
    <row r="235" spans="3:35">
      <c r="C235" s="271" t="s">
        <v>154</v>
      </c>
      <c r="E235" s="578">
        <v>0.5</v>
      </c>
      <c r="F235" s="334">
        <f>$E$235*'WPP 92'!F124</f>
        <v>-433.93126265887315</v>
      </c>
      <c r="G235" s="334">
        <f>$E$235*'WPP 92'!G124</f>
        <v>-1215.6542611799441</v>
      </c>
      <c r="H235" s="334">
        <f>$E$235*'WPP 92'!H124</f>
        <v>-493.45907793393121</v>
      </c>
      <c r="I235" s="334">
        <f>$E$235*'WPP 92'!I124</f>
        <v>-62.805711252041988</v>
      </c>
      <c r="J235" s="334">
        <f>$E$235*'WPP 92'!J124</f>
        <v>-50.831216317251574</v>
      </c>
      <c r="K235" s="334">
        <f>$E$235*'WPP 92'!K124</f>
        <v>278.1939737147286</v>
      </c>
      <c r="L235" s="334">
        <f>$E$235*'WPP 92'!L124</f>
        <v>607.66502165965903</v>
      </c>
      <c r="M235" s="334">
        <f>$E$235*'WPP 92'!M124</f>
        <v>624.94690864362633</v>
      </c>
      <c r="N235" s="334">
        <f>$E$235*'WPP 92'!N124</f>
        <v>631.3893377301597</v>
      </c>
      <c r="O235" s="334">
        <f>$E$235*'WPP 92'!O124</f>
        <v>638.40765958257361</v>
      </c>
      <c r="P235" s="334">
        <f>$E$235*'WPP 92'!P124</f>
        <v>645.54357079581155</v>
      </c>
      <c r="Q235" s="334">
        <f>$E$235*'WPP 92'!Q124</f>
        <v>666.68915992388952</v>
      </c>
      <c r="R235" s="334">
        <f>$E$235*'WPP 92'!R124</f>
        <v>664.1066194963048</v>
      </c>
      <c r="S235" s="334">
        <f>$E$235*'WPP 92'!S124</f>
        <v>661.53846866352001</v>
      </c>
      <c r="T235" s="334">
        <f>$E$235*'WPP 92'!T124</f>
        <v>658.51505927509811</v>
      </c>
      <c r="U235" s="334">
        <f>$E$235*'WPP 92'!U124</f>
        <v>655.46463309485148</v>
      </c>
      <c r="V235" s="334">
        <f>$E$235*'WPP 92'!V124</f>
        <v>0</v>
      </c>
      <c r="W235" s="334">
        <f>$E$235*'WPP 92'!W124</f>
        <v>0</v>
      </c>
      <c r="X235" s="334">
        <f>$E$235*'WPP 92'!X124</f>
        <v>0</v>
      </c>
      <c r="Y235" s="334">
        <f>$E$235*'WPP 92'!Y124</f>
        <v>0</v>
      </c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</row>
    <row r="236" spans="3:35">
      <c r="C236" s="271" t="s">
        <v>155</v>
      </c>
      <c r="E236" s="578">
        <v>0.5</v>
      </c>
      <c r="F236" s="334">
        <f>$E$236*'WPP 91-2'!F124</f>
        <v>-171.5826961970605</v>
      </c>
      <c r="G236" s="334">
        <f>$E$236*'WPP 91-2'!G124</f>
        <v>-614.3552354852427</v>
      </c>
      <c r="H236" s="334">
        <f>$E$236*'WPP 91-2'!H124</f>
        <v>-239.5474160171276</v>
      </c>
      <c r="I236" s="334">
        <f>$E$236*'WPP 91-2'!I124</f>
        <v>-17.742893545280197</v>
      </c>
      <c r="J236" s="334">
        <f>$E$236*'WPP 91-2'!J124</f>
        <v>-10.642402631267544</v>
      </c>
      <c r="K236" s="334">
        <f>$E$236*'WPP 91-2'!K124</f>
        <v>141.43705875465034</v>
      </c>
      <c r="L236" s="334">
        <f>$E$236*'WPP 91-2'!L124</f>
        <v>307.68113822082569</v>
      </c>
      <c r="M236" s="334">
        <f>$E$236*'WPP 91-2'!M124</f>
        <v>318.0955278402015</v>
      </c>
      <c r="N236" s="334">
        <f>$E$236*'WPP 91-2'!N124</f>
        <v>320.01310178773235</v>
      </c>
      <c r="O236" s="334">
        <f>$E$236*'WPP 91-2'!O124</f>
        <v>322.29560738322391</v>
      </c>
      <c r="P236" s="334">
        <f>$E$236*'WPP 91-2'!P124</f>
        <v>324.57957585787744</v>
      </c>
      <c r="Q236" s="334">
        <f>$E$236*'WPP 91-2'!Q124</f>
        <v>337.65431639555004</v>
      </c>
      <c r="R236" s="334">
        <f>$E$236*'WPP 91-2'!R124</f>
        <v>331.87491934398986</v>
      </c>
      <c r="S236" s="334">
        <f>$E$236*'WPP 91-2'!S124</f>
        <v>326.00450137999974</v>
      </c>
      <c r="T236" s="334">
        <f>$E$236*'WPP 91-2'!T124</f>
        <v>319.65328006249115</v>
      </c>
      <c r="U236" s="334">
        <f>$E$236*'WPP 91-2'!U124</f>
        <v>0</v>
      </c>
      <c r="V236" s="334">
        <f>$E$236*'WPP 91-2'!V124</f>
        <v>0</v>
      </c>
      <c r="W236" s="334">
        <f>$E$236*'WPP 91-2'!W124</f>
        <v>0</v>
      </c>
      <c r="X236" s="334">
        <f>$E$236*'WPP 91-2'!X124</f>
        <v>0</v>
      </c>
      <c r="Y236" s="334">
        <f>$E$236*'WPP 91-2'!Y124</f>
        <v>0</v>
      </c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</row>
    <row r="237" spans="3:35">
      <c r="C237" s="271" t="s">
        <v>156</v>
      </c>
      <c r="E237" s="578">
        <v>0</v>
      </c>
      <c r="F237" s="334">
        <v>0</v>
      </c>
      <c r="G237" s="334">
        <v>0</v>
      </c>
      <c r="H237" s="334">
        <v>0</v>
      </c>
      <c r="I237" s="334">
        <v>0</v>
      </c>
      <c r="J237" s="334">
        <v>0</v>
      </c>
      <c r="K237" s="334">
        <v>0</v>
      </c>
      <c r="L237" s="334">
        <v>0</v>
      </c>
      <c r="M237" s="334">
        <v>0</v>
      </c>
      <c r="N237" s="334">
        <v>0</v>
      </c>
      <c r="O237" s="334">
        <v>0</v>
      </c>
      <c r="P237" s="334">
        <v>0</v>
      </c>
      <c r="Q237" s="334">
        <v>0</v>
      </c>
      <c r="R237" s="334">
        <v>0</v>
      </c>
      <c r="S237" s="334">
        <v>0</v>
      </c>
      <c r="T237" s="334">
        <v>0</v>
      </c>
      <c r="U237" s="334">
        <v>0</v>
      </c>
      <c r="V237" s="334">
        <v>0</v>
      </c>
      <c r="W237" s="334">
        <v>0</v>
      </c>
      <c r="X237" s="334">
        <v>0</v>
      </c>
      <c r="Y237" s="334">
        <v>0</v>
      </c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</row>
    <row r="238" spans="3:35">
      <c r="C238" s="271" t="s">
        <v>157</v>
      </c>
      <c r="E238" s="578">
        <v>0.5</v>
      </c>
      <c r="F238" s="334">
        <f>$E$238*'WPP 89'!F124</f>
        <v>-816.60420618043736</v>
      </c>
      <c r="G238" s="334">
        <f>$E$238*'WPP 89'!G124</f>
        <v>-2230.2599033008</v>
      </c>
      <c r="H238" s="334">
        <f>$E$238*'WPP 89'!H124</f>
        <v>-917.68348002061339</v>
      </c>
      <c r="I238" s="334">
        <f>$E$238*'WPP 89'!I124</f>
        <v>-134.81781760798913</v>
      </c>
      <c r="J238" s="334">
        <f>$E$238*'WPP 89'!J124</f>
        <v>-110.12695817740564</v>
      </c>
      <c r="K238" s="334">
        <f>$E$238*'WPP 89'!K124</f>
        <v>488.79686120626764</v>
      </c>
      <c r="L238" s="334">
        <f>$E$238*'WPP 89'!L124</f>
        <v>1088.4794483570176</v>
      </c>
      <c r="M238" s="334">
        <f>$E$238*'WPP 89'!M124</f>
        <v>1122.8716488948121</v>
      </c>
      <c r="N238" s="334">
        <f>$E$238*'WPP 89'!N124</f>
        <v>1134.4469638626269</v>
      </c>
      <c r="O238" s="334">
        <f>$E$238*'WPP 89'!O124</f>
        <v>1146.5115761881066</v>
      </c>
      <c r="P238" s="334">
        <f>$E$238*'WPP 89'!P124</f>
        <v>1158.116039951271</v>
      </c>
      <c r="Q238" s="334">
        <f>$E$238*'WPP 89'!Q124</f>
        <v>1196.0767801935426</v>
      </c>
      <c r="R238" s="334">
        <f>$E$238*'WPP 89'!R124</f>
        <v>1184.9241568698935</v>
      </c>
      <c r="S238" s="334">
        <f>$E$238*'WPP 89'!S124</f>
        <v>1172.399189418938</v>
      </c>
      <c r="T238" s="334">
        <f>$E$238*'WPP 89'!T124</f>
        <v>1157.3183702809979</v>
      </c>
      <c r="U238" s="334">
        <f>$E$238*'WPP 89'!U124</f>
        <v>1140.1432283807517</v>
      </c>
      <c r="V238" s="334">
        <f>$E$238*'WPP 89'!V124</f>
        <v>1189.9453663147942</v>
      </c>
      <c r="W238" s="334">
        <f>$E$238*'WPP 89'!W124</f>
        <v>1241.2062662489229</v>
      </c>
      <c r="X238" s="334">
        <f>$E$238*'WPP 89'!X124</f>
        <v>1293.9682322811423</v>
      </c>
      <c r="Y238" s="334">
        <f>$E$238*'WPP 89'!Y124</f>
        <v>0</v>
      </c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</row>
    <row r="239" spans="3:35">
      <c r="C239" s="271" t="s">
        <v>158</v>
      </c>
      <c r="E239" s="578">
        <v>0.5</v>
      </c>
      <c r="F239" s="334">
        <f>$E$239*'WPP 91'!F124</f>
        <v>-3.1302921816945855</v>
      </c>
      <c r="G239" s="334">
        <f>$E$239*'WPP 91'!G124</f>
        <v>-473.68674148177422</v>
      </c>
      <c r="H239" s="334">
        <f>$E$239*'WPP 91'!H124</f>
        <v>-120.88399599383354</v>
      </c>
      <c r="I239" s="334">
        <f>$E$239*'WPP 91'!I124</f>
        <v>90.052058420169203</v>
      </c>
      <c r="J239" s="334">
        <f>$E$239*'WPP 91'!J124</f>
        <v>96.475229378616234</v>
      </c>
      <c r="K239" s="334">
        <f>$E$239*'WPP 91'!K124</f>
        <v>257.92753974647064</v>
      </c>
      <c r="L239" s="334">
        <f>$E$239*'WPP 91'!L124</f>
        <v>411.39014527481686</v>
      </c>
      <c r="M239" s="334">
        <f>$E$239*'WPP 91'!M124</f>
        <v>411.94803188919423</v>
      </c>
      <c r="N239" s="334">
        <f>$E$239*'WPP 91'!N124</f>
        <v>407.67679452302798</v>
      </c>
      <c r="O239" s="334">
        <f>$E$239*'WPP 91'!O124</f>
        <v>403.26694918218834</v>
      </c>
      <c r="P239" s="334">
        <f>$E$239*'WPP 91'!P124</f>
        <v>402.52522881964762</v>
      </c>
      <c r="Q239" s="334">
        <f>$E$239*'WPP 91'!Q124</f>
        <v>407.51652973602029</v>
      </c>
      <c r="R239" s="334">
        <f>$E$239*'WPP 91'!R124</f>
        <v>402.8113850735183</v>
      </c>
      <c r="S239" s="334">
        <f>$E$239*'WPP 91'!S124</f>
        <v>397.8740057944857</v>
      </c>
      <c r="T239" s="334">
        <f>$E$239*'WPP 91'!T124</f>
        <v>410.6139831053182</v>
      </c>
      <c r="U239" s="334">
        <f>$E$239*'WPP 91'!U124</f>
        <v>64.494563386093432</v>
      </c>
      <c r="V239" s="334">
        <f>$E$239*'WPP 91'!V124</f>
        <v>55.342024337267162</v>
      </c>
      <c r="W239" s="334">
        <f>$E$239*'WPP 91'!W124</f>
        <v>45.77453989870844</v>
      </c>
      <c r="X239" s="334">
        <f>$E$239*'WPP 91'!X124</f>
        <v>0</v>
      </c>
      <c r="Y239" s="334">
        <f>$E$239*'WPP 91'!Y124</f>
        <v>0</v>
      </c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</row>
    <row r="240" spans="3:35">
      <c r="C240" s="271" t="s">
        <v>159</v>
      </c>
      <c r="E240" s="578">
        <v>0.5</v>
      </c>
      <c r="F240" s="334">
        <f>$E$240*'WPP 90'!F124</f>
        <v>-245.63330069028757</v>
      </c>
      <c r="G240" s="334">
        <f>$E$240*'WPP 90'!G124</f>
        <v>-528.98316499700104</v>
      </c>
      <c r="H240" s="334">
        <f>$E$240*'WPP 90'!H124</f>
        <v>-210.76539757078172</v>
      </c>
      <c r="I240" s="334">
        <f>$E$240*'WPP 90'!I124</f>
        <v>-21.03236147469687</v>
      </c>
      <c r="J240" s="334">
        <f>$E$240*'WPP 90'!J124</f>
        <v>-13.583843627340514</v>
      </c>
      <c r="K240" s="334">
        <f>$E$240*'WPP 90'!K124</f>
        <v>120.57052610703934</v>
      </c>
      <c r="L240" s="334">
        <f>$E$240*'WPP 90'!L124</f>
        <v>263.77877863221556</v>
      </c>
      <c r="M240" s="334">
        <f>$E$240*'WPP 90'!M124</f>
        <v>273.81807256853631</v>
      </c>
      <c r="N240" s="334">
        <f>$E$240*'WPP 90'!N124</f>
        <v>277.53452994044653</v>
      </c>
      <c r="O240" s="334">
        <f>$E$240*'WPP 90'!O124</f>
        <v>281.59302236733151</v>
      </c>
      <c r="P240" s="334">
        <f>$E$240*'WPP 90'!P124</f>
        <v>285.09879820363585</v>
      </c>
      <c r="Q240" s="334">
        <f>$E$240*'WPP 90'!Q124</f>
        <v>296.3114033779442</v>
      </c>
      <c r="R240" s="334">
        <f>$E$240*'WPP 90'!R124</f>
        <v>294.05788291955389</v>
      </c>
      <c r="S240" s="334">
        <f>$E$240*'WPP 90'!S124</f>
        <v>291.77564838125591</v>
      </c>
      <c r="T240" s="334">
        <f>$E$240*'WPP 90'!T124</f>
        <v>289.21770332887161</v>
      </c>
      <c r="U240" s="334">
        <f>$E$240*'WPP 90'!U124</f>
        <v>286.61741370070615</v>
      </c>
      <c r="V240" s="334">
        <f>$E$240*'WPP 90'!V124</f>
        <v>290.58045761182552</v>
      </c>
      <c r="W240" s="334">
        <f>$E$240*'WPP 90'!W124</f>
        <v>304.06024812960197</v>
      </c>
      <c r="X240" s="334">
        <f>$E$240*'WPP 90'!X124</f>
        <v>0</v>
      </c>
      <c r="Y240" s="334">
        <f>$E$240*'WPP 90'!Y124</f>
        <v>0</v>
      </c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</row>
    <row r="241" spans="2:35">
      <c r="C241" s="271" t="s">
        <v>160</v>
      </c>
      <c r="E241" s="578">
        <v>0</v>
      </c>
      <c r="F241" s="599">
        <v>0</v>
      </c>
      <c r="G241" s="599">
        <v>0</v>
      </c>
      <c r="H241" s="599">
        <v>0</v>
      </c>
      <c r="I241" s="599">
        <v>0</v>
      </c>
      <c r="J241" s="599">
        <v>0</v>
      </c>
      <c r="K241" s="599">
        <v>0</v>
      </c>
      <c r="L241" s="599">
        <v>0</v>
      </c>
      <c r="M241" s="599">
        <v>0</v>
      </c>
      <c r="N241" s="599">
        <v>0</v>
      </c>
      <c r="O241" s="599">
        <v>0</v>
      </c>
      <c r="P241" s="599">
        <v>0</v>
      </c>
      <c r="Q241" s="599">
        <v>0</v>
      </c>
      <c r="R241" s="599">
        <v>0</v>
      </c>
      <c r="S241" s="599">
        <v>0</v>
      </c>
      <c r="T241" s="599">
        <v>0</v>
      </c>
      <c r="U241" s="599">
        <v>0</v>
      </c>
      <c r="V241" s="599">
        <v>0</v>
      </c>
      <c r="W241" s="599">
        <v>0</v>
      </c>
      <c r="X241" s="599">
        <v>0</v>
      </c>
      <c r="Y241" s="599">
        <v>0</v>
      </c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</row>
    <row r="242" spans="2:35">
      <c r="C242" s="562" t="s">
        <v>255</v>
      </c>
      <c r="F242" s="584">
        <f>SUM(F224:F241)</f>
        <v>-55581.408408812094</v>
      </c>
      <c r="G242" s="584">
        <f t="shared" ref="G242:Y242" si="26">SUM(G224:G241)</f>
        <v>-111807.62818858378</v>
      </c>
      <c r="H242" s="584">
        <f t="shared" si="26"/>
        <v>-57204.35796052654</v>
      </c>
      <c r="I242" s="584">
        <f t="shared" si="26"/>
        <v>-24466.432151720859</v>
      </c>
      <c r="J242" s="584">
        <f t="shared" si="26"/>
        <v>-22317.663066032284</v>
      </c>
      <c r="K242" s="584">
        <f t="shared" si="26"/>
        <v>2993.6779061949342</v>
      </c>
      <c r="L242" s="584">
        <f t="shared" si="26"/>
        <v>28236.546390751359</v>
      </c>
      <c r="M242" s="584">
        <f t="shared" si="26"/>
        <v>29194.271375763587</v>
      </c>
      <c r="N242" s="584">
        <f t="shared" si="26"/>
        <v>29964.405350908928</v>
      </c>
      <c r="O242" s="584">
        <f t="shared" si="26"/>
        <v>30933.347666591377</v>
      </c>
      <c r="P242" s="584">
        <f t="shared" si="26"/>
        <v>31427.068040878687</v>
      </c>
      <c r="Q242" s="584">
        <f t="shared" si="26"/>
        <v>32504.000552087648</v>
      </c>
      <c r="R242" s="584">
        <f t="shared" si="26"/>
        <v>33083.49866576754</v>
      </c>
      <c r="S242" s="584">
        <f t="shared" si="26"/>
        <v>31321.489656925278</v>
      </c>
      <c r="T242" s="584">
        <f t="shared" si="26"/>
        <v>29485.404892447543</v>
      </c>
      <c r="U242" s="584">
        <f t="shared" si="26"/>
        <v>28299.462632396247</v>
      </c>
      <c r="V242" s="584">
        <f t="shared" si="26"/>
        <v>27339.039194677982</v>
      </c>
      <c r="W242" s="584">
        <f t="shared" si="26"/>
        <v>26422.170921231143</v>
      </c>
      <c r="X242" s="584">
        <f t="shared" si="26"/>
        <v>19096.255047830804</v>
      </c>
      <c r="Y242" s="584">
        <f t="shared" si="26"/>
        <v>13111.245162709522</v>
      </c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</row>
    <row r="243" spans="2:35"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</row>
    <row r="244" spans="2:35"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</row>
    <row r="245" spans="2:35" ht="15.75">
      <c r="B245" s="737" t="s">
        <v>281</v>
      </c>
      <c r="C245" s="619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</row>
    <row r="246" spans="2:35">
      <c r="C246" s="271" t="s">
        <v>142</v>
      </c>
      <c r="E246" s="578">
        <v>1</v>
      </c>
      <c r="F246" s="334">
        <f>$E$246*'Cerro Gordo'!F115</f>
        <v>8852.9759404901815</v>
      </c>
      <c r="G246" s="334">
        <f>$E$246*'Cerro Gordo'!G115</f>
        <v>14164.76150478429</v>
      </c>
      <c r="H246" s="334">
        <f>$E$246*'Cerro Gordo'!H115</f>
        <v>8498.8569028705733</v>
      </c>
      <c r="I246" s="334">
        <f>$E$246*'Cerro Gordo'!I115</f>
        <v>5099.3141417223442</v>
      </c>
      <c r="J246" s="334">
        <f>$E$246*'Cerro Gordo'!J115</f>
        <v>5099.3141417223442</v>
      </c>
      <c r="K246" s="334">
        <f>$E$246*'Cerro Gordo'!K115</f>
        <v>2549.6570708611721</v>
      </c>
      <c r="L246" s="334">
        <f>$E$246*'Cerro Gordo'!L115</f>
        <v>0</v>
      </c>
      <c r="M246" s="334">
        <f>$E$246*'Cerro Gordo'!M115</f>
        <v>0</v>
      </c>
      <c r="N246" s="334">
        <f>$E$246*'Cerro Gordo'!N115</f>
        <v>0</v>
      </c>
      <c r="O246" s="334">
        <f>$E$246*'Cerro Gordo'!O115</f>
        <v>0</v>
      </c>
      <c r="P246" s="334">
        <f>$E$246*'Cerro Gordo'!P115</f>
        <v>0</v>
      </c>
      <c r="Q246" s="334">
        <f>$E$246*'Cerro Gordo'!Q115</f>
        <v>0</v>
      </c>
      <c r="R246" s="334">
        <f>$E$246*'Cerro Gordo'!R115</f>
        <v>0</v>
      </c>
      <c r="S246" s="334">
        <f>$E$246*'Cerro Gordo'!S115</f>
        <v>0</v>
      </c>
      <c r="T246" s="334">
        <f>$E$246*'Cerro Gordo'!T115</f>
        <v>0</v>
      </c>
      <c r="U246" s="334">
        <f>$E$246*'Cerro Gordo'!U115</f>
        <v>0</v>
      </c>
      <c r="V246" s="334">
        <f>$E$246*'Cerro Gordo'!V115</f>
        <v>0</v>
      </c>
      <c r="W246" s="334">
        <f>$E$246*'Cerro Gordo'!W115</f>
        <v>0</v>
      </c>
      <c r="X246" s="334">
        <f>$E$246*'Cerro Gordo'!X115</f>
        <v>0</v>
      </c>
      <c r="Y246" s="334">
        <f>$E$246*'Cerro Gordo'!Y115</f>
        <v>0</v>
      </c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</row>
    <row r="247" spans="2:35">
      <c r="C247" s="271" t="s">
        <v>143</v>
      </c>
      <c r="E247" s="578">
        <v>1</v>
      </c>
      <c r="F247" s="334">
        <f>$E$247*'Southwest Mesa'!F115</f>
        <v>17952.713028033384</v>
      </c>
      <c r="G247" s="334">
        <f>$E$247*'Southwest Mesa'!G115</f>
        <v>28724.340844853414</v>
      </c>
      <c r="H247" s="334">
        <f>$E$247*'Southwest Mesa'!H115</f>
        <v>17234.604506912048</v>
      </c>
      <c r="I247" s="334">
        <f>$E$247*'Southwest Mesa'!I115</f>
        <v>10340.762704147228</v>
      </c>
      <c r="J247" s="334">
        <f>$E$247*'Southwest Mesa'!J115</f>
        <v>10340.762704147228</v>
      </c>
      <c r="K247" s="334">
        <f>$E$247*'Southwest Mesa'!K115</f>
        <v>5170.3813520736139</v>
      </c>
      <c r="L247" s="334">
        <f>$E$247*'Southwest Mesa'!L115</f>
        <v>0</v>
      </c>
      <c r="M247" s="334">
        <f>$E$247*'Southwest Mesa'!M115</f>
        <v>0</v>
      </c>
      <c r="N247" s="334">
        <f>$E$247*'Southwest Mesa'!N115</f>
        <v>0</v>
      </c>
      <c r="O247" s="334">
        <f>$E$247*'Southwest Mesa'!O115</f>
        <v>0</v>
      </c>
      <c r="P247" s="334">
        <f>$E$247*'Southwest Mesa'!P115</f>
        <v>0</v>
      </c>
      <c r="Q247" s="334">
        <f>$E$247*'Southwest Mesa'!Q115</f>
        <v>0</v>
      </c>
      <c r="R247" s="334">
        <f>$E$247*'Southwest Mesa'!R115</f>
        <v>0</v>
      </c>
      <c r="S247" s="334">
        <f>$E$247*'Southwest Mesa'!S115</f>
        <v>0</v>
      </c>
      <c r="T247" s="334">
        <f>$E$247*'Southwest Mesa'!T115</f>
        <v>0</v>
      </c>
      <c r="U247" s="334">
        <f>$E$247*'Southwest Mesa'!U115</f>
        <v>0</v>
      </c>
      <c r="V247" s="334">
        <f>$E$247*'Southwest Mesa'!V115</f>
        <v>0</v>
      </c>
      <c r="W247" s="334">
        <f>$E$247*'Southwest Mesa'!W115</f>
        <v>0</v>
      </c>
      <c r="X247" s="334">
        <f>$E$247*'Southwest Mesa'!X115</f>
        <v>0</v>
      </c>
      <c r="Y247" s="334">
        <f>$E$247*'Southwest Mesa'!Y115</f>
        <v>0</v>
      </c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</row>
    <row r="248" spans="2:35">
      <c r="C248" s="271" t="s">
        <v>144</v>
      </c>
      <c r="E248" s="578">
        <v>1</v>
      </c>
      <c r="F248" s="334">
        <f>$E$248*Vansycle!F115</f>
        <v>7921.4844399157973</v>
      </c>
      <c r="G248" s="334">
        <f>$E$248*Vansycle!G115</f>
        <v>12674.375103865275</v>
      </c>
      <c r="H248" s="334">
        <f>$E$248*Vansycle!H115</f>
        <v>7604.6250623191654</v>
      </c>
      <c r="I248" s="334">
        <f>$E$248*Vansycle!I115</f>
        <v>4562.7750373914987</v>
      </c>
      <c r="J248" s="334">
        <f>$E$248*Vansycle!J115</f>
        <v>4562.7750373914987</v>
      </c>
      <c r="K248" s="334">
        <f>$E$248*Vansycle!K115</f>
        <v>2281.3875186957493</v>
      </c>
      <c r="L248" s="334">
        <f>$E$248*Vansycle!L115</f>
        <v>0</v>
      </c>
      <c r="M248" s="334">
        <f>$E$248*Vansycle!M115</f>
        <v>0</v>
      </c>
      <c r="N248" s="334">
        <f>$E$248*Vansycle!N115</f>
        <v>0</v>
      </c>
      <c r="O248" s="334">
        <f>$E$248*Vansycle!O115</f>
        <v>0</v>
      </c>
      <c r="P248" s="334">
        <f>$E$248*Vansycle!P115</f>
        <v>0</v>
      </c>
      <c r="Q248" s="334">
        <f>$E$248*Vansycle!Q115</f>
        <v>0</v>
      </c>
      <c r="R248" s="334">
        <f>$E$248*Vansycle!R115</f>
        <v>0</v>
      </c>
      <c r="S248" s="334">
        <f>$E$248*Vansycle!S115</f>
        <v>0</v>
      </c>
      <c r="T248" s="334">
        <f>$E$248*Vansycle!T115</f>
        <v>0</v>
      </c>
      <c r="U248" s="334">
        <f>$E$248*Vansycle!U115</f>
        <v>0</v>
      </c>
      <c r="V248" s="334">
        <f>$E$248*Vansycle!V115</f>
        <v>0</v>
      </c>
      <c r="W248" s="334">
        <f>$E$248*Vansycle!W115</f>
        <v>0</v>
      </c>
      <c r="X248" s="334">
        <f>$E$248*Vansycle!X115</f>
        <v>0</v>
      </c>
      <c r="Y248" s="334">
        <f>$E$248*Vansycle!Y115</f>
        <v>0</v>
      </c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</row>
    <row r="249" spans="2:35">
      <c r="C249" s="271" t="s">
        <v>146</v>
      </c>
      <c r="E249" s="578">
        <v>0.5</v>
      </c>
      <c r="F249" s="334">
        <f>$E$249*Cameron!F115</f>
        <v>10199.673224706641</v>
      </c>
      <c r="G249" s="334">
        <f>$E$249*Cameron!G115</f>
        <v>16319.477159530625</v>
      </c>
      <c r="H249" s="334">
        <f>$E$249*Cameron!H115</f>
        <v>9791.6862957183748</v>
      </c>
      <c r="I249" s="334">
        <f>$E$249*Cameron!I115</f>
        <v>5875.0117774310247</v>
      </c>
      <c r="J249" s="334">
        <f>$E$249*Cameron!J115</f>
        <v>5875.0117774310247</v>
      </c>
      <c r="K249" s="334">
        <f>$E$249*Cameron!K115</f>
        <v>2937.5058887155124</v>
      </c>
      <c r="L249" s="334">
        <f>$E$249*Cameron!L115</f>
        <v>0</v>
      </c>
      <c r="M249" s="334">
        <f>$E$249*Cameron!M115</f>
        <v>0</v>
      </c>
      <c r="N249" s="334">
        <f>$E$249*Cameron!N115</f>
        <v>0</v>
      </c>
      <c r="O249" s="334">
        <f>$E$249*Cameron!O115</f>
        <v>0</v>
      </c>
      <c r="P249" s="334">
        <f>$E$249*Cameron!P115</f>
        <v>0</v>
      </c>
      <c r="Q249" s="334">
        <f>$E$249*Cameron!Q115</f>
        <v>0</v>
      </c>
      <c r="R249" s="334">
        <f>$E$249*Cameron!R115</f>
        <v>0</v>
      </c>
      <c r="S249" s="334">
        <f>$E$249*Cameron!S115</f>
        <v>0</v>
      </c>
      <c r="T249" s="334">
        <f>$E$249*Cameron!T115</f>
        <v>0</v>
      </c>
      <c r="U249" s="334">
        <f>$E$249*Cameron!U115</f>
        <v>0</v>
      </c>
      <c r="V249" s="334">
        <f>$E$249*Cameron!V115</f>
        <v>0</v>
      </c>
      <c r="W249" s="334">
        <f>$E$249*Cameron!W115</f>
        <v>0</v>
      </c>
      <c r="X249" s="334">
        <f>$E$249*Cameron!X115</f>
        <v>0</v>
      </c>
      <c r="Y249" s="334">
        <f>$E$249*Cameron!Y115</f>
        <v>0</v>
      </c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</row>
    <row r="250" spans="2:35">
      <c r="C250" s="271" t="s">
        <v>162</v>
      </c>
      <c r="E250" s="578">
        <v>0.5</v>
      </c>
      <c r="F250" s="334">
        <f>$E$250*'Pacific Crest'!F115</f>
        <v>8802.9950089193771</v>
      </c>
      <c r="G250" s="334">
        <f>$E$250*'Pacific Crest'!G115</f>
        <v>14084.792014271003</v>
      </c>
      <c r="H250" s="334">
        <f>$E$250*'Pacific Crest'!H115</f>
        <v>8450.875208562602</v>
      </c>
      <c r="I250" s="334">
        <f>$E$250*'Pacific Crest'!I115</f>
        <v>5070.5251251375603</v>
      </c>
      <c r="J250" s="334">
        <f>$E$250*'Pacific Crest'!J115</f>
        <v>5070.5251251375603</v>
      </c>
      <c r="K250" s="334">
        <f>$E$250*'Pacific Crest'!K115</f>
        <v>2535.2625625687801</v>
      </c>
      <c r="L250" s="334">
        <f>$E$250*'Pacific Crest'!L115</f>
        <v>0</v>
      </c>
      <c r="M250" s="334">
        <f>$E$250*'Pacific Crest'!M115</f>
        <v>0</v>
      </c>
      <c r="N250" s="334">
        <f>$E$250*'Pacific Crest'!N115</f>
        <v>0</v>
      </c>
      <c r="O250" s="334">
        <f>$E$250*'Pacific Crest'!O115</f>
        <v>0</v>
      </c>
      <c r="P250" s="334">
        <f>$E$250*'Pacific Crest'!P115</f>
        <v>0</v>
      </c>
      <c r="Q250" s="334">
        <f>$E$250*'Pacific Crest'!Q115</f>
        <v>0</v>
      </c>
      <c r="R250" s="334">
        <f>$E$250*'Pacific Crest'!R115</f>
        <v>0</v>
      </c>
      <c r="S250" s="334">
        <f>$E$250*'Pacific Crest'!S115</f>
        <v>0</v>
      </c>
      <c r="T250" s="334">
        <f>$E$250*'Pacific Crest'!T115</f>
        <v>0</v>
      </c>
      <c r="U250" s="334">
        <f>$E$250*'Pacific Crest'!U115</f>
        <v>0</v>
      </c>
      <c r="V250" s="334">
        <f>$E$250*'Pacific Crest'!V115</f>
        <v>0</v>
      </c>
      <c r="W250" s="334">
        <f>$E$250*'Pacific Crest'!W115</f>
        <v>0</v>
      </c>
      <c r="X250" s="334">
        <f>$E$250*'Pacific Crest'!X115</f>
        <v>0</v>
      </c>
      <c r="Y250" s="334">
        <f>$E$250*'Pacific Crest'!Y115</f>
        <v>0</v>
      </c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</row>
    <row r="251" spans="2:35">
      <c r="C251" s="271" t="s">
        <v>163</v>
      </c>
      <c r="E251" s="578">
        <v>0.5</v>
      </c>
      <c r="F251" s="334">
        <f>$E$251*'Sky River'!F115</f>
        <v>12926.328073771156</v>
      </c>
      <c r="G251" s="334">
        <f>$E$251*'Sky River'!G115</f>
        <v>20682.124918033849</v>
      </c>
      <c r="H251" s="334">
        <f>$E$251*'Sky River'!H115</f>
        <v>12409.274950820309</v>
      </c>
      <c r="I251" s="334">
        <f>$E$251*'Sky River'!I115</f>
        <v>7445.5649704921852</v>
      </c>
      <c r="J251" s="334">
        <f>$E$251*'Sky River'!J115</f>
        <v>7445.5649704921852</v>
      </c>
      <c r="K251" s="334">
        <f>$E$251*'Sky River'!K115</f>
        <v>3722.7824852460926</v>
      </c>
      <c r="L251" s="334">
        <f>$E$251*'Sky River'!L115</f>
        <v>0</v>
      </c>
      <c r="M251" s="334">
        <f>$E$251*'Sky River'!M115</f>
        <v>0</v>
      </c>
      <c r="N251" s="334">
        <f>$E$251*'Sky River'!N115</f>
        <v>0</v>
      </c>
      <c r="O251" s="334">
        <f>$E$251*'Sky River'!O115</f>
        <v>0</v>
      </c>
      <c r="P251" s="334">
        <f>$E$251*'Sky River'!P115</f>
        <v>0</v>
      </c>
      <c r="Q251" s="334">
        <f>$E$251*'Sky River'!Q115</f>
        <v>0</v>
      </c>
      <c r="R251" s="334">
        <f>$E$251*'Sky River'!R115</f>
        <v>0</v>
      </c>
      <c r="S251" s="334">
        <f>$E$251*'Sky River'!S115</f>
        <v>0</v>
      </c>
      <c r="T251" s="334">
        <f>$E$251*'Sky River'!T115</f>
        <v>0</v>
      </c>
      <c r="U251" s="334">
        <f>$E$251*'Sky River'!U115</f>
        <v>0</v>
      </c>
      <c r="V251" s="334">
        <f>$E$251*'Sky River'!V115</f>
        <v>0</v>
      </c>
      <c r="W251" s="334">
        <f>$E$251*'Sky River'!W115</f>
        <v>0</v>
      </c>
      <c r="X251" s="334">
        <f>$E$251*'Sky River'!X115</f>
        <v>0</v>
      </c>
      <c r="Y251" s="334">
        <f>$E$251*'Sky River'!Y115</f>
        <v>0</v>
      </c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</row>
    <row r="252" spans="2:35">
      <c r="C252" s="271" t="s">
        <v>149</v>
      </c>
      <c r="E252" s="578">
        <v>0.5</v>
      </c>
      <c r="F252" s="334">
        <f>$E$252*Ridgetop!F115</f>
        <v>2166.7489403351487</v>
      </c>
      <c r="G252" s="334">
        <f>$E$252*Ridgetop!G115</f>
        <v>3466.798304536238</v>
      </c>
      <c r="H252" s="334">
        <f>$E$252*Ridgetop!H115</f>
        <v>2080.0789827217427</v>
      </c>
      <c r="I252" s="334">
        <f>$E$252*Ridgetop!I115</f>
        <v>1248.0473896330457</v>
      </c>
      <c r="J252" s="334">
        <f>$E$252*Ridgetop!J115</f>
        <v>1248.0473896330457</v>
      </c>
      <c r="K252" s="334">
        <f>$E$252*Ridgetop!K115</f>
        <v>624.02369481652283</v>
      </c>
      <c r="L252" s="334">
        <f>$E$252*Ridgetop!L115</f>
        <v>0</v>
      </c>
      <c r="M252" s="334">
        <f>$E$252*Ridgetop!M115</f>
        <v>0</v>
      </c>
      <c r="N252" s="334">
        <f>$E$252*Ridgetop!N115</f>
        <v>0</v>
      </c>
      <c r="O252" s="334">
        <f>$E$252*Ridgetop!O115</f>
        <v>0</v>
      </c>
      <c r="P252" s="334">
        <f>$E$252*Ridgetop!P115</f>
        <v>0</v>
      </c>
      <c r="Q252" s="334">
        <f>$E$252*Ridgetop!Q115</f>
        <v>0</v>
      </c>
      <c r="R252" s="334">
        <f>$E$252*Ridgetop!R115</f>
        <v>0</v>
      </c>
      <c r="S252" s="334">
        <f>$E$252*Ridgetop!S115</f>
        <v>0</v>
      </c>
      <c r="T252" s="334">
        <f>$E$252*Ridgetop!T115</f>
        <v>0</v>
      </c>
      <c r="U252" s="334">
        <f>$E$252*Ridgetop!U115</f>
        <v>0</v>
      </c>
      <c r="V252" s="334">
        <f>$E$252*Ridgetop!V115</f>
        <v>0</v>
      </c>
      <c r="W252" s="334">
        <f>$E$252*Ridgetop!W115</f>
        <v>0</v>
      </c>
      <c r="X252" s="334">
        <f>$E$252*Ridgetop!X115</f>
        <v>0</v>
      </c>
      <c r="Y252" s="334">
        <f>$E$252*Ridgetop!Y115</f>
        <v>0</v>
      </c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</row>
    <row r="253" spans="2:35">
      <c r="C253" s="271" t="s">
        <v>150</v>
      </c>
      <c r="E253" s="578">
        <v>0.5</v>
      </c>
      <c r="F253" s="334">
        <f>$E$253*'Green Ridge'!F115</f>
        <v>4034.3109117864319</v>
      </c>
      <c r="G253" s="334">
        <f>$E$253*'Green Ridge'!G115</f>
        <v>6454.8974588582914</v>
      </c>
      <c r="H253" s="334">
        <f>$E$253*'Green Ridge'!H115</f>
        <v>3872.9384753149748</v>
      </c>
      <c r="I253" s="334">
        <f>$E$253*'Green Ridge'!I115</f>
        <v>2323.7630851889849</v>
      </c>
      <c r="J253" s="334">
        <f>$E$253*'Green Ridge'!J115</f>
        <v>2323.7630851889849</v>
      </c>
      <c r="K253" s="334">
        <f>$E$253*'Green Ridge'!K115</f>
        <v>1161.8815425944924</v>
      </c>
      <c r="L253" s="334">
        <f>$E$253*'Green Ridge'!L115</f>
        <v>0</v>
      </c>
      <c r="M253" s="334">
        <f>$E$253*'Green Ridge'!M115</f>
        <v>0</v>
      </c>
      <c r="N253" s="334">
        <f>$E$253*'Green Ridge'!N115</f>
        <v>0</v>
      </c>
      <c r="O253" s="334">
        <f>$E$253*'Green Ridge'!O115</f>
        <v>0</v>
      </c>
      <c r="P253" s="334">
        <f>$E$253*'Green Ridge'!P115</f>
        <v>0</v>
      </c>
      <c r="Q253" s="334">
        <f>$E$253*'Green Ridge'!Q115</f>
        <v>0</v>
      </c>
      <c r="R253" s="334">
        <f>$E$253*'Green Ridge'!R115</f>
        <v>0</v>
      </c>
      <c r="S253" s="334">
        <f>$E$253*'Green Ridge'!S115</f>
        <v>0</v>
      </c>
      <c r="T253" s="334">
        <f>$E$253*'Green Ridge'!T115</f>
        <v>0</v>
      </c>
      <c r="U253" s="334">
        <f>$E$253*'Green Ridge'!U115</f>
        <v>0</v>
      </c>
      <c r="V253" s="334">
        <f>$E$253*'Green Ridge'!V115</f>
        <v>0</v>
      </c>
      <c r="W253" s="334">
        <f>$E$253*'Green Ridge'!W115</f>
        <v>0</v>
      </c>
      <c r="X253" s="334">
        <f>$E$253*'Green Ridge'!X115</f>
        <v>0</v>
      </c>
      <c r="Y253" s="334">
        <f>$E$253*'Green Ridge'!Y115</f>
        <v>0</v>
      </c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</row>
    <row r="254" spans="2:35">
      <c r="C254" s="271" t="s">
        <v>164</v>
      </c>
      <c r="E254" s="578">
        <v>0.5</v>
      </c>
      <c r="F254" s="334">
        <f>$E$254*'Mojave 16-18'!F115</f>
        <v>1656.4365815871497</v>
      </c>
      <c r="G254" s="334">
        <f>$E$254*'Mojave 16-18'!G115</f>
        <v>2650.2985305394395</v>
      </c>
      <c r="H254" s="334">
        <f>$E$254*'Mojave 16-18'!H115</f>
        <v>1590.1791183236637</v>
      </c>
      <c r="I254" s="334">
        <f>$E$254*'Mojave 16-18'!I115</f>
        <v>954.10747099419825</v>
      </c>
      <c r="J254" s="334">
        <f>$E$254*'Mojave 16-18'!J115</f>
        <v>954.10747099419825</v>
      </c>
      <c r="K254" s="334">
        <f>$E$254*'Mojave 16-18'!K115</f>
        <v>477.05373549709913</v>
      </c>
      <c r="L254" s="334">
        <f>$E$254*'Mojave 16-18'!L115</f>
        <v>0</v>
      </c>
      <c r="M254" s="334">
        <f>$E$254*'Mojave 16-18'!M115</f>
        <v>0</v>
      </c>
      <c r="N254" s="334">
        <f>$E$254*'Mojave 16-18'!N115</f>
        <v>0</v>
      </c>
      <c r="O254" s="334">
        <f>$E$254*'Mojave 16-18'!O115</f>
        <v>0</v>
      </c>
      <c r="P254" s="334">
        <f>$E$254*'Mojave 16-18'!P115</f>
        <v>0</v>
      </c>
      <c r="Q254" s="334">
        <f>$E$254*'Mojave 16-18'!Q115</f>
        <v>0</v>
      </c>
      <c r="R254" s="334">
        <f>$E$254*'Mojave 16-18'!R115</f>
        <v>0</v>
      </c>
      <c r="S254" s="334">
        <f>$E$254*'Mojave 16-18'!S115</f>
        <v>0</v>
      </c>
      <c r="T254" s="334">
        <f>$E$254*'Mojave 16-18'!T115</f>
        <v>0</v>
      </c>
      <c r="U254" s="334">
        <f>$E$254*'Mojave 16-18'!U115</f>
        <v>0</v>
      </c>
      <c r="V254" s="334">
        <f>$E$254*'Mojave 16-18'!V115</f>
        <v>0</v>
      </c>
      <c r="W254" s="334">
        <f>$E$254*'Mojave 16-18'!W115</f>
        <v>0</v>
      </c>
      <c r="X254" s="334">
        <f>$E$254*'Mojave 16-18'!X115</f>
        <v>0</v>
      </c>
      <c r="Y254" s="334">
        <f>$E$254*'Mojave 16-18'!Y115</f>
        <v>0</v>
      </c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</row>
    <row r="255" spans="2:35">
      <c r="C255" s="271" t="s">
        <v>152</v>
      </c>
      <c r="E255" s="578">
        <v>0.5</v>
      </c>
      <c r="F255" s="334">
        <f>$E$255*Morwind!F115</f>
        <v>2351.923563996444</v>
      </c>
      <c r="G255" s="334">
        <f>$E$255*Morwind!G115</f>
        <v>3763.0777023943101</v>
      </c>
      <c r="H255" s="334">
        <f>$E$255*Morwind!H115</f>
        <v>2257.8466214365862</v>
      </c>
      <c r="I255" s="334">
        <f>$E$255*Morwind!I115</f>
        <v>1354.7079728619515</v>
      </c>
      <c r="J255" s="334">
        <f>$E$255*Morwind!J115</f>
        <v>1354.7079728619515</v>
      </c>
      <c r="K255" s="334">
        <f>$E$255*Morwind!K115</f>
        <v>677.35398643097574</v>
      </c>
      <c r="L255" s="334">
        <f>$E$255*Morwind!L115</f>
        <v>0</v>
      </c>
      <c r="M255" s="334">
        <f>$E$255*Morwind!M115</f>
        <v>0</v>
      </c>
      <c r="N255" s="334">
        <f>$E$255*Morwind!N115</f>
        <v>0</v>
      </c>
      <c r="O255" s="334">
        <f>$E$255*Morwind!O115</f>
        <v>0</v>
      </c>
      <c r="P255" s="334">
        <f>$E$255*Morwind!P115</f>
        <v>0</v>
      </c>
      <c r="Q255" s="334">
        <f>$E$255*Morwind!Q115</f>
        <v>0</v>
      </c>
      <c r="R255" s="334">
        <f>$E$255*Morwind!R115</f>
        <v>0</v>
      </c>
      <c r="S255" s="334">
        <f>$E$255*Morwind!S115</f>
        <v>0</v>
      </c>
      <c r="T255" s="334">
        <f>$E$255*Morwind!T115</f>
        <v>0</v>
      </c>
      <c r="U255" s="334">
        <f>$E$255*Morwind!U115</f>
        <v>0</v>
      </c>
      <c r="V255" s="334">
        <f>$E$255*Morwind!V115</f>
        <v>0</v>
      </c>
      <c r="W255" s="334">
        <f>$E$255*Morwind!W115</f>
        <v>0</v>
      </c>
      <c r="X255" s="334">
        <f>$E$255*Morwind!X115</f>
        <v>0</v>
      </c>
      <c r="Y255" s="334">
        <f>$E$255*Morwind!Y115</f>
        <v>0</v>
      </c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</row>
    <row r="256" spans="2:35">
      <c r="C256" s="271" t="s">
        <v>153</v>
      </c>
      <c r="E256" s="578">
        <v>0.5</v>
      </c>
      <c r="F256" s="334">
        <f>$E$256*VG!F115</f>
        <v>2043.3230997352043</v>
      </c>
      <c r="G256" s="334">
        <f>$E$256*VG!G115</f>
        <v>3269.316959576327</v>
      </c>
      <c r="H256" s="334">
        <f>$E$256*VG!H115</f>
        <v>1961.5901757457962</v>
      </c>
      <c r="I256" s="334">
        <f>$E$256*VG!I115</f>
        <v>1176.9541054474776</v>
      </c>
      <c r="J256" s="334">
        <f>$E$256*VG!J115</f>
        <v>1176.9541054474776</v>
      </c>
      <c r="K256" s="334">
        <f>$E$256*VG!K115</f>
        <v>588.47705272373878</v>
      </c>
      <c r="L256" s="334">
        <f>$E$256*VG!L115</f>
        <v>0</v>
      </c>
      <c r="M256" s="334">
        <f>$E$256*VG!M115</f>
        <v>0</v>
      </c>
      <c r="N256" s="334">
        <f>$E$256*VG!N115</f>
        <v>0</v>
      </c>
      <c r="O256" s="334">
        <f>$E$256*VG!O115</f>
        <v>0</v>
      </c>
      <c r="P256" s="334">
        <f>$E$256*VG!P115</f>
        <v>0</v>
      </c>
      <c r="Q256" s="334">
        <f>$E$256*VG!Q115</f>
        <v>0</v>
      </c>
      <c r="R256" s="334">
        <f>$E$256*VG!R115</f>
        <v>0</v>
      </c>
      <c r="S256" s="334">
        <f>$E$256*VG!S115</f>
        <v>0</v>
      </c>
      <c r="T256" s="334">
        <f>$E$256*VG!T115</f>
        <v>0</v>
      </c>
      <c r="U256" s="334">
        <f>$E$256*VG!U115</f>
        <v>0</v>
      </c>
      <c r="V256" s="334">
        <f>$E$256*VG!V115</f>
        <v>0</v>
      </c>
      <c r="W256" s="334">
        <f>$E$256*VG!W115</f>
        <v>0</v>
      </c>
      <c r="X256" s="334">
        <f>$E$256*VG!X115</f>
        <v>0</v>
      </c>
      <c r="Y256" s="334">
        <f>$E$256*VG!Y115</f>
        <v>0</v>
      </c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</row>
    <row r="257" spans="3:35">
      <c r="C257" s="271" t="s">
        <v>154</v>
      </c>
      <c r="E257" s="578">
        <v>0.5</v>
      </c>
      <c r="F257" s="334">
        <f>$E$257*'WPP 92'!F115</f>
        <v>1113.8767003555149</v>
      </c>
      <c r="G257" s="334">
        <f>$E$257*'WPP 92'!G115</f>
        <v>1782.2027205688239</v>
      </c>
      <c r="H257" s="334">
        <f>$E$257*'WPP 92'!H115</f>
        <v>1069.3216323412944</v>
      </c>
      <c r="I257" s="334">
        <f>$E$257*'WPP 92'!I115</f>
        <v>641.59297940477654</v>
      </c>
      <c r="J257" s="334">
        <f>$E$257*'WPP 92'!J115</f>
        <v>641.59297940477654</v>
      </c>
      <c r="K257" s="334">
        <f>$E$257*'WPP 92'!K115</f>
        <v>320.79648970238827</v>
      </c>
      <c r="L257" s="334">
        <f>$E$257*'WPP 92'!L115</f>
        <v>0</v>
      </c>
      <c r="M257" s="334">
        <f>$E$257*'WPP 92'!M115</f>
        <v>0</v>
      </c>
      <c r="N257" s="334">
        <f>$E$257*'WPP 92'!N115</f>
        <v>0</v>
      </c>
      <c r="O257" s="334">
        <f>$E$257*'WPP 92'!O115</f>
        <v>0</v>
      </c>
      <c r="P257" s="334">
        <f>$E$257*'WPP 92'!P115</f>
        <v>0</v>
      </c>
      <c r="Q257" s="334">
        <f>$E$257*'WPP 92'!Q115</f>
        <v>0</v>
      </c>
      <c r="R257" s="334">
        <f>$E$257*'WPP 92'!R115</f>
        <v>0</v>
      </c>
      <c r="S257" s="334">
        <f>$E$257*'WPP 92'!S115</f>
        <v>0</v>
      </c>
      <c r="T257" s="334">
        <f>$E$257*'WPP 92'!T115</f>
        <v>0</v>
      </c>
      <c r="U257" s="334">
        <f>$E$257*'WPP 92'!U115</f>
        <v>0</v>
      </c>
      <c r="V257" s="334">
        <f>$E$257*'WPP 92'!V115</f>
        <v>0</v>
      </c>
      <c r="W257" s="334">
        <f>$E$257*'WPP 92'!W115</f>
        <v>0</v>
      </c>
      <c r="X257" s="334">
        <f>$E$257*'WPP 92'!X115</f>
        <v>0</v>
      </c>
      <c r="Y257" s="334">
        <f>$E$257*'WPP 92'!Y115</f>
        <v>0</v>
      </c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</row>
    <row r="258" spans="3:35">
      <c r="C258" s="271" t="s">
        <v>155</v>
      </c>
      <c r="E258" s="578">
        <v>0.5</v>
      </c>
      <c r="F258" s="334">
        <f>$E$258*'WPP 91-2'!F115</f>
        <v>577.70000869788964</v>
      </c>
      <c r="G258" s="334">
        <f>$E$258*'WPP 91-2'!G115</f>
        <v>924.32001391662345</v>
      </c>
      <c r="H258" s="334">
        <f>$E$258*'WPP 91-2'!H115</f>
        <v>554.59200834997409</v>
      </c>
      <c r="I258" s="334">
        <f>$E$258*'WPP 91-2'!I115</f>
        <v>332.75520500998442</v>
      </c>
      <c r="J258" s="334">
        <f>$E$258*'WPP 91-2'!J115</f>
        <v>332.75520500998442</v>
      </c>
      <c r="K258" s="334">
        <f>$E$258*'WPP 91-2'!K115</f>
        <v>166.37760250499221</v>
      </c>
      <c r="L258" s="334">
        <f>$E$258*'WPP 91-2'!L115</f>
        <v>0</v>
      </c>
      <c r="M258" s="334">
        <f>$E$258*'WPP 91-2'!M115</f>
        <v>0</v>
      </c>
      <c r="N258" s="334">
        <f>$E$258*'WPP 91-2'!N115</f>
        <v>0</v>
      </c>
      <c r="O258" s="334">
        <f>$E$258*'WPP 91-2'!O115</f>
        <v>0</v>
      </c>
      <c r="P258" s="334">
        <f>$E$258*'WPP 91-2'!P115</f>
        <v>0</v>
      </c>
      <c r="Q258" s="334">
        <f>$E$258*'WPP 91-2'!Q115</f>
        <v>0</v>
      </c>
      <c r="R258" s="334">
        <f>$E$258*'WPP 91-2'!R115</f>
        <v>0</v>
      </c>
      <c r="S258" s="334">
        <f>$E$258*'WPP 91-2'!S115</f>
        <v>0</v>
      </c>
      <c r="T258" s="334">
        <f>$E$258*'WPP 91-2'!T115</f>
        <v>0</v>
      </c>
      <c r="U258" s="334">
        <f>$E$258*'WPP 91-2'!U115</f>
        <v>0</v>
      </c>
      <c r="V258" s="334">
        <f>$E$258*'WPP 91-2'!V115</f>
        <v>0</v>
      </c>
      <c r="W258" s="334">
        <f>$E$258*'WPP 91-2'!W115</f>
        <v>0</v>
      </c>
      <c r="X258" s="334">
        <f>$E$258*'WPP 91-2'!X115</f>
        <v>0</v>
      </c>
      <c r="Y258" s="334">
        <f>$E$258*'WPP 91-2'!Y115</f>
        <v>0</v>
      </c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</row>
    <row r="259" spans="3:35">
      <c r="C259" s="271" t="s">
        <v>156</v>
      </c>
      <c r="E259" s="578">
        <v>0</v>
      </c>
      <c r="F259" s="334">
        <v>0</v>
      </c>
      <c r="G259" s="334">
        <v>0</v>
      </c>
      <c r="H259" s="334">
        <v>0</v>
      </c>
      <c r="I259" s="334">
        <v>0</v>
      </c>
      <c r="J259" s="334">
        <v>0</v>
      </c>
      <c r="K259" s="334">
        <v>0</v>
      </c>
      <c r="L259" s="334">
        <v>0</v>
      </c>
      <c r="M259" s="334">
        <v>0</v>
      </c>
      <c r="N259" s="334">
        <v>0</v>
      </c>
      <c r="O259" s="334">
        <v>0</v>
      </c>
      <c r="P259" s="334">
        <v>0</v>
      </c>
      <c r="Q259" s="334">
        <v>0</v>
      </c>
      <c r="R259" s="334">
        <v>0</v>
      </c>
      <c r="S259" s="334">
        <v>0</v>
      </c>
      <c r="T259" s="334">
        <v>0</v>
      </c>
      <c r="U259" s="334">
        <v>0</v>
      </c>
      <c r="V259" s="334">
        <v>0</v>
      </c>
      <c r="W259" s="334">
        <v>0</v>
      </c>
      <c r="X259" s="334">
        <v>0</v>
      </c>
      <c r="Y259" s="334">
        <v>0</v>
      </c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</row>
    <row r="260" spans="3:35">
      <c r="C260" s="271" t="s">
        <v>157</v>
      </c>
      <c r="E260" s="578">
        <v>0.5</v>
      </c>
      <c r="F260" s="334">
        <f>$E$260*'WPP 89'!F115</f>
        <v>2020.2055630992791</v>
      </c>
      <c r="G260" s="334">
        <f>$E$260*'WPP 89'!G115</f>
        <v>3232.3289009588461</v>
      </c>
      <c r="H260" s="334">
        <f>$E$260*'WPP 89'!H115</f>
        <v>1939.3973405753077</v>
      </c>
      <c r="I260" s="334">
        <f>$E$260*'WPP 89'!I115</f>
        <v>1163.6384043451847</v>
      </c>
      <c r="J260" s="334">
        <f>$E$260*'WPP 89'!J115</f>
        <v>1163.6384043451847</v>
      </c>
      <c r="K260" s="334">
        <f>$E$260*'WPP 89'!K115</f>
        <v>581.81920217259233</v>
      </c>
      <c r="L260" s="334">
        <f>$E$260*'WPP 89'!L115</f>
        <v>0</v>
      </c>
      <c r="M260" s="334">
        <f>$E$260*'WPP 89'!M115</f>
        <v>0</v>
      </c>
      <c r="N260" s="334">
        <f>$E$260*'WPP 89'!N115</f>
        <v>0</v>
      </c>
      <c r="O260" s="334">
        <f>$E$260*'WPP 89'!O115</f>
        <v>0</v>
      </c>
      <c r="P260" s="334">
        <f>$E$260*'WPP 89'!P115</f>
        <v>0</v>
      </c>
      <c r="Q260" s="334">
        <f>$E$260*'WPP 89'!Q115</f>
        <v>0</v>
      </c>
      <c r="R260" s="334">
        <f>$E$260*'WPP 89'!R115</f>
        <v>0</v>
      </c>
      <c r="S260" s="334">
        <f>$E$260*'WPP 89'!S115</f>
        <v>0</v>
      </c>
      <c r="T260" s="334">
        <f>$E$260*'WPP 89'!T115</f>
        <v>0</v>
      </c>
      <c r="U260" s="334">
        <f>$E$260*'WPP 89'!U115</f>
        <v>0</v>
      </c>
      <c r="V260" s="334">
        <f>$E$260*'WPP 89'!V115</f>
        <v>0</v>
      </c>
      <c r="W260" s="334">
        <f>$E$260*'WPP 89'!W115</f>
        <v>0</v>
      </c>
      <c r="X260" s="334">
        <f>$E$260*'WPP 89'!X115</f>
        <v>0</v>
      </c>
      <c r="Y260" s="334">
        <f>$E$260*'WPP 89'!Y115</f>
        <v>0</v>
      </c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</row>
    <row r="261" spans="3:35">
      <c r="C261" s="271" t="s">
        <v>158</v>
      </c>
      <c r="E261" s="578">
        <v>0.5</v>
      </c>
      <c r="F261" s="334">
        <f>$E$261*'WPP 91'!F115</f>
        <v>543.11014201944715</v>
      </c>
      <c r="G261" s="334">
        <f>$E$261*'WPP 91'!G115</f>
        <v>868.97622723111544</v>
      </c>
      <c r="H261" s="334">
        <f>$E$261*'WPP 91'!H115</f>
        <v>521.38573633866929</v>
      </c>
      <c r="I261" s="334">
        <f>$E$261*'WPP 91'!I115</f>
        <v>312.83144180320159</v>
      </c>
      <c r="J261" s="334">
        <f>$E$261*'WPP 91'!J115</f>
        <v>312.83144180320159</v>
      </c>
      <c r="K261" s="334">
        <f>$E$261*'WPP 91'!K115</f>
        <v>156.41572090160079</v>
      </c>
      <c r="L261" s="334">
        <f>$E$261*'WPP 91'!L115</f>
        <v>0</v>
      </c>
      <c r="M261" s="334">
        <f>$E$261*'WPP 91'!M115</f>
        <v>0</v>
      </c>
      <c r="N261" s="334">
        <f>$E$261*'WPP 91'!N115</f>
        <v>0</v>
      </c>
      <c r="O261" s="334">
        <f>$E$261*'WPP 91'!O115</f>
        <v>0</v>
      </c>
      <c r="P261" s="334">
        <f>$E$261*'WPP 91'!P115</f>
        <v>0</v>
      </c>
      <c r="Q261" s="334">
        <f>$E$261*'WPP 91'!Q115</f>
        <v>0</v>
      </c>
      <c r="R261" s="334">
        <f>$E$261*'WPP 91'!R115</f>
        <v>0</v>
      </c>
      <c r="S261" s="334">
        <f>$E$261*'WPP 91'!S115</f>
        <v>0</v>
      </c>
      <c r="T261" s="334">
        <f>$E$261*'WPP 91'!T115</f>
        <v>0</v>
      </c>
      <c r="U261" s="334">
        <f>$E$261*'WPP 91'!U115</f>
        <v>0</v>
      </c>
      <c r="V261" s="334">
        <f>$E$261*'WPP 91'!V115</f>
        <v>0</v>
      </c>
      <c r="W261" s="334">
        <f>$E$261*'WPP 91'!W115</f>
        <v>0</v>
      </c>
      <c r="X261" s="334">
        <f>$E$261*'WPP 91'!X115</f>
        <v>0</v>
      </c>
      <c r="Y261" s="334">
        <f>$E$261*'WPP 91'!Y115</f>
        <v>0</v>
      </c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</row>
    <row r="262" spans="3:35">
      <c r="C262" s="271" t="s">
        <v>159</v>
      </c>
      <c r="E262" s="578">
        <v>0.5</v>
      </c>
      <c r="F262" s="334">
        <f>$E$262*'WPP 90'!F115</f>
        <v>487.74299033437012</v>
      </c>
      <c r="G262" s="334">
        <f>$E$262*'WPP 90'!G115</f>
        <v>780.38878453499217</v>
      </c>
      <c r="H262" s="334">
        <f>$E$262*'WPP 90'!H115</f>
        <v>468.23327072099528</v>
      </c>
      <c r="I262" s="334">
        <f>$E$262*'WPP 90'!I115</f>
        <v>280.93996243259716</v>
      </c>
      <c r="J262" s="334">
        <f>$E$262*'WPP 90'!J115</f>
        <v>280.93996243259716</v>
      </c>
      <c r="K262" s="334">
        <f>$E$262*'WPP 90'!K115</f>
        <v>140.46998121629858</v>
      </c>
      <c r="L262" s="334">
        <f>$E$262*'WPP 90'!L115</f>
        <v>0</v>
      </c>
      <c r="M262" s="334">
        <f>$E$262*'WPP 90'!M115</f>
        <v>0</v>
      </c>
      <c r="N262" s="334">
        <f>$E$262*'WPP 90'!N115</f>
        <v>0</v>
      </c>
      <c r="O262" s="334">
        <f>$E$262*'WPP 90'!O115</f>
        <v>0</v>
      </c>
      <c r="P262" s="334">
        <f>$E$262*'WPP 90'!P115</f>
        <v>0</v>
      </c>
      <c r="Q262" s="334">
        <f>$E$262*'WPP 90'!Q115</f>
        <v>0</v>
      </c>
      <c r="R262" s="334">
        <f>$E$262*'WPP 90'!R115</f>
        <v>0</v>
      </c>
      <c r="S262" s="334">
        <f>$E$262*'WPP 90'!S115</f>
        <v>0</v>
      </c>
      <c r="T262" s="334">
        <f>$E$262*'WPP 90'!T115</f>
        <v>0</v>
      </c>
      <c r="U262" s="334">
        <f>$E$262*'WPP 90'!U115</f>
        <v>0</v>
      </c>
      <c r="V262" s="334">
        <f>$E$262*'WPP 90'!V115</f>
        <v>0</v>
      </c>
      <c r="W262" s="334">
        <f>$E$262*'WPP 90'!W115</f>
        <v>0</v>
      </c>
      <c r="X262" s="334">
        <f>$E$262*'WPP 90'!X115</f>
        <v>0</v>
      </c>
      <c r="Y262" s="334">
        <f>$E$262*'WPP 90'!Y115</f>
        <v>0</v>
      </c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</row>
    <row r="263" spans="3:35">
      <c r="C263" s="271" t="s">
        <v>160</v>
      </c>
      <c r="E263" s="578">
        <v>0</v>
      </c>
      <c r="F263" s="599">
        <v>0</v>
      </c>
      <c r="G263" s="599">
        <v>0</v>
      </c>
      <c r="H263" s="599">
        <v>0</v>
      </c>
      <c r="I263" s="599">
        <v>0</v>
      </c>
      <c r="J263" s="599">
        <v>0</v>
      </c>
      <c r="K263" s="599">
        <v>0</v>
      </c>
      <c r="L263" s="599">
        <v>0</v>
      </c>
      <c r="M263" s="599">
        <v>0</v>
      </c>
      <c r="N263" s="599">
        <v>0</v>
      </c>
      <c r="O263" s="599">
        <v>0</v>
      </c>
      <c r="P263" s="599">
        <v>0</v>
      </c>
      <c r="Q263" s="599">
        <v>0</v>
      </c>
      <c r="R263" s="599">
        <v>0</v>
      </c>
      <c r="S263" s="599">
        <v>0</v>
      </c>
      <c r="T263" s="599">
        <v>0</v>
      </c>
      <c r="U263" s="599">
        <v>0</v>
      </c>
      <c r="V263" s="599">
        <v>0</v>
      </c>
      <c r="W263" s="599">
        <v>0</v>
      </c>
      <c r="X263" s="599">
        <v>0</v>
      </c>
      <c r="Y263" s="599">
        <v>0</v>
      </c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</row>
    <row r="264" spans="3:35">
      <c r="C264" s="562" t="s">
        <v>255</v>
      </c>
      <c r="F264" s="584">
        <f>SUM(F246:F263)</f>
        <v>83651.548217783449</v>
      </c>
      <c r="G264" s="584">
        <f t="shared" ref="G264:Y264" si="27">SUM(G246:G263)</f>
        <v>133842.47714845347</v>
      </c>
      <c r="H264" s="584">
        <f t="shared" si="27"/>
        <v>80305.486289072083</v>
      </c>
      <c r="I264" s="584">
        <f t="shared" si="27"/>
        <v>48183.291773443234</v>
      </c>
      <c r="J264" s="584">
        <f t="shared" si="27"/>
        <v>48183.291773443234</v>
      </c>
      <c r="K264" s="584">
        <f t="shared" si="27"/>
        <v>24091.645886721617</v>
      </c>
      <c r="L264" s="584">
        <f t="shared" si="27"/>
        <v>0</v>
      </c>
      <c r="M264" s="584">
        <f t="shared" si="27"/>
        <v>0</v>
      </c>
      <c r="N264" s="584">
        <f t="shared" si="27"/>
        <v>0</v>
      </c>
      <c r="O264" s="584">
        <f t="shared" si="27"/>
        <v>0</v>
      </c>
      <c r="P264" s="584">
        <f t="shared" si="27"/>
        <v>0</v>
      </c>
      <c r="Q264" s="584">
        <f t="shared" si="27"/>
        <v>0</v>
      </c>
      <c r="R264" s="584">
        <f t="shared" si="27"/>
        <v>0</v>
      </c>
      <c r="S264" s="584">
        <f t="shared" si="27"/>
        <v>0</v>
      </c>
      <c r="T264" s="584">
        <f t="shared" si="27"/>
        <v>0</v>
      </c>
      <c r="U264" s="584">
        <f t="shared" si="27"/>
        <v>0</v>
      </c>
      <c r="V264" s="584">
        <f t="shared" si="27"/>
        <v>0</v>
      </c>
      <c r="W264" s="584">
        <f t="shared" si="27"/>
        <v>0</v>
      </c>
      <c r="X264" s="584">
        <f t="shared" si="27"/>
        <v>0</v>
      </c>
      <c r="Y264" s="584">
        <f t="shared" si="27"/>
        <v>0</v>
      </c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</row>
    <row r="265" spans="3:35"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</row>
    <row r="266" spans="3:35"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</row>
  </sheetData>
  <pageMargins left="0.5" right="0.5" top="0.75" bottom="0.5" header="0.25" footer="0.25"/>
  <pageSetup scale="48" orientation="landscape" r:id="rId1"/>
  <headerFooter alignWithMargins="0">
    <oddHeader>&amp;L&amp;12NewCo&amp;RCONFIDENTIAL</oddHeader>
    <oddFooter>&amp;L&amp;D&amp;C&amp;F&amp;RPage &amp;P</oddFooter>
  </headerFooter>
  <rowBreaks count="2" manualBreakCount="2">
    <brk id="78" max="16383" man="1"/>
    <brk id="152" max="24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[17]FINANCIALS!F$9</f>
        <v>5135.924</v>
      </c>
      <c r="F11" s="336">
        <f>[17]FINANCIALS!G$9</f>
        <v>4860.5940000000001</v>
      </c>
      <c r="G11" s="336">
        <f>[17]FINANCIALS!H$9</f>
        <v>4883.3599999999997</v>
      </c>
      <c r="H11" s="336">
        <f>[17]FINANCIALS!I$9</f>
        <v>4917.509</v>
      </c>
      <c r="I11" s="336">
        <f>[17]FINANCIALS!J$9</f>
        <v>4940.2749999999996</v>
      </c>
      <c r="J11" s="336">
        <f>[17]FINANCIALS!K$9</f>
        <v>5052.5122828681779</v>
      </c>
      <c r="K11" s="336">
        <f>[17]FINANCIALS!L$9</f>
        <v>5085.369607768208</v>
      </c>
      <c r="L11" s="336">
        <f>[17]FINANCIALS!M$9</f>
        <v>5119.8649811236664</v>
      </c>
      <c r="M11" s="336">
        <f>[17]FINANCIALS!N$9</f>
        <v>5154.7457776451074</v>
      </c>
      <c r="N11" s="336">
        <f>[17]FINANCIALS!O$9</f>
        <v>5189.7229299580431</v>
      </c>
      <c r="O11" s="336">
        <f>[17]FINANCIALS!P$9</f>
        <v>5227.6871118073468</v>
      </c>
      <c r="P11" s="336">
        <f>[17]FINANCIALS!Q$9</f>
        <v>5267.4820536950692</v>
      </c>
      <c r="Q11" s="336">
        <f>[17]FINANCIALS!R$9</f>
        <v>5308.4332650807391</v>
      </c>
      <c r="R11" s="336">
        <f>[17]FINANCIALS!S$9</f>
        <v>5350.5407459643566</v>
      </c>
      <c r="S11" s="336">
        <f>[17]FINANCIALS!T$9</f>
        <v>5394.2862753034005</v>
      </c>
      <c r="T11" s="336">
        <f>[17]FINANCIALS!U$9</f>
        <v>5438.899006765907</v>
      </c>
      <c r="U11" s="336">
        <f>[17]FINANCIALS!V$9</f>
        <v>5483.3190266454221</v>
      </c>
      <c r="V11" s="336">
        <f>[17]FINANCIALS!W$9</f>
        <v>5528.4135370654067</v>
      </c>
      <c r="W11" s="336">
        <f>[17]FINANCIALS!X$9</f>
        <v>4444.6999501133432</v>
      </c>
      <c r="X11" s="336">
        <f>[17]FINANCIALS!Y$9</f>
        <v>2890.6737448708009</v>
      </c>
      <c r="Y11" s="336">
        <f>[17]FINANCIALS!Z$9</f>
        <v>2890.6737448708009</v>
      </c>
      <c r="AA11" s="606">
        <f t="shared" si="1"/>
        <v>98429.062041545782</v>
      </c>
      <c r="AB11" s="607">
        <f t="shared" ref="AB11:AB74" si="2">AA11*$C$60</f>
        <v>98429.062041545782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5135.924</v>
      </c>
      <c r="F20" s="90">
        <f t="shared" si="3"/>
        <v>4860.5940000000001</v>
      </c>
      <c r="G20" s="90">
        <f t="shared" si="3"/>
        <v>4883.3599999999997</v>
      </c>
      <c r="H20" s="90">
        <f t="shared" si="3"/>
        <v>4917.509</v>
      </c>
      <c r="I20" s="90">
        <f t="shared" si="3"/>
        <v>4940.2749999999996</v>
      </c>
      <c r="J20" s="90">
        <f t="shared" si="3"/>
        <v>5052.5122828681779</v>
      </c>
      <c r="K20" s="90">
        <f t="shared" si="3"/>
        <v>5085.369607768208</v>
      </c>
      <c r="L20" s="90">
        <f t="shared" si="3"/>
        <v>5119.8649811236664</v>
      </c>
      <c r="M20" s="90">
        <f t="shared" si="3"/>
        <v>5154.7457776451074</v>
      </c>
      <c r="N20" s="90">
        <f t="shared" si="3"/>
        <v>5189.7229299580431</v>
      </c>
      <c r="O20" s="90">
        <f t="shared" si="3"/>
        <v>5227.6871118073468</v>
      </c>
      <c r="P20" s="90">
        <f t="shared" si="3"/>
        <v>5267.4820536950692</v>
      </c>
      <c r="Q20" s="90">
        <f t="shared" si="3"/>
        <v>5308.4332650807391</v>
      </c>
      <c r="R20" s="90">
        <f t="shared" si="3"/>
        <v>5350.5407459643566</v>
      </c>
      <c r="S20" s="90">
        <f t="shared" si="3"/>
        <v>5394.2862753034005</v>
      </c>
      <c r="T20" s="90">
        <f t="shared" si="3"/>
        <v>5438.899006765907</v>
      </c>
      <c r="U20" s="90">
        <f t="shared" si="3"/>
        <v>5483.3190266454221</v>
      </c>
      <c r="V20" s="90">
        <f t="shared" si="3"/>
        <v>5528.4135370654067</v>
      </c>
      <c r="W20" s="90">
        <f t="shared" si="3"/>
        <v>4444.6999501133432</v>
      </c>
      <c r="X20" s="90">
        <f t="shared" si="3"/>
        <v>2890.6737448708009</v>
      </c>
      <c r="Y20" s="90">
        <f t="shared" si="3"/>
        <v>2890.6737448708009</v>
      </c>
      <c r="AA20" s="606">
        <f t="shared" si="1"/>
        <v>98429.062041545782</v>
      </c>
      <c r="AB20" s="607">
        <f t="shared" si="2"/>
        <v>98429.062041545782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SUM([17]FINANCIALS!F$14:F$17)</f>
        <v>621.33799999999997</v>
      </c>
      <c r="F25" s="336">
        <f>SUM([17]FINANCIALS!G$14:G$17)</f>
        <v>613.65499999999997</v>
      </c>
      <c r="G25" s="336">
        <f>SUM([17]FINANCIALS!H$14:H$17)</f>
        <v>781.51299999999992</v>
      </c>
      <c r="H25" s="336">
        <f>SUM([17]FINANCIALS!I$14:I$17)</f>
        <v>797.68499999999995</v>
      </c>
      <c r="I25" s="336">
        <f>SUM([17]FINANCIALS!J$14:J$17)</f>
        <v>790.21899999999994</v>
      </c>
      <c r="J25" s="336">
        <f>SUM([17]FINANCIALS!K$14:K$17)</f>
        <v>998.20595831609899</v>
      </c>
      <c r="K25" s="336">
        <f>SUM([17]FINANCIALS!L$14:L$17)</f>
        <v>1011.4121625755809</v>
      </c>
      <c r="L25" s="336">
        <f>SUM([17]FINANCIALS!M$14:M$17)</f>
        <v>1024.8824909202526</v>
      </c>
      <c r="M25" s="336">
        <f>SUM([17]FINANCIALS!N$14:N$17)</f>
        <v>1038.6222258318176</v>
      </c>
      <c r="N25" s="336">
        <f>SUM([17]FINANCIALS!O$14:O$17)</f>
        <v>1052.636755441614</v>
      </c>
      <c r="O25" s="336">
        <f>SUM([17]FINANCIALS!P$14:P$17)</f>
        <v>1066.9315756436063</v>
      </c>
      <c r="P25" s="336">
        <f>SUM([17]FINANCIALS!Q$14:Q$17)</f>
        <v>1081.5122922496384</v>
      </c>
      <c r="Q25" s="336">
        <f>SUM([17]FINANCIALS!R$14:R$17)</f>
        <v>1096.384623187791</v>
      </c>
      <c r="R25" s="336">
        <f>SUM([17]FINANCIALS!S$14:S$17)</f>
        <v>1111.5544007447068</v>
      </c>
      <c r="S25" s="336">
        <f>SUM([17]FINANCIALS!T$14:T$17)</f>
        <v>1127.027573852761</v>
      </c>
      <c r="T25" s="336">
        <f>SUM([17]FINANCIALS!U$14:U$17)</f>
        <v>1142.8102104229761</v>
      </c>
      <c r="U25" s="336">
        <f>SUM([17]FINANCIALS!V$14:V$17)</f>
        <v>1158.9084997245959</v>
      </c>
      <c r="V25" s="336">
        <f>SUM([17]FINANCIALS!W$14:W$17)</f>
        <v>1175.3287548122476</v>
      </c>
      <c r="W25" s="336">
        <f>SUM([17]FINANCIALS!X$14:X$17)</f>
        <v>1192.0774150016528</v>
      </c>
      <c r="X25" s="336">
        <f>SUM([17]FINANCIALS!Y$14:Y$17)</f>
        <v>1209.1610483948459</v>
      </c>
      <c r="Y25" s="336">
        <f>SUM([17]FINANCIALS!Z$14:Z$17)</f>
        <v>1226.5863544559029</v>
      </c>
      <c r="AA25" s="606">
        <f t="shared" si="1"/>
        <v>20697.114341576089</v>
      </c>
      <c r="AB25" s="607">
        <f t="shared" si="2"/>
        <v>20697.114341576089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[17]FINANCIALS!F$18</f>
        <v>65.143000000000001</v>
      </c>
      <c r="F28" s="336">
        <f>[17]FINANCIALS!G$18</f>
        <v>66</v>
      </c>
      <c r="G28" s="336">
        <f>[17]FINANCIALS!H$18</f>
        <v>68</v>
      </c>
      <c r="H28" s="336">
        <f>[17]FINANCIALS!I$18</f>
        <v>69</v>
      </c>
      <c r="I28" s="336">
        <f>[17]FINANCIALS!J$18</f>
        <v>71</v>
      </c>
      <c r="J28" s="336">
        <f>[17]FINANCIALS!K$18</f>
        <v>72.42</v>
      </c>
      <c r="K28" s="336">
        <f>[17]FINANCIALS!L$18</f>
        <v>73.868400000000008</v>
      </c>
      <c r="L28" s="336">
        <f>[17]FINANCIALS!M$18</f>
        <v>75.345768000000007</v>
      </c>
      <c r="M28" s="336">
        <f>[17]FINANCIALS!N$18</f>
        <v>76.852683360000015</v>
      </c>
      <c r="N28" s="336">
        <f>[17]FINANCIALS!O$18</f>
        <v>78.389737027200013</v>
      </c>
      <c r="O28" s="336">
        <f>[17]FINANCIALS!P$18</f>
        <v>79.957531767744015</v>
      </c>
      <c r="P28" s="336">
        <f>[17]FINANCIALS!Q$18</f>
        <v>81.556682403098904</v>
      </c>
      <c r="Q28" s="336">
        <f>[17]FINANCIALS!R$18</f>
        <v>83.18781605116088</v>
      </c>
      <c r="R28" s="336">
        <f>[17]FINANCIALS!S$18</f>
        <v>84.851572372184094</v>
      </c>
      <c r="S28" s="336">
        <f>[17]FINANCIALS!T$18</f>
        <v>86.548603819627772</v>
      </c>
      <c r="T28" s="336">
        <f>[17]FINANCIALS!U$18</f>
        <v>88.279575896020333</v>
      </c>
      <c r="U28" s="336">
        <f>[17]FINANCIALS!V$18</f>
        <v>90.045167413940746</v>
      </c>
      <c r="V28" s="336">
        <f>[17]FINANCIALS!W$18</f>
        <v>91.846070762219568</v>
      </c>
      <c r="W28" s="336">
        <f>[17]FINANCIALS!X$18</f>
        <v>93.682992177463959</v>
      </c>
      <c r="X28" s="336">
        <f>[17]FINANCIALS!Y$18</f>
        <v>95.556652021013235</v>
      </c>
      <c r="Y28" s="336">
        <f>[17]FINANCIALS!Z$18</f>
        <v>97.467785061433503</v>
      </c>
      <c r="AA28" s="606">
        <f t="shared" si="1"/>
        <v>1623.8570381331072</v>
      </c>
      <c r="AB28" s="607">
        <f t="shared" si="2"/>
        <v>1623.8570381331072</v>
      </c>
    </row>
    <row r="29" spans="1:28">
      <c r="A29" s="4" t="s">
        <v>4</v>
      </c>
      <c r="D29" s="90">
        <v>0</v>
      </c>
      <c r="E29" s="336">
        <f>[17]FINANCIALS!F$19+[17]FINANCIALS!F$22</f>
        <v>53</v>
      </c>
      <c r="F29" s="336">
        <f>[17]FINANCIALS!G$19+[17]FINANCIALS!G$22</f>
        <v>73.460000000000008</v>
      </c>
      <c r="G29" s="336">
        <f>[17]FINANCIALS!H$19+[17]FINANCIALS!H$22</f>
        <v>33.929000000000002</v>
      </c>
      <c r="H29" s="336">
        <f>[17]FINANCIALS!I$19+[17]FINANCIALS!I$22</f>
        <v>34.408000000000001</v>
      </c>
      <c r="I29" s="336">
        <f>[17]FINANCIALS!J$19+[17]FINANCIALS!J$22</f>
        <v>34.896000000000001</v>
      </c>
      <c r="J29" s="336">
        <f>[17]FINANCIALS!K$19+[17]FINANCIALS!K$22</f>
        <v>25.393920000000001</v>
      </c>
      <c r="K29" s="336">
        <f>[17]FINANCIALS!L$19+[17]FINANCIALS!L$22</f>
        <v>25.901798400000001</v>
      </c>
      <c r="L29" s="336">
        <f>[17]FINANCIALS!M$19+[17]FINANCIALS!M$22</f>
        <v>26.419834368</v>
      </c>
      <c r="M29" s="336">
        <f>[17]FINANCIALS!N$19+[17]FINANCIALS!N$22</f>
        <v>26.948231055360001</v>
      </c>
      <c r="N29" s="336">
        <f>[17]FINANCIALS!O$19+[17]FINANCIALS!O$22</f>
        <v>27.487195676467202</v>
      </c>
      <c r="O29" s="336">
        <f>[17]FINANCIALS!P$19+[17]FINANCIALS!P$22</f>
        <v>28.036939589996546</v>
      </c>
      <c r="P29" s="336">
        <f>[17]FINANCIALS!Q$19+[17]FINANCIALS!Q$22</f>
        <v>28.597678381796477</v>
      </c>
      <c r="Q29" s="336">
        <f>[17]FINANCIALS!R$19+[17]FINANCIALS!R$22</f>
        <v>29.169631949432407</v>
      </c>
      <c r="R29" s="336">
        <f>[17]FINANCIALS!S$19+[17]FINANCIALS!S$22</f>
        <v>29.753024588421056</v>
      </c>
      <c r="S29" s="336">
        <f>[17]FINANCIALS!T$19+[17]FINANCIALS!T$22</f>
        <v>30.348085080189477</v>
      </c>
      <c r="T29" s="336">
        <f>[17]FINANCIALS!U$19+[17]FINANCIALS!U$22</f>
        <v>30.955046781793268</v>
      </c>
      <c r="U29" s="336">
        <f>[17]FINANCIALS!V$19+[17]FINANCIALS!V$22</f>
        <v>31.574147717429135</v>
      </c>
      <c r="V29" s="336">
        <f>[17]FINANCIALS!W$19+[17]FINANCIALS!W$22</f>
        <v>32.205630671777719</v>
      </c>
      <c r="W29" s="336">
        <f>[17]FINANCIALS!X$19+[17]FINANCIALS!X$22</f>
        <v>32.849743285213272</v>
      </c>
      <c r="X29" s="336">
        <f>[17]FINANCIALS!Y$19+[17]FINANCIALS!Y$22</f>
        <v>33.506738150917535</v>
      </c>
      <c r="Y29" s="336">
        <f>[17]FINANCIALS!Z$19+[17]FINANCIALS!Z$22</f>
        <v>34.176872913935888</v>
      </c>
      <c r="AA29" s="606">
        <f t="shared" si="1"/>
        <v>650.01751861073012</v>
      </c>
      <c r="AB29" s="607">
        <f t="shared" si="2"/>
        <v>650.01751861073012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[17]FINANCIALS!F$21</f>
        <v>153</v>
      </c>
      <c r="F34" s="336">
        <f>[17]FINANCIALS!G$21</f>
        <v>156</v>
      </c>
      <c r="G34" s="336">
        <f>[17]FINANCIALS!H$21</f>
        <v>159</v>
      </c>
      <c r="H34" s="336">
        <f>[17]FINANCIALS!I$21</f>
        <v>162</v>
      </c>
      <c r="I34" s="336">
        <f>[17]FINANCIALS!J$21</f>
        <v>165</v>
      </c>
      <c r="J34" s="336">
        <f>[17]FINANCIALS!K$21</f>
        <v>168.3</v>
      </c>
      <c r="K34" s="336">
        <f>[17]FINANCIALS!L$21</f>
        <v>171.66600000000003</v>
      </c>
      <c r="L34" s="336">
        <f>[17]FINANCIALS!M$21</f>
        <v>175.09932000000003</v>
      </c>
      <c r="M34" s="336">
        <f>[17]FINANCIALS!N$21</f>
        <v>178.60130640000003</v>
      </c>
      <c r="N34" s="336">
        <f>[17]FINANCIALS!O$21</f>
        <v>182.17333252800003</v>
      </c>
      <c r="O34" s="336">
        <f>[17]FINANCIALS!P$21</f>
        <v>185.81679917856005</v>
      </c>
      <c r="P34" s="336">
        <f>[17]FINANCIALS!Q$21</f>
        <v>189.53313516213126</v>
      </c>
      <c r="Q34" s="336">
        <f>[17]FINANCIALS!R$21</f>
        <v>193.32379786537388</v>
      </c>
      <c r="R34" s="336">
        <f>[17]FINANCIALS!S$21</f>
        <v>197.19027382268135</v>
      </c>
      <c r="S34" s="336">
        <f>[17]FINANCIALS!T$21</f>
        <v>201.13407929913498</v>
      </c>
      <c r="T34" s="336">
        <f>[17]FINANCIALS!U$21</f>
        <v>205.15676088511768</v>
      </c>
      <c r="U34" s="336">
        <f>[17]FINANCIALS!V$21</f>
        <v>209.25989610282002</v>
      </c>
      <c r="V34" s="336">
        <f>[17]FINANCIALS!W$21</f>
        <v>213.44509402487643</v>
      </c>
      <c r="W34" s="336">
        <f>[17]FINANCIALS!X$21</f>
        <v>217.71399590537396</v>
      </c>
      <c r="X34" s="336">
        <f>[17]FINANCIALS!Y$21</f>
        <v>222.06827582348146</v>
      </c>
      <c r="Y34" s="336">
        <f>[17]FINANCIALS!Z$21</f>
        <v>226.50964133995109</v>
      </c>
      <c r="AA34" s="606">
        <f t="shared" si="1"/>
        <v>3778.9917083375026</v>
      </c>
      <c r="AB34" s="607">
        <f t="shared" si="2"/>
        <v>3778.9917083375026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892.48099999999999</v>
      </c>
      <c r="F36" s="90">
        <f t="shared" si="4"/>
        <v>909.11500000000001</v>
      </c>
      <c r="G36" s="90">
        <f t="shared" si="4"/>
        <v>1042.442</v>
      </c>
      <c r="H36" s="90">
        <f t="shared" si="4"/>
        <v>1063.0929999999998</v>
      </c>
      <c r="I36" s="90">
        <f t="shared" si="4"/>
        <v>1061.1149999999998</v>
      </c>
      <c r="J36" s="90">
        <f t="shared" si="4"/>
        <v>1264.319878316099</v>
      </c>
      <c r="K36" s="90">
        <f t="shared" si="4"/>
        <v>1282.8483609755808</v>
      </c>
      <c r="L36" s="90">
        <f t="shared" si="4"/>
        <v>1301.7474132882526</v>
      </c>
      <c r="M36" s="90">
        <f t="shared" si="4"/>
        <v>1321.0244466471777</v>
      </c>
      <c r="N36" s="90">
        <f t="shared" si="4"/>
        <v>1340.6870206732813</v>
      </c>
      <c r="O36" s="90">
        <f t="shared" si="4"/>
        <v>1360.742846179907</v>
      </c>
      <c r="P36" s="90">
        <f t="shared" si="4"/>
        <v>1381.1997881966649</v>
      </c>
      <c r="Q36" s="90">
        <f t="shared" si="4"/>
        <v>1402.065869053758</v>
      </c>
      <c r="R36" s="90">
        <f t="shared" si="4"/>
        <v>1423.3492715279933</v>
      </c>
      <c r="S36" s="90">
        <f t="shared" si="4"/>
        <v>1445.0583420517132</v>
      </c>
      <c r="T36" s="90">
        <f t="shared" si="4"/>
        <v>1467.2015939859073</v>
      </c>
      <c r="U36" s="90">
        <f t="shared" si="4"/>
        <v>1489.787710958786</v>
      </c>
      <c r="V36" s="90">
        <f t="shared" si="4"/>
        <v>1512.8255502711213</v>
      </c>
      <c r="W36" s="90">
        <f t="shared" si="4"/>
        <v>1536.3241463697041</v>
      </c>
      <c r="X36" s="90">
        <f t="shared" si="4"/>
        <v>1560.292714390258</v>
      </c>
      <c r="Y36" s="90">
        <f t="shared" si="4"/>
        <v>1584.7406537712234</v>
      </c>
      <c r="AA36" s="606">
        <f t="shared" si="1"/>
        <v>26749.980606657431</v>
      </c>
      <c r="AB36" s="607">
        <f t="shared" si="2"/>
        <v>26749.980606657431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4243.4430000000002</v>
      </c>
      <c r="F39" s="93">
        <f t="shared" si="5"/>
        <v>3951.4790000000003</v>
      </c>
      <c r="G39" s="93">
        <f t="shared" si="5"/>
        <v>3840.9179999999997</v>
      </c>
      <c r="H39" s="93">
        <f t="shared" si="5"/>
        <v>3854.4160000000002</v>
      </c>
      <c r="I39" s="93">
        <f t="shared" si="5"/>
        <v>3879.16</v>
      </c>
      <c r="J39" s="93">
        <f t="shared" si="5"/>
        <v>3788.1924045520791</v>
      </c>
      <c r="K39" s="93">
        <f t="shared" si="5"/>
        <v>3802.5212467926272</v>
      </c>
      <c r="L39" s="93">
        <f t="shared" si="5"/>
        <v>3818.1175678354139</v>
      </c>
      <c r="M39" s="93">
        <f t="shared" si="5"/>
        <v>3833.7213309979297</v>
      </c>
      <c r="N39" s="93">
        <f t="shared" si="5"/>
        <v>3849.0359092847621</v>
      </c>
      <c r="O39" s="93">
        <f t="shared" si="5"/>
        <v>3866.9442656274396</v>
      </c>
      <c r="P39" s="93">
        <f t="shared" si="5"/>
        <v>3886.2822654984043</v>
      </c>
      <c r="Q39" s="93">
        <f t="shared" si="5"/>
        <v>3906.3673960269812</v>
      </c>
      <c r="R39" s="93">
        <f t="shared" si="5"/>
        <v>3927.191474436363</v>
      </c>
      <c r="S39" s="93">
        <f t="shared" si="5"/>
        <v>3949.2279332516873</v>
      </c>
      <c r="T39" s="93">
        <f t="shared" si="5"/>
        <v>3971.6974127799995</v>
      </c>
      <c r="U39" s="93">
        <f t="shared" si="5"/>
        <v>3993.5313156866359</v>
      </c>
      <c r="V39" s="93">
        <f t="shared" si="5"/>
        <v>4015.5879867942854</v>
      </c>
      <c r="W39" s="93">
        <f t="shared" si="5"/>
        <v>2908.3758037436392</v>
      </c>
      <c r="X39" s="93">
        <f t="shared" si="5"/>
        <v>1330.3810304805429</v>
      </c>
      <c r="Y39" s="93">
        <f t="shared" si="5"/>
        <v>1305.9330910995775</v>
      </c>
      <c r="AA39" s="606">
        <f>SUM(F39:Y39)</f>
        <v>71679.081434888358</v>
      </c>
      <c r="AB39" s="607">
        <f t="shared" si="2"/>
        <v>71679.081434888358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1475</v>
      </c>
      <c r="G41" s="90">
        <f t="shared" ref="G41:Y41" si="7">+G109</f>
        <v>1475</v>
      </c>
      <c r="H41" s="90">
        <f t="shared" si="7"/>
        <v>1475</v>
      </c>
      <c r="I41" s="90">
        <f t="shared" si="7"/>
        <v>1475</v>
      </c>
      <c r="J41" s="90">
        <f t="shared" si="7"/>
        <v>1475</v>
      </c>
      <c r="K41" s="90">
        <f t="shared" si="7"/>
        <v>1475</v>
      </c>
      <c r="L41" s="90">
        <f t="shared" si="7"/>
        <v>1475</v>
      </c>
      <c r="M41" s="90">
        <f t="shared" si="7"/>
        <v>1475</v>
      </c>
      <c r="N41" s="90">
        <f t="shared" si="7"/>
        <v>1475</v>
      </c>
      <c r="O41" s="90">
        <f t="shared" si="7"/>
        <v>1475</v>
      </c>
      <c r="P41" s="90">
        <f t="shared" si="7"/>
        <v>1475</v>
      </c>
      <c r="Q41" s="90">
        <f t="shared" si="7"/>
        <v>1475</v>
      </c>
      <c r="R41" s="90">
        <f t="shared" si="7"/>
        <v>1475</v>
      </c>
      <c r="S41" s="90">
        <f t="shared" si="7"/>
        <v>1475</v>
      </c>
      <c r="T41" s="90">
        <f t="shared" si="7"/>
        <v>1475</v>
      </c>
      <c r="U41" s="90">
        <f t="shared" si="7"/>
        <v>1475</v>
      </c>
      <c r="V41" s="90">
        <f t="shared" si="7"/>
        <v>1475</v>
      </c>
      <c r="W41" s="90">
        <f t="shared" si="7"/>
        <v>1475</v>
      </c>
      <c r="X41" s="90">
        <f t="shared" si="7"/>
        <v>1475</v>
      </c>
      <c r="Y41" s="90">
        <f t="shared" si="7"/>
        <v>1475</v>
      </c>
      <c r="AA41" s="606">
        <f t="shared" si="6"/>
        <v>29500</v>
      </c>
      <c r="AB41" s="607">
        <f t="shared" si="2"/>
        <v>29500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4243.4430000000002</v>
      </c>
      <c r="F44" s="93">
        <f t="shared" si="8"/>
        <v>2476.4790000000003</v>
      </c>
      <c r="G44" s="93">
        <f t="shared" si="8"/>
        <v>2365.9179999999997</v>
      </c>
      <c r="H44" s="93">
        <f t="shared" si="8"/>
        <v>2379.4160000000002</v>
      </c>
      <c r="I44" s="93">
        <f t="shared" si="8"/>
        <v>2404.16</v>
      </c>
      <c r="J44" s="93">
        <f t="shared" si="8"/>
        <v>2313.1924045520791</v>
      </c>
      <c r="K44" s="93">
        <f t="shared" si="8"/>
        <v>2327.5212467926272</v>
      </c>
      <c r="L44" s="93">
        <f t="shared" si="8"/>
        <v>2343.1175678354139</v>
      </c>
      <c r="M44" s="93">
        <f t="shared" si="8"/>
        <v>2358.7213309979297</v>
      </c>
      <c r="N44" s="93">
        <f t="shared" si="8"/>
        <v>2374.0359092847621</v>
      </c>
      <c r="O44" s="93">
        <f t="shared" si="8"/>
        <v>2391.9442656274396</v>
      </c>
      <c r="P44" s="93">
        <f t="shared" si="8"/>
        <v>2411.2822654984043</v>
      </c>
      <c r="Q44" s="93">
        <f t="shared" si="8"/>
        <v>2431.3673960269812</v>
      </c>
      <c r="R44" s="93">
        <f t="shared" si="8"/>
        <v>2452.191474436363</v>
      </c>
      <c r="S44" s="93">
        <f t="shared" si="8"/>
        <v>2474.2279332516873</v>
      </c>
      <c r="T44" s="93">
        <f t="shared" si="8"/>
        <v>2496.6974127799995</v>
      </c>
      <c r="U44" s="93">
        <f t="shared" si="8"/>
        <v>2518.5313156866359</v>
      </c>
      <c r="V44" s="93">
        <f t="shared" si="8"/>
        <v>2540.5879867942854</v>
      </c>
      <c r="W44" s="93">
        <f t="shared" si="8"/>
        <v>1433.3758037436392</v>
      </c>
      <c r="X44" s="93">
        <f t="shared" si="8"/>
        <v>-144.6189695194571</v>
      </c>
      <c r="Y44" s="93">
        <f t="shared" si="8"/>
        <v>-169.0669089004225</v>
      </c>
      <c r="AA44" s="606">
        <f t="shared" si="6"/>
        <v>42179.081434888372</v>
      </c>
      <c r="AB44" s="607">
        <f t="shared" si="2"/>
        <v>42179.081434888372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4243.4430000000002</v>
      </c>
      <c r="F49" s="93">
        <f t="shared" si="9"/>
        <v>2476.4790000000003</v>
      </c>
      <c r="G49" s="93">
        <f t="shared" si="9"/>
        <v>2365.9179999999997</v>
      </c>
      <c r="H49" s="93">
        <f t="shared" si="9"/>
        <v>2379.4160000000002</v>
      </c>
      <c r="I49" s="93">
        <f t="shared" si="9"/>
        <v>2404.16</v>
      </c>
      <c r="J49" s="93">
        <f t="shared" si="9"/>
        <v>2313.1924045520791</v>
      </c>
      <c r="K49" s="93">
        <f t="shared" si="9"/>
        <v>2327.5212467926272</v>
      </c>
      <c r="L49" s="93">
        <f t="shared" si="9"/>
        <v>2343.1175678354139</v>
      </c>
      <c r="M49" s="93">
        <f t="shared" si="9"/>
        <v>2358.7213309979297</v>
      </c>
      <c r="N49" s="93">
        <f t="shared" si="9"/>
        <v>2374.0359092847621</v>
      </c>
      <c r="O49" s="93">
        <f t="shared" si="9"/>
        <v>2391.9442656274396</v>
      </c>
      <c r="P49" s="93">
        <f t="shared" si="9"/>
        <v>2411.2822654984043</v>
      </c>
      <c r="Q49" s="93">
        <f t="shared" si="9"/>
        <v>2431.3673960269812</v>
      </c>
      <c r="R49" s="93">
        <f t="shared" si="9"/>
        <v>2452.191474436363</v>
      </c>
      <c r="S49" s="93">
        <f t="shared" si="9"/>
        <v>2474.2279332516873</v>
      </c>
      <c r="T49" s="93">
        <f t="shared" si="9"/>
        <v>2496.6974127799995</v>
      </c>
      <c r="U49" s="93">
        <f t="shared" si="9"/>
        <v>2518.5313156866359</v>
      </c>
      <c r="V49" s="93">
        <f t="shared" si="9"/>
        <v>2540.5879867942854</v>
      </c>
      <c r="W49" s="93">
        <f t="shared" si="9"/>
        <v>1433.3758037436392</v>
      </c>
      <c r="X49" s="93">
        <f t="shared" si="9"/>
        <v>-144.6189695194571</v>
      </c>
      <c r="Y49" s="93">
        <f t="shared" si="9"/>
        <v>-169.0669089004225</v>
      </c>
      <c r="AA49" s="606">
        <f t="shared" si="6"/>
        <v>42179.081434888372</v>
      </c>
      <c r="AB49" s="607">
        <f t="shared" si="2"/>
        <v>42179.081434888372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0.12</v>
      </c>
      <c r="D51" s="90"/>
      <c r="E51" s="90">
        <f t="shared" ref="E51:Y51" si="10">E49*-$C$51</f>
        <v>-509.21316000000002</v>
      </c>
      <c r="F51" s="90">
        <f t="shared" si="10"/>
        <v>-297.17748</v>
      </c>
      <c r="G51" s="55">
        <f t="shared" si="10"/>
        <v>-283.91015999999996</v>
      </c>
      <c r="H51" s="90">
        <f t="shared" si="10"/>
        <v>-285.52992</v>
      </c>
      <c r="I51" s="90">
        <f t="shared" si="10"/>
        <v>-288.49919999999997</v>
      </c>
      <c r="J51" s="90">
        <f t="shared" si="10"/>
        <v>-277.58308854624948</v>
      </c>
      <c r="K51" s="90">
        <f t="shared" si="10"/>
        <v>-279.30254961511525</v>
      </c>
      <c r="L51" s="90">
        <f t="shared" si="10"/>
        <v>-281.17410814024964</v>
      </c>
      <c r="M51" s="90">
        <f t="shared" si="10"/>
        <v>-283.04655971975154</v>
      </c>
      <c r="N51" s="90">
        <f t="shared" si="10"/>
        <v>-284.88430911417146</v>
      </c>
      <c r="O51" s="90">
        <f t="shared" si="10"/>
        <v>-287.03331187529272</v>
      </c>
      <c r="P51" s="90">
        <f t="shared" si="10"/>
        <v>-289.35387185980852</v>
      </c>
      <c r="Q51" s="90">
        <f t="shared" si="10"/>
        <v>-291.76408752323772</v>
      </c>
      <c r="R51" s="90">
        <f t="shared" si="10"/>
        <v>-294.26297693236353</v>
      </c>
      <c r="S51" s="90">
        <f t="shared" si="10"/>
        <v>-296.90735199020247</v>
      </c>
      <c r="T51" s="90">
        <f t="shared" si="10"/>
        <v>-299.60368953359995</v>
      </c>
      <c r="U51" s="90">
        <f t="shared" si="10"/>
        <v>-302.22375788239628</v>
      </c>
      <c r="V51" s="90">
        <f t="shared" si="10"/>
        <v>-304.87055841531424</v>
      </c>
      <c r="W51" s="90">
        <f t="shared" si="10"/>
        <v>-172.0050964492367</v>
      </c>
      <c r="X51" s="90">
        <f t="shared" si="10"/>
        <v>17.354276342334853</v>
      </c>
      <c r="Y51" s="90">
        <f t="shared" si="10"/>
        <v>20.288029068050701</v>
      </c>
      <c r="AA51" s="606">
        <f t="shared" si="6"/>
        <v>-5061.4897721866037</v>
      </c>
      <c r="AB51" s="607">
        <f t="shared" si="2"/>
        <v>-5061.4897721866037</v>
      </c>
    </row>
    <row r="52" spans="1:28">
      <c r="A52" s="4" t="s">
        <v>29</v>
      </c>
      <c r="C52" s="341">
        <v>0.35</v>
      </c>
      <c r="D52" s="89"/>
      <c r="E52" s="89">
        <f>((E49+E51)*-$C$52)+E56</f>
        <v>774.30465230697655</v>
      </c>
      <c r="F52" s="89">
        <f t="shared" ref="F52:Y52" si="11">((F49+F51)*-$C$52)+F56</f>
        <v>1318.5295643069762</v>
      </c>
      <c r="G52" s="89">
        <f t="shared" si="11"/>
        <v>1352.5823523069766</v>
      </c>
      <c r="H52" s="89">
        <f t="shared" si="11"/>
        <v>1464.0519181018083</v>
      </c>
      <c r="I52" s="89">
        <f t="shared" si="11"/>
        <v>1456.4307661018083</v>
      </c>
      <c r="J52" s="89">
        <f t="shared" si="11"/>
        <v>1600.0757352945998</v>
      </c>
      <c r="K52" s="89">
        <f t="shared" si="11"/>
        <v>1595.662451884511</v>
      </c>
      <c r="L52" s="89">
        <f t="shared" si="11"/>
        <v>1590.8587850033327</v>
      </c>
      <c r="M52" s="89">
        <f t="shared" si="11"/>
        <v>1701.6797757441104</v>
      </c>
      <c r="N52" s="89">
        <f t="shared" si="11"/>
        <v>273.32586541813544</v>
      </c>
      <c r="O52" s="89">
        <f t="shared" si="11"/>
        <v>-736.71883381325131</v>
      </c>
      <c r="P52" s="89">
        <f t="shared" si="11"/>
        <v>-742.67493777350853</v>
      </c>
      <c r="Q52" s="89">
        <f t="shared" si="11"/>
        <v>-748.8611579763101</v>
      </c>
      <c r="R52" s="89">
        <f t="shared" si="11"/>
        <v>-755.2749741263998</v>
      </c>
      <c r="S52" s="89">
        <f t="shared" si="11"/>
        <v>-762.06220344151961</v>
      </c>
      <c r="T52" s="89">
        <f t="shared" si="11"/>
        <v>-768.98280313623968</v>
      </c>
      <c r="U52" s="89">
        <f t="shared" si="11"/>
        <v>-775.70764523148387</v>
      </c>
      <c r="V52" s="89">
        <f t="shared" si="11"/>
        <v>-782.50109993263982</v>
      </c>
      <c r="W52" s="89">
        <f t="shared" si="11"/>
        <v>-441.47974755304085</v>
      </c>
      <c r="X52" s="89">
        <f t="shared" si="11"/>
        <v>44.542642611992783</v>
      </c>
      <c r="Y52" s="89">
        <f t="shared" si="11"/>
        <v>52.072607941330133</v>
      </c>
      <c r="AA52" s="606">
        <f t="shared" si="6"/>
        <v>5935.5490617311898</v>
      </c>
      <c r="AB52" s="607">
        <f t="shared" si="2"/>
        <v>5935.5490617311898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4508.534492306977</v>
      </c>
      <c r="F54" s="93">
        <f t="shared" si="12"/>
        <v>3497.8310843069767</v>
      </c>
      <c r="G54" s="93">
        <f t="shared" si="12"/>
        <v>3434.5901923069764</v>
      </c>
      <c r="H54" s="93">
        <f t="shared" si="12"/>
        <v>3557.9379981018083</v>
      </c>
      <c r="I54" s="93">
        <f t="shared" si="12"/>
        <v>3572.091566101808</v>
      </c>
      <c r="J54" s="93">
        <f t="shared" si="12"/>
        <v>3635.6850513004292</v>
      </c>
      <c r="K54" s="93">
        <f t="shared" si="12"/>
        <v>3643.8811490620228</v>
      </c>
      <c r="L54" s="93">
        <f t="shared" si="12"/>
        <v>3652.8022446984969</v>
      </c>
      <c r="M54" s="93">
        <f t="shared" si="12"/>
        <v>3777.3545470222884</v>
      </c>
      <c r="N54" s="93">
        <f t="shared" si="12"/>
        <v>2362.4774655887259</v>
      </c>
      <c r="O54" s="93">
        <f t="shared" si="12"/>
        <v>1368.1921199388953</v>
      </c>
      <c r="P54" s="93">
        <f t="shared" si="12"/>
        <v>1379.2534558650873</v>
      </c>
      <c r="Q54" s="93">
        <f t="shared" si="12"/>
        <v>1390.7421505274333</v>
      </c>
      <c r="R54" s="93">
        <f t="shared" si="12"/>
        <v>1402.6535233775999</v>
      </c>
      <c r="S54" s="93">
        <f t="shared" si="12"/>
        <v>1415.2583778199651</v>
      </c>
      <c r="T54" s="93">
        <f t="shared" si="12"/>
        <v>1428.1109201101597</v>
      </c>
      <c r="U54" s="93">
        <f t="shared" si="12"/>
        <v>1440.599912572756</v>
      </c>
      <c r="V54" s="93">
        <f t="shared" si="12"/>
        <v>1453.2163284463311</v>
      </c>
      <c r="W54" s="93">
        <f t="shared" si="12"/>
        <v>819.89095974136171</v>
      </c>
      <c r="X54" s="93">
        <f t="shared" si="12"/>
        <v>-82.72205056512945</v>
      </c>
      <c r="Y54" s="93">
        <f t="shared" si="12"/>
        <v>-96.706271891041681</v>
      </c>
      <c r="AA54" s="606">
        <f t="shared" si="6"/>
        <v>43053.140724432946</v>
      </c>
      <c r="AB54" s="607">
        <f t="shared" si="2"/>
        <v>43053.140724432946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[17]TAX!F$48</f>
        <v>2081.2850963069764</v>
      </c>
      <c r="F56" s="342">
        <f>[17]TAX!G$48</f>
        <v>2081.2850963069764</v>
      </c>
      <c r="G56" s="342">
        <f>[17]TAX!H$48</f>
        <v>2081.2850963069764</v>
      </c>
      <c r="H56" s="342">
        <f>[17]TAX!I$48</f>
        <v>2196.9120461018083</v>
      </c>
      <c r="I56" s="342">
        <f>[17]TAX!J$48</f>
        <v>2196.9120461018083</v>
      </c>
      <c r="J56" s="342">
        <f>[17]TAX!K$48</f>
        <v>2312.5389958966402</v>
      </c>
      <c r="K56" s="342">
        <f>[17]TAX!L$48</f>
        <v>2312.5389958966402</v>
      </c>
      <c r="L56" s="342">
        <f>[17]TAX!M$48</f>
        <v>2312.5389958966402</v>
      </c>
      <c r="M56" s="342">
        <f>[17]TAX!N$48</f>
        <v>2428.1659456914726</v>
      </c>
      <c r="N56" s="342">
        <f>[17]TAX!O$48</f>
        <v>1004.528925477842</v>
      </c>
      <c r="O56" s="342">
        <f>[17]TAX!P$48</f>
        <v>0</v>
      </c>
      <c r="P56" s="342">
        <f>[17]TAX!Q$48</f>
        <v>0</v>
      </c>
      <c r="Q56" s="342">
        <f>[17]TAX!R$48</f>
        <v>0</v>
      </c>
      <c r="R56" s="342">
        <f>[17]TAX!S$48</f>
        <v>0</v>
      </c>
      <c r="S56" s="342">
        <f>[17]TAX!T$48</f>
        <v>0</v>
      </c>
      <c r="T56" s="342">
        <f>[17]TAX!U$48</f>
        <v>0</v>
      </c>
      <c r="U56" s="342">
        <f>[17]TAX!V$48</f>
        <v>0</v>
      </c>
      <c r="V56" s="342">
        <f>[17]TAX!W$48</f>
        <v>0</v>
      </c>
      <c r="W56" s="342">
        <f>[17]TAX!X$48</f>
        <v>0</v>
      </c>
      <c r="X56" s="342">
        <f>[17]TAX!Y$48</f>
        <v>0</v>
      </c>
      <c r="Y56" s="342">
        <f>[17]TAX!Z$48</f>
        <v>0</v>
      </c>
      <c r="AA56" s="606">
        <f t="shared" si="6"/>
        <v>18926.706143676805</v>
      </c>
      <c r="AB56" s="607">
        <f t="shared" si="2"/>
        <v>18926.706143676805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4243.4430000000002</v>
      </c>
      <c r="F64" s="20">
        <f t="shared" si="14"/>
        <v>3951.4790000000003</v>
      </c>
      <c r="G64" s="24">
        <f t="shared" si="14"/>
        <v>3840.9179999999997</v>
      </c>
      <c r="H64" s="20">
        <f t="shared" si="14"/>
        <v>3854.4160000000002</v>
      </c>
      <c r="I64" s="20">
        <f t="shared" si="14"/>
        <v>3879.16</v>
      </c>
      <c r="J64" s="20">
        <f t="shared" si="14"/>
        <v>3788.1924045520791</v>
      </c>
      <c r="K64" s="20">
        <f t="shared" si="14"/>
        <v>3802.5212467926272</v>
      </c>
      <c r="L64" s="20">
        <f t="shared" si="14"/>
        <v>3818.1175678354139</v>
      </c>
      <c r="M64" s="20">
        <f t="shared" si="14"/>
        <v>3833.7213309979297</v>
      </c>
      <c r="N64" s="20">
        <f t="shared" si="14"/>
        <v>3849.0359092847621</v>
      </c>
      <c r="O64" s="20">
        <f t="shared" si="14"/>
        <v>3866.9442656274396</v>
      </c>
      <c r="P64" s="20">
        <f t="shared" si="14"/>
        <v>3886.2822654984043</v>
      </c>
      <c r="Q64" s="20">
        <f t="shared" si="14"/>
        <v>3906.3673960269812</v>
      </c>
      <c r="R64" s="20">
        <f t="shared" si="14"/>
        <v>3927.191474436363</v>
      </c>
      <c r="S64" s="20">
        <f t="shared" si="14"/>
        <v>3949.2279332516873</v>
      </c>
      <c r="T64" s="20">
        <f t="shared" si="14"/>
        <v>3971.6974127799995</v>
      </c>
      <c r="U64" s="20">
        <f t="shared" si="14"/>
        <v>3993.5313156866359</v>
      </c>
      <c r="V64" s="20">
        <f t="shared" si="14"/>
        <v>4015.5879867942854</v>
      </c>
      <c r="W64" s="20">
        <f t="shared" si="14"/>
        <v>2908.3758037436392</v>
      </c>
      <c r="X64" s="20">
        <f t="shared" si="14"/>
        <v>1330.3810304805429</v>
      </c>
      <c r="Y64" s="20">
        <f t="shared" si="14"/>
        <v>1305.9330910995775</v>
      </c>
      <c r="AA64" s="606">
        <f t="shared" si="6"/>
        <v>71679.081434888358</v>
      </c>
      <c r="AB64" s="607">
        <f t="shared" si="2"/>
        <v>71679.081434888358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4243.4430000000002</v>
      </c>
      <c r="F69" s="95">
        <f t="shared" si="15"/>
        <v>3951.4790000000003</v>
      </c>
      <c r="G69" s="95">
        <f t="shared" si="15"/>
        <v>3840.9179999999997</v>
      </c>
      <c r="H69" s="95">
        <f t="shared" si="15"/>
        <v>3854.4160000000002</v>
      </c>
      <c r="I69" s="95">
        <f t="shared" si="15"/>
        <v>3879.16</v>
      </c>
      <c r="J69" s="95">
        <f t="shared" si="15"/>
        <v>3788.1924045520791</v>
      </c>
      <c r="K69" s="95">
        <f t="shared" si="15"/>
        <v>3802.5212467926272</v>
      </c>
      <c r="L69" s="95">
        <f t="shared" si="15"/>
        <v>3818.1175678354139</v>
      </c>
      <c r="M69" s="95">
        <f t="shared" si="15"/>
        <v>3833.7213309979297</v>
      </c>
      <c r="N69" s="95">
        <f t="shared" si="15"/>
        <v>3849.0359092847621</v>
      </c>
      <c r="O69" s="95">
        <f t="shared" si="15"/>
        <v>3866.9442656274396</v>
      </c>
      <c r="P69" s="95">
        <f t="shared" si="15"/>
        <v>3886.2822654984043</v>
      </c>
      <c r="Q69" s="95">
        <f t="shared" si="15"/>
        <v>3906.3673960269812</v>
      </c>
      <c r="R69" s="95">
        <f t="shared" si="15"/>
        <v>3927.191474436363</v>
      </c>
      <c r="S69" s="95">
        <f t="shared" si="15"/>
        <v>3949.2279332516873</v>
      </c>
      <c r="T69" s="95">
        <f t="shared" si="15"/>
        <v>3971.6974127799995</v>
      </c>
      <c r="U69" s="95">
        <f t="shared" si="15"/>
        <v>3993.5313156866359</v>
      </c>
      <c r="V69" s="95">
        <f t="shared" si="15"/>
        <v>4015.5879867942854</v>
      </c>
      <c r="W69" s="95">
        <f t="shared" si="15"/>
        <v>2908.3758037436392</v>
      </c>
      <c r="X69" s="95">
        <f t="shared" si="15"/>
        <v>1330.3810304805429</v>
      </c>
      <c r="Y69" s="95">
        <f t="shared" si="15"/>
        <v>1305.9330910995775</v>
      </c>
      <c r="AA69" s="606">
        <f t="shared" si="6"/>
        <v>71679.081434888358</v>
      </c>
      <c r="AB69" s="607">
        <f t="shared" si="2"/>
        <v>71679.081434888358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2097.8406905297975</v>
      </c>
      <c r="G71" s="100">
        <f t="shared" si="16"/>
        <v>4418.6050200476757</v>
      </c>
      <c r="H71" s="100">
        <f t="shared" si="16"/>
        <v>1987.8207064286053</v>
      </c>
      <c r="I71" s="100">
        <f t="shared" si="16"/>
        <v>522.22597265716331</v>
      </c>
      <c r="J71" s="100">
        <f t="shared" si="16"/>
        <v>561.16010350887336</v>
      </c>
      <c r="K71" s="100">
        <f t="shared" si="16"/>
        <v>-536.22586729866271</v>
      </c>
      <c r="L71" s="100">
        <f t="shared" si="16"/>
        <v>-1634.1543190335572</v>
      </c>
      <c r="M71" s="100">
        <f t="shared" si="16"/>
        <v>-1640.8327296671137</v>
      </c>
      <c r="N71" s="100">
        <f t="shared" si="16"/>
        <v>-1647.3873691738779</v>
      </c>
      <c r="O71" s="100">
        <f t="shared" si="16"/>
        <v>-1655.052145688544</v>
      </c>
      <c r="P71" s="100">
        <f t="shared" si="16"/>
        <v>-1663.3288096333172</v>
      </c>
      <c r="Q71" s="100">
        <f t="shared" si="16"/>
        <v>-1671.9252454995478</v>
      </c>
      <c r="R71" s="100">
        <f t="shared" si="16"/>
        <v>-1680.8379510587633</v>
      </c>
      <c r="S71" s="100">
        <f t="shared" si="16"/>
        <v>-1690.269555431722</v>
      </c>
      <c r="T71" s="100">
        <f t="shared" si="16"/>
        <v>-1699.8864926698395</v>
      </c>
      <c r="U71" s="100">
        <f t="shared" si="16"/>
        <v>-1709.2314031138801</v>
      </c>
      <c r="V71" s="100">
        <f t="shared" si="16"/>
        <v>-1718.671658347954</v>
      </c>
      <c r="W71" s="100">
        <f t="shared" si="16"/>
        <v>-1244.7848440022776</v>
      </c>
      <c r="X71" s="100">
        <f t="shared" si="16"/>
        <v>-569.40308104567225</v>
      </c>
      <c r="Y71" s="100">
        <f t="shared" si="16"/>
        <v>-558.9393629906192</v>
      </c>
      <c r="AA71" s="606">
        <f t="shared" si="6"/>
        <v>-11733.278341483232</v>
      </c>
      <c r="AB71" s="607">
        <f t="shared" si="2"/>
        <v>-11733.278341483232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4243.4430000000002</v>
      </c>
      <c r="F73" s="28">
        <f t="shared" si="17"/>
        <v>6049.3196905297973</v>
      </c>
      <c r="G73" s="28">
        <f t="shared" si="17"/>
        <v>8259.5230200476763</v>
      </c>
      <c r="H73" s="28">
        <f t="shared" si="17"/>
        <v>5842.2367064286054</v>
      </c>
      <c r="I73" s="28">
        <f t="shared" si="17"/>
        <v>4401.3859726571627</v>
      </c>
      <c r="J73" s="28">
        <f t="shared" si="17"/>
        <v>4349.3525080609525</v>
      </c>
      <c r="K73" s="28">
        <f t="shared" si="17"/>
        <v>3266.2953794939644</v>
      </c>
      <c r="L73" s="28">
        <f t="shared" si="17"/>
        <v>2183.9632488018569</v>
      </c>
      <c r="M73" s="28">
        <f t="shared" si="17"/>
        <v>2192.8886013308161</v>
      </c>
      <c r="N73" s="28">
        <f t="shared" si="17"/>
        <v>2201.6485401108839</v>
      </c>
      <c r="O73" s="28">
        <f t="shared" si="17"/>
        <v>2211.8921199388956</v>
      </c>
      <c r="P73" s="28">
        <f t="shared" si="17"/>
        <v>2222.9534558650871</v>
      </c>
      <c r="Q73" s="28">
        <f t="shared" si="17"/>
        <v>2234.4421505274331</v>
      </c>
      <c r="R73" s="28">
        <f t="shared" si="17"/>
        <v>2246.3535233775997</v>
      </c>
      <c r="S73" s="28">
        <f t="shared" si="17"/>
        <v>2258.9583778199653</v>
      </c>
      <c r="T73" s="28">
        <f t="shared" si="17"/>
        <v>2271.8109201101597</v>
      </c>
      <c r="U73" s="28">
        <f t="shared" si="17"/>
        <v>2284.2999125727556</v>
      </c>
      <c r="V73" s="28">
        <f t="shared" si="17"/>
        <v>2296.9163284463311</v>
      </c>
      <c r="W73" s="28">
        <f t="shared" si="17"/>
        <v>1663.5909597413615</v>
      </c>
      <c r="X73" s="28">
        <f t="shared" si="17"/>
        <v>760.97794943487065</v>
      </c>
      <c r="Y73" s="28">
        <f t="shared" si="17"/>
        <v>746.99372810895829</v>
      </c>
      <c r="AA73" s="606">
        <f t="shared" si="6"/>
        <v>59945.803093405135</v>
      </c>
      <c r="AB73" s="607">
        <f t="shared" si="2"/>
        <v>59945.803093405135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4508.534492306977</v>
      </c>
      <c r="F76" s="28">
        <f t="shared" si="19"/>
        <v>3497.8310843069767</v>
      </c>
      <c r="G76" s="95">
        <f t="shared" si="19"/>
        <v>3434.5901923069764</v>
      </c>
      <c r="H76" s="28">
        <f t="shared" si="19"/>
        <v>3557.9379981018083</v>
      </c>
      <c r="I76" s="28">
        <f t="shared" si="19"/>
        <v>3572.091566101808</v>
      </c>
      <c r="J76" s="28">
        <f t="shared" si="19"/>
        <v>3635.6850513004292</v>
      </c>
      <c r="K76" s="28">
        <f t="shared" si="19"/>
        <v>3643.8811490620228</v>
      </c>
      <c r="L76" s="28">
        <f t="shared" si="19"/>
        <v>3652.8022446984969</v>
      </c>
      <c r="M76" s="28">
        <f t="shared" si="19"/>
        <v>3777.3545470222884</v>
      </c>
      <c r="N76" s="28">
        <f t="shared" si="19"/>
        <v>2362.4774655887259</v>
      </c>
      <c r="O76" s="28">
        <f t="shared" si="19"/>
        <v>1368.1921199388953</v>
      </c>
      <c r="P76" s="28">
        <f t="shared" si="19"/>
        <v>1379.2534558650873</v>
      </c>
      <c r="Q76" s="28">
        <f t="shared" si="19"/>
        <v>1390.7421505274333</v>
      </c>
      <c r="R76" s="28">
        <f t="shared" si="19"/>
        <v>1402.6535233775999</v>
      </c>
      <c r="S76" s="28">
        <f t="shared" si="19"/>
        <v>1415.2583778199651</v>
      </c>
      <c r="T76" s="28">
        <f t="shared" si="19"/>
        <v>1428.1109201101597</v>
      </c>
      <c r="U76" s="28">
        <f t="shared" si="19"/>
        <v>1440.599912572756</v>
      </c>
      <c r="V76" s="28">
        <f t="shared" si="19"/>
        <v>1453.2163284463311</v>
      </c>
      <c r="W76" s="28">
        <f t="shared" si="19"/>
        <v>819.89095974136171</v>
      </c>
      <c r="X76" s="28">
        <f t="shared" si="19"/>
        <v>-82.72205056512945</v>
      </c>
      <c r="Y76" s="28">
        <f t="shared" si="19"/>
        <v>-96.706271891041681</v>
      </c>
      <c r="AA76" s="606">
        <f t="shared" si="6"/>
        <v>43053.140724432946</v>
      </c>
      <c r="AB76" s="607">
        <f>AA76</f>
        <v>43053.140724432946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4243.4430000000002</v>
      </c>
      <c r="F77" s="28">
        <f t="shared" si="20"/>
        <v>6049.3196905297973</v>
      </c>
      <c r="G77" s="95">
        <f t="shared" si="20"/>
        <v>8259.5230200476763</v>
      </c>
      <c r="H77" s="28">
        <f t="shared" si="20"/>
        <v>5842.2367064286054</v>
      </c>
      <c r="I77" s="28">
        <f t="shared" si="20"/>
        <v>4401.3859726571627</v>
      </c>
      <c r="J77" s="28">
        <f t="shared" si="20"/>
        <v>4349.3525080609525</v>
      </c>
      <c r="K77" s="28">
        <f t="shared" si="20"/>
        <v>3266.2953794939644</v>
      </c>
      <c r="L77" s="28">
        <f t="shared" si="20"/>
        <v>2183.9632488018569</v>
      </c>
      <c r="M77" s="28">
        <f t="shared" si="20"/>
        <v>2192.8886013308161</v>
      </c>
      <c r="N77" s="28">
        <f t="shared" si="20"/>
        <v>2201.6485401108839</v>
      </c>
      <c r="O77" s="28">
        <f t="shared" si="20"/>
        <v>2211.8921199388956</v>
      </c>
      <c r="P77" s="28">
        <f t="shared" si="20"/>
        <v>2222.9534558650871</v>
      </c>
      <c r="Q77" s="28">
        <f t="shared" si="20"/>
        <v>2234.4421505274331</v>
      </c>
      <c r="R77" s="28">
        <f t="shared" si="20"/>
        <v>2246.3535233775997</v>
      </c>
      <c r="S77" s="28">
        <f t="shared" si="20"/>
        <v>2258.9583778199653</v>
      </c>
      <c r="T77" s="28">
        <f t="shared" si="20"/>
        <v>2271.8109201101597</v>
      </c>
      <c r="U77" s="28">
        <f t="shared" si="20"/>
        <v>2284.2999125727556</v>
      </c>
      <c r="V77" s="28">
        <f t="shared" si="20"/>
        <v>2296.9163284463311</v>
      </c>
      <c r="W77" s="28">
        <f t="shared" si="20"/>
        <v>1663.5909597413615</v>
      </c>
      <c r="X77" s="28">
        <f t="shared" si="20"/>
        <v>760.97794943487065</v>
      </c>
      <c r="Y77" s="28">
        <f t="shared" si="20"/>
        <v>746.99372810895829</v>
      </c>
      <c r="AA77" s="606">
        <f t="shared" si="6"/>
        <v>59945.803093405135</v>
      </c>
      <c r="AB77" s="607">
        <f>AA77</f>
        <v>59945.803093405135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3951.4790000000003</v>
      </c>
      <c r="G88" s="200">
        <f t="shared" ref="G88:Y88" si="22">G69</f>
        <v>3840.9179999999997</v>
      </c>
      <c r="H88" s="200">
        <f t="shared" si="22"/>
        <v>3854.4160000000002</v>
      </c>
      <c r="I88" s="200">
        <f t="shared" si="22"/>
        <v>3879.16</v>
      </c>
      <c r="J88" s="200">
        <f t="shared" si="22"/>
        <v>3788.1924045520791</v>
      </c>
      <c r="K88" s="200">
        <f t="shared" si="22"/>
        <v>3802.5212467926272</v>
      </c>
      <c r="L88" s="200">
        <f t="shared" si="22"/>
        <v>3818.1175678354139</v>
      </c>
      <c r="M88" s="200">
        <f t="shared" si="22"/>
        <v>3833.7213309979297</v>
      </c>
      <c r="N88" s="200">
        <f t="shared" si="22"/>
        <v>3849.0359092847621</v>
      </c>
      <c r="O88" s="200">
        <f t="shared" si="22"/>
        <v>3866.9442656274396</v>
      </c>
      <c r="P88" s="200">
        <f t="shared" si="22"/>
        <v>3886.2822654984043</v>
      </c>
      <c r="Q88" s="200">
        <f t="shared" si="22"/>
        <v>3906.3673960269812</v>
      </c>
      <c r="R88" s="200">
        <f t="shared" si="22"/>
        <v>3927.191474436363</v>
      </c>
      <c r="S88" s="200">
        <f t="shared" si="22"/>
        <v>3949.2279332516873</v>
      </c>
      <c r="T88" s="200">
        <f t="shared" si="22"/>
        <v>3971.6974127799995</v>
      </c>
      <c r="U88" s="200">
        <f t="shared" si="22"/>
        <v>3993.5313156866359</v>
      </c>
      <c r="V88" s="200">
        <f t="shared" si="22"/>
        <v>4015.5879867942854</v>
      </c>
      <c r="W88" s="200">
        <f t="shared" si="22"/>
        <v>2908.3758037436392</v>
      </c>
      <c r="X88" s="200">
        <f t="shared" si="22"/>
        <v>1330.3810304805429</v>
      </c>
      <c r="Y88" s="200">
        <f t="shared" si="22"/>
        <v>1305.9330910995775</v>
      </c>
      <c r="AA88" s="606">
        <f t="shared" si="6"/>
        <v>71679.081434888358</v>
      </c>
      <c r="AB88" s="607">
        <f t="shared" si="18"/>
        <v>71679.081434888358</v>
      </c>
    </row>
    <row r="89" spans="1:30" s="199" customFormat="1">
      <c r="A89" s="199" t="s">
        <v>53</v>
      </c>
      <c r="F89" s="110">
        <f>F126+F127</f>
        <v>2097.8406905297975</v>
      </c>
      <c r="G89" s="110">
        <f t="shared" ref="G89:Y89" si="23">G126+G127</f>
        <v>4418.6050200476757</v>
      </c>
      <c r="H89" s="110">
        <f t="shared" si="23"/>
        <v>1987.8207064286053</v>
      </c>
      <c r="I89" s="110">
        <f t="shared" si="23"/>
        <v>522.22597265716331</v>
      </c>
      <c r="J89" s="110">
        <f t="shared" si="23"/>
        <v>561.16010350887336</v>
      </c>
      <c r="K89" s="110">
        <f t="shared" si="23"/>
        <v>-536.22586729866271</v>
      </c>
      <c r="L89" s="110">
        <f t="shared" si="23"/>
        <v>-1634.1543190335572</v>
      </c>
      <c r="M89" s="110">
        <f t="shared" si="23"/>
        <v>-1640.8327296671137</v>
      </c>
      <c r="N89" s="110">
        <f t="shared" si="23"/>
        <v>-1647.3873691738779</v>
      </c>
      <c r="O89" s="110">
        <f t="shared" si="23"/>
        <v>-1655.052145688544</v>
      </c>
      <c r="P89" s="110">
        <f t="shared" si="23"/>
        <v>-1663.3288096333172</v>
      </c>
      <c r="Q89" s="110">
        <f t="shared" si="23"/>
        <v>-1671.9252454995478</v>
      </c>
      <c r="R89" s="110">
        <f t="shared" si="23"/>
        <v>-1680.8379510587633</v>
      </c>
      <c r="S89" s="110">
        <f t="shared" si="23"/>
        <v>-1690.269555431722</v>
      </c>
      <c r="T89" s="110">
        <f t="shared" si="23"/>
        <v>-1699.8864926698395</v>
      </c>
      <c r="U89" s="110">
        <f t="shared" si="23"/>
        <v>-1709.2314031138801</v>
      </c>
      <c r="V89" s="110">
        <f t="shared" si="23"/>
        <v>-1718.671658347954</v>
      </c>
      <c r="W89" s="110">
        <f t="shared" si="23"/>
        <v>-1244.7848440022776</v>
      </c>
      <c r="X89" s="110">
        <f t="shared" si="23"/>
        <v>-569.40308104567225</v>
      </c>
      <c r="Y89" s="110">
        <f t="shared" si="23"/>
        <v>-558.9393629906192</v>
      </c>
      <c r="AA89" s="606">
        <f t="shared" si="6"/>
        <v>-11733.278341483232</v>
      </c>
      <c r="AB89" s="607">
        <f t="shared" si="18"/>
        <v>-11733.278341483232</v>
      </c>
    </row>
    <row r="90" spans="1:30" s="199" customFormat="1">
      <c r="A90" s="199" t="s">
        <v>238</v>
      </c>
      <c r="F90" s="110">
        <f>F56</f>
        <v>2081.2850963069764</v>
      </c>
      <c r="G90" s="110">
        <f t="shared" ref="G90:Y90" si="24">G56</f>
        <v>2081.2850963069764</v>
      </c>
      <c r="H90" s="110">
        <f t="shared" si="24"/>
        <v>2196.9120461018083</v>
      </c>
      <c r="I90" s="110">
        <f t="shared" si="24"/>
        <v>2196.9120461018083</v>
      </c>
      <c r="J90" s="110">
        <f t="shared" si="24"/>
        <v>2312.5389958966402</v>
      </c>
      <c r="K90" s="110">
        <f t="shared" si="24"/>
        <v>2312.5389958966402</v>
      </c>
      <c r="L90" s="110">
        <f t="shared" si="24"/>
        <v>2312.5389958966402</v>
      </c>
      <c r="M90" s="110">
        <f t="shared" si="24"/>
        <v>2428.1659456914726</v>
      </c>
      <c r="N90" s="110">
        <f t="shared" si="24"/>
        <v>1004.528925477842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18926.706143676805</v>
      </c>
      <c r="AB90" s="607">
        <f t="shared" si="18"/>
        <v>18926.706143676805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10447.46472879662</v>
      </c>
      <c r="AA91" s="606">
        <f t="shared" si="6"/>
        <v>10447.46472879662</v>
      </c>
      <c r="AB91" s="607">
        <f t="shared" si="18"/>
        <v>10447.46472879662</v>
      </c>
    </row>
    <row r="92" spans="1:30" s="199" customFormat="1">
      <c r="A92" s="199" t="s">
        <v>55</v>
      </c>
      <c r="E92" s="346">
        <v>-49183.199669389891</v>
      </c>
      <c r="F92" s="200">
        <f>SUM(F88:F91)</f>
        <v>8130.6047868367732</v>
      </c>
      <c r="G92" s="200">
        <f t="shared" ref="G92:Y92" si="25">SUM(G88:G91)</f>
        <v>10340.808116354652</v>
      </c>
      <c r="H92" s="200">
        <f t="shared" si="25"/>
        <v>8039.1487525304137</v>
      </c>
      <c r="I92" s="200">
        <f t="shared" si="25"/>
        <v>6598.298018758971</v>
      </c>
      <c r="J92" s="200">
        <f t="shared" si="25"/>
        <v>6661.8915039575932</v>
      </c>
      <c r="K92" s="200">
        <f t="shared" si="25"/>
        <v>5578.8343753906047</v>
      </c>
      <c r="L92" s="200">
        <f t="shared" si="25"/>
        <v>4496.5022446984967</v>
      </c>
      <c r="M92" s="200">
        <f t="shared" si="25"/>
        <v>4621.0545470222887</v>
      </c>
      <c r="N92" s="200">
        <f t="shared" si="25"/>
        <v>3206.1774655887257</v>
      </c>
      <c r="O92" s="200">
        <f t="shared" si="25"/>
        <v>2211.8921199388956</v>
      </c>
      <c r="P92" s="200">
        <f t="shared" si="25"/>
        <v>2222.9534558650871</v>
      </c>
      <c r="Q92" s="200">
        <f t="shared" si="25"/>
        <v>2234.4421505274331</v>
      </c>
      <c r="R92" s="200">
        <f t="shared" si="25"/>
        <v>2246.3535233775997</v>
      </c>
      <c r="S92" s="200">
        <f t="shared" si="25"/>
        <v>2258.9583778199653</v>
      </c>
      <c r="T92" s="200">
        <f t="shared" si="25"/>
        <v>2271.8109201101597</v>
      </c>
      <c r="U92" s="200">
        <f t="shared" si="25"/>
        <v>2284.2999125727556</v>
      </c>
      <c r="V92" s="200">
        <f t="shared" si="25"/>
        <v>2296.9163284463311</v>
      </c>
      <c r="W92" s="200">
        <f t="shared" si="25"/>
        <v>1663.5909597413615</v>
      </c>
      <c r="X92" s="200">
        <f t="shared" si="25"/>
        <v>760.97794943487065</v>
      </c>
      <c r="Y92" s="200">
        <f t="shared" si="25"/>
        <v>11194.458456905579</v>
      </c>
      <c r="AA92" s="606">
        <f t="shared" si="6"/>
        <v>89319.973965878555</v>
      </c>
      <c r="AB92" s="607">
        <f t="shared" si="18"/>
        <v>89319.973965878555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2.0651370521908231E-11</v>
      </c>
      <c r="R95" s="204"/>
      <c r="U95" s="205" t="s">
        <v>58</v>
      </c>
      <c r="V95" s="206"/>
      <c r="W95" s="206"/>
      <c r="X95" s="206"/>
      <c r="Y95" s="207">
        <f>Y39</f>
        <v>1305.9330910995775</v>
      </c>
      <c r="AA95" s="606">
        <f t="shared" si="6"/>
        <v>1305.9330910995775</v>
      </c>
      <c r="AB95" s="607">
        <f t="shared" si="18"/>
        <v>1305.9330910995775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1305.9330910995775</v>
      </c>
      <c r="AA97" s="606">
        <f t="shared" si="6"/>
        <v>1305.9330910995775</v>
      </c>
      <c r="AB97" s="607">
        <f t="shared" si="18"/>
        <v>1305.9330910995775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10447.46472879662</v>
      </c>
      <c r="AA99" s="606">
        <f t="shared" si="6"/>
        <v>10447.46472879662</v>
      </c>
      <c r="AB99" s="607">
        <f t="shared" si="18"/>
        <v>10447.46472879662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49183.199669389891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49183.199669389891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44264.879702450904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44264.879702450904</v>
      </c>
      <c r="F109" s="203">
        <f>ROUND(D109/$B$109,0)</f>
        <v>1475</v>
      </c>
      <c r="G109" s="203">
        <f>F109</f>
        <v>1475</v>
      </c>
      <c r="H109" s="203">
        <f t="shared" ref="H109:Y110" si="28">G109</f>
        <v>1475</v>
      </c>
      <c r="I109" s="203">
        <f t="shared" si="28"/>
        <v>1475</v>
      </c>
      <c r="J109" s="203">
        <f t="shared" si="28"/>
        <v>1475</v>
      </c>
      <c r="K109" s="203">
        <f t="shared" si="28"/>
        <v>1475</v>
      </c>
      <c r="L109" s="203">
        <f t="shared" si="28"/>
        <v>1475</v>
      </c>
      <c r="M109" s="203">
        <f t="shared" si="28"/>
        <v>1475</v>
      </c>
      <c r="N109" s="203">
        <f t="shared" si="28"/>
        <v>1475</v>
      </c>
      <c r="O109" s="203">
        <f t="shared" si="28"/>
        <v>1475</v>
      </c>
      <c r="P109" s="203">
        <f t="shared" si="28"/>
        <v>1475</v>
      </c>
      <c r="Q109" s="203">
        <f t="shared" si="28"/>
        <v>1475</v>
      </c>
      <c r="R109" s="203">
        <f t="shared" si="28"/>
        <v>1475</v>
      </c>
      <c r="S109" s="203">
        <f t="shared" si="28"/>
        <v>1475</v>
      </c>
      <c r="T109" s="203">
        <f t="shared" si="28"/>
        <v>1475</v>
      </c>
      <c r="U109" s="203">
        <f t="shared" si="28"/>
        <v>1475</v>
      </c>
      <c r="V109" s="203">
        <f t="shared" si="28"/>
        <v>1475</v>
      </c>
      <c r="W109" s="203">
        <f t="shared" si="28"/>
        <v>1475</v>
      </c>
      <c r="X109" s="203">
        <f t="shared" si="28"/>
        <v>1475</v>
      </c>
      <c r="Y109" s="203">
        <f t="shared" si="28"/>
        <v>1475</v>
      </c>
      <c r="AA109" s="606">
        <f t="shared" si="26"/>
        <v>29500</v>
      </c>
      <c r="AB109" s="607">
        <f t="shared" si="18"/>
        <v>29500</v>
      </c>
    </row>
    <row r="110" spans="1:28" s="199" customFormat="1">
      <c r="A110" s="199" t="s">
        <v>571</v>
      </c>
      <c r="D110" s="214">
        <f>D104*'FPLE_Wind Summary'!V10</f>
        <v>6801.0857507168694</v>
      </c>
      <c r="F110" s="203">
        <f>ROUND(D110/$B$109,0)</f>
        <v>227</v>
      </c>
      <c r="G110" s="203">
        <f>F110</f>
        <v>227</v>
      </c>
      <c r="H110" s="203">
        <f t="shared" si="28"/>
        <v>227</v>
      </c>
      <c r="I110" s="203">
        <f t="shared" si="28"/>
        <v>227</v>
      </c>
      <c r="J110" s="203">
        <f t="shared" si="28"/>
        <v>227</v>
      </c>
      <c r="K110" s="203">
        <f t="shared" si="28"/>
        <v>227</v>
      </c>
      <c r="L110" s="203">
        <f t="shared" si="28"/>
        <v>227</v>
      </c>
      <c r="M110" s="203">
        <f t="shared" si="28"/>
        <v>227</v>
      </c>
      <c r="N110" s="203">
        <f t="shared" si="28"/>
        <v>227</v>
      </c>
      <c r="O110" s="203">
        <f t="shared" si="28"/>
        <v>227</v>
      </c>
      <c r="P110" s="203">
        <f t="shared" si="28"/>
        <v>227</v>
      </c>
      <c r="Q110" s="203">
        <f t="shared" si="28"/>
        <v>227</v>
      </c>
      <c r="R110" s="203">
        <f t="shared" si="28"/>
        <v>227</v>
      </c>
      <c r="S110" s="203">
        <f t="shared" si="28"/>
        <v>227</v>
      </c>
      <c r="T110" s="203">
        <f t="shared" si="28"/>
        <v>227</v>
      </c>
      <c r="U110" s="203">
        <f t="shared" si="28"/>
        <v>227</v>
      </c>
      <c r="V110" s="203">
        <f t="shared" si="28"/>
        <v>227</v>
      </c>
      <c r="W110" s="203">
        <f t="shared" si="28"/>
        <v>227</v>
      </c>
      <c r="X110" s="203">
        <f t="shared" si="28"/>
        <v>227</v>
      </c>
      <c r="Y110" s="203">
        <f t="shared" si="28"/>
        <v>227</v>
      </c>
      <c r="AA110" s="606">
        <f t="shared" si="26"/>
        <v>4540</v>
      </c>
      <c r="AB110" s="607">
        <f t="shared" si="18"/>
        <v>4540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44264.879702450904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8852.9759404901815</v>
      </c>
      <c r="G115" s="203">
        <f t="shared" si="29"/>
        <v>14164.76150478429</v>
      </c>
      <c r="H115" s="203">
        <f t="shared" si="29"/>
        <v>8498.8569028705733</v>
      </c>
      <c r="I115" s="203">
        <f t="shared" si="29"/>
        <v>5099.3141417223442</v>
      </c>
      <c r="J115" s="203">
        <f t="shared" si="29"/>
        <v>5099.3141417223442</v>
      </c>
      <c r="K115" s="203">
        <f t="shared" si="29"/>
        <v>2549.6570708611721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44264.879702450904</v>
      </c>
      <c r="AB115" s="607">
        <f t="shared" si="18"/>
        <v>44264.879702450904</v>
      </c>
    </row>
    <row r="116" spans="1:28" s="199" customFormat="1">
      <c r="A116" s="199" t="s">
        <v>571</v>
      </c>
      <c r="D116" s="214">
        <f>D110</f>
        <v>6801.0857507168694</v>
      </c>
      <c r="F116" s="203">
        <f>$D$116*F114</f>
        <v>1360.2171501433741</v>
      </c>
      <c r="G116" s="203">
        <f t="shared" ref="G116:Y116" si="30">$D$116*G114</f>
        <v>2176.3474402293982</v>
      </c>
      <c r="H116" s="203">
        <f t="shared" si="30"/>
        <v>1305.808464137639</v>
      </c>
      <c r="I116" s="203">
        <f t="shared" si="30"/>
        <v>783.48507848258328</v>
      </c>
      <c r="J116" s="203">
        <f t="shared" si="30"/>
        <v>783.48507848258328</v>
      </c>
      <c r="K116" s="203">
        <f t="shared" si="30"/>
        <v>391.74253924129164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6801.0857507168694</v>
      </c>
      <c r="AB116" s="607">
        <f t="shared" si="18"/>
        <v>6801.0857507168694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3951.4790000000003</v>
      </c>
      <c r="G121" s="203">
        <f t="shared" ref="G121:Y121" si="32">G39</f>
        <v>3840.9179999999997</v>
      </c>
      <c r="H121" s="203">
        <f t="shared" si="32"/>
        <v>3854.4160000000002</v>
      </c>
      <c r="I121" s="203">
        <f t="shared" si="32"/>
        <v>3879.16</v>
      </c>
      <c r="J121" s="203">
        <f>J39</f>
        <v>3788.1924045520791</v>
      </c>
      <c r="K121" s="203">
        <f t="shared" si="32"/>
        <v>3802.5212467926272</v>
      </c>
      <c r="L121" s="203">
        <f t="shared" si="32"/>
        <v>3818.1175678354139</v>
      </c>
      <c r="M121" s="203">
        <f t="shared" si="32"/>
        <v>3833.7213309979297</v>
      </c>
      <c r="N121" s="203">
        <f t="shared" si="32"/>
        <v>3849.0359092847621</v>
      </c>
      <c r="O121" s="203">
        <f t="shared" si="32"/>
        <v>3866.9442656274396</v>
      </c>
      <c r="P121" s="203">
        <f t="shared" si="32"/>
        <v>3886.2822654984043</v>
      </c>
      <c r="Q121" s="203">
        <f t="shared" si="32"/>
        <v>3906.3673960269812</v>
      </c>
      <c r="R121" s="203">
        <f t="shared" si="32"/>
        <v>3927.191474436363</v>
      </c>
      <c r="S121" s="203">
        <f t="shared" si="32"/>
        <v>3949.2279332516873</v>
      </c>
      <c r="T121" s="203">
        <f t="shared" si="32"/>
        <v>3971.6974127799995</v>
      </c>
      <c r="U121" s="203">
        <f t="shared" si="32"/>
        <v>3993.5313156866359</v>
      </c>
      <c r="V121" s="203">
        <f t="shared" si="32"/>
        <v>4015.5879867942854</v>
      </c>
      <c r="W121" s="203">
        <f t="shared" si="32"/>
        <v>2908.3758037436392</v>
      </c>
      <c r="X121" s="203">
        <f t="shared" si="32"/>
        <v>1330.3810304805429</v>
      </c>
      <c r="Y121" s="203">
        <f t="shared" si="32"/>
        <v>1305.9330910995775</v>
      </c>
      <c r="AA121" s="606">
        <f t="shared" si="26"/>
        <v>71679.081434888358</v>
      </c>
      <c r="AB121" s="607">
        <f t="shared" si="18"/>
        <v>71679.081434888358</v>
      </c>
    </row>
    <row r="122" spans="1:28" s="199" customFormat="1">
      <c r="A122" s="199" t="s">
        <v>74</v>
      </c>
      <c r="F122" s="203">
        <f>-F115</f>
        <v>-8852.9759404901815</v>
      </c>
      <c r="G122" s="203">
        <f t="shared" ref="G122:Y122" si="33">-G115</f>
        <v>-14164.76150478429</v>
      </c>
      <c r="H122" s="203">
        <f t="shared" si="33"/>
        <v>-8498.8569028705733</v>
      </c>
      <c r="I122" s="203">
        <f t="shared" si="33"/>
        <v>-5099.3141417223442</v>
      </c>
      <c r="J122" s="203">
        <f t="shared" si="33"/>
        <v>-5099.3141417223442</v>
      </c>
      <c r="K122" s="203">
        <f t="shared" si="33"/>
        <v>-2549.6570708611721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-44264.879702450904</v>
      </c>
      <c r="AB122" s="607">
        <f t="shared" si="18"/>
        <v>-44264.879702450904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-4901.4969404901813</v>
      </c>
      <c r="G124" s="203">
        <f t="shared" ref="G124:Y124" si="35">SUM(G121:G123)</f>
        <v>-10323.84350478429</v>
      </c>
      <c r="H124" s="203">
        <f t="shared" si="35"/>
        <v>-4644.4409028705732</v>
      </c>
      <c r="I124" s="203">
        <f t="shared" si="35"/>
        <v>-1220.1541417223443</v>
      </c>
      <c r="J124" s="203">
        <f t="shared" si="35"/>
        <v>-1311.1217371702651</v>
      </c>
      <c r="K124" s="203">
        <f t="shared" si="35"/>
        <v>1252.8641759314551</v>
      </c>
      <c r="L124" s="203">
        <f t="shared" si="35"/>
        <v>3818.1175678354139</v>
      </c>
      <c r="M124" s="203">
        <f t="shared" si="35"/>
        <v>3833.7213309979297</v>
      </c>
      <c r="N124" s="203">
        <f t="shared" si="35"/>
        <v>3849.0359092847621</v>
      </c>
      <c r="O124" s="203">
        <f t="shared" si="35"/>
        <v>3866.9442656274396</v>
      </c>
      <c r="P124" s="203">
        <f t="shared" si="35"/>
        <v>3886.2822654984043</v>
      </c>
      <c r="Q124" s="203">
        <f t="shared" si="35"/>
        <v>3906.3673960269812</v>
      </c>
      <c r="R124" s="203">
        <f t="shared" si="35"/>
        <v>3927.191474436363</v>
      </c>
      <c r="S124" s="203">
        <f t="shared" si="35"/>
        <v>3949.2279332516873</v>
      </c>
      <c r="T124" s="203">
        <f t="shared" si="35"/>
        <v>3971.6974127799995</v>
      </c>
      <c r="U124" s="203">
        <f t="shared" si="35"/>
        <v>3993.5313156866359</v>
      </c>
      <c r="V124" s="203">
        <f t="shared" si="35"/>
        <v>4015.5879867942854</v>
      </c>
      <c r="W124" s="203">
        <f t="shared" si="35"/>
        <v>2908.3758037436392</v>
      </c>
      <c r="X124" s="203">
        <f t="shared" si="35"/>
        <v>1330.3810304805429</v>
      </c>
      <c r="Y124" s="203">
        <f t="shared" si="35"/>
        <v>1305.9330910995775</v>
      </c>
      <c r="AA124" s="606">
        <f t="shared" si="26"/>
        <v>27414.201732437454</v>
      </c>
      <c r="AB124" s="607">
        <f t="shared" si="18"/>
        <v>27414.201732437454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0.12</v>
      </c>
      <c r="F126" s="203">
        <f>-F124*$C$126</f>
        <v>588.17963285882172</v>
      </c>
      <c r="G126" s="203">
        <f t="shared" ref="G126:Y126" si="36">-G124*$C$126</f>
        <v>1238.8612205741149</v>
      </c>
      <c r="H126" s="203">
        <f t="shared" si="36"/>
        <v>557.33290834446871</v>
      </c>
      <c r="I126" s="203">
        <f t="shared" si="36"/>
        <v>146.41849700668132</v>
      </c>
      <c r="J126" s="203">
        <f t="shared" si="36"/>
        <v>157.33460846043181</v>
      </c>
      <c r="K126" s="203">
        <f t="shared" si="36"/>
        <v>-150.34370111177461</v>
      </c>
      <c r="L126" s="203">
        <f t="shared" si="36"/>
        <v>-458.17410814024964</v>
      </c>
      <c r="M126" s="203">
        <f t="shared" si="36"/>
        <v>-460.04655971975154</v>
      </c>
      <c r="N126" s="203">
        <f t="shared" si="36"/>
        <v>-461.8843091141714</v>
      </c>
      <c r="O126" s="203">
        <f t="shared" si="36"/>
        <v>-464.03331187529272</v>
      </c>
      <c r="P126" s="203">
        <f t="shared" si="36"/>
        <v>-466.35387185980852</v>
      </c>
      <c r="Q126" s="203">
        <f t="shared" si="36"/>
        <v>-468.76408752323772</v>
      </c>
      <c r="R126" s="203">
        <f t="shared" si="36"/>
        <v>-471.26297693236353</v>
      </c>
      <c r="S126" s="203">
        <f t="shared" si="36"/>
        <v>-473.90735199020247</v>
      </c>
      <c r="T126" s="203">
        <f t="shared" si="36"/>
        <v>-476.60368953359989</v>
      </c>
      <c r="U126" s="203">
        <f t="shared" si="36"/>
        <v>-479.22375788239628</v>
      </c>
      <c r="V126" s="203">
        <f t="shared" si="36"/>
        <v>-481.87055841531424</v>
      </c>
      <c r="W126" s="203">
        <f t="shared" si="36"/>
        <v>-349.0050964492367</v>
      </c>
      <c r="X126" s="203">
        <f t="shared" si="36"/>
        <v>-159.64572365766514</v>
      </c>
      <c r="Y126" s="203">
        <f t="shared" si="36"/>
        <v>-156.71197093194928</v>
      </c>
      <c r="AA126" s="606">
        <f t="shared" si="26"/>
        <v>-3289.7042078924951</v>
      </c>
      <c r="AB126" s="607">
        <f t="shared" si="18"/>
        <v>-3289.7042078924951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1509.6610576709759</v>
      </c>
      <c r="G127" s="203">
        <f t="shared" ref="G127:Y127" si="37">-(G124+G126)*$C$127</f>
        <v>3179.743799473561</v>
      </c>
      <c r="H127" s="203">
        <f t="shared" si="37"/>
        <v>1430.4877980841366</v>
      </c>
      <c r="I127" s="203">
        <f t="shared" si="37"/>
        <v>375.80747565048205</v>
      </c>
      <c r="J127" s="203">
        <f t="shared" si="37"/>
        <v>403.82549504844161</v>
      </c>
      <c r="K127" s="203">
        <f t="shared" si="37"/>
        <v>-385.88216618688813</v>
      </c>
      <c r="L127" s="203">
        <f t="shared" si="37"/>
        <v>-1175.9802108933075</v>
      </c>
      <c r="M127" s="203">
        <f t="shared" si="37"/>
        <v>-1180.7861699473622</v>
      </c>
      <c r="N127" s="203">
        <f t="shared" si="37"/>
        <v>-1185.5030600597065</v>
      </c>
      <c r="O127" s="203">
        <f t="shared" si="37"/>
        <v>-1191.0188338132514</v>
      </c>
      <c r="P127" s="203">
        <f t="shared" si="37"/>
        <v>-1196.9749377735086</v>
      </c>
      <c r="Q127" s="203">
        <f t="shared" si="37"/>
        <v>-1203.1611579763101</v>
      </c>
      <c r="R127" s="203">
        <f t="shared" si="37"/>
        <v>-1209.5749741263999</v>
      </c>
      <c r="S127" s="203">
        <f t="shared" si="37"/>
        <v>-1216.3622034415196</v>
      </c>
      <c r="T127" s="203">
        <f t="shared" si="37"/>
        <v>-1223.2828031362396</v>
      </c>
      <c r="U127" s="203">
        <f t="shared" si="37"/>
        <v>-1230.0076452314838</v>
      </c>
      <c r="V127" s="203">
        <f t="shared" si="37"/>
        <v>-1236.8010999326398</v>
      </c>
      <c r="W127" s="203">
        <f t="shared" si="37"/>
        <v>-895.77974755304081</v>
      </c>
      <c r="X127" s="203">
        <f t="shared" si="37"/>
        <v>-409.75735738800716</v>
      </c>
      <c r="Y127" s="203">
        <f t="shared" si="37"/>
        <v>-402.22739205866986</v>
      </c>
      <c r="AA127" s="606">
        <f t="shared" si="26"/>
        <v>-8443.5741335907387</v>
      </c>
      <c r="AB127" s="607">
        <f t="shared" si="18"/>
        <v>-8443.5741335907387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156</v>
      </c>
      <c r="G138" s="218">
        <f t="shared" si="41"/>
        <v>159</v>
      </c>
      <c r="H138" s="218">
        <f t="shared" si="41"/>
        <v>162</v>
      </c>
      <c r="I138" s="218">
        <f t="shared" si="41"/>
        <v>165</v>
      </c>
      <c r="J138" s="218">
        <f t="shared" si="41"/>
        <v>168.3</v>
      </c>
      <c r="K138" s="218">
        <f t="shared" si="41"/>
        <v>171.66600000000003</v>
      </c>
      <c r="L138" s="218">
        <f t="shared" si="41"/>
        <v>175.09932000000003</v>
      </c>
      <c r="M138" s="218">
        <f t="shared" si="41"/>
        <v>178.60130640000003</v>
      </c>
      <c r="N138" s="218">
        <f t="shared" si="41"/>
        <v>182.17333252800003</v>
      </c>
      <c r="O138" s="218">
        <f t="shared" si="41"/>
        <v>185.81679917856005</v>
      </c>
      <c r="P138" s="218">
        <f t="shared" si="41"/>
        <v>189.53313516213126</v>
      </c>
      <c r="Q138" s="218">
        <f t="shared" si="41"/>
        <v>193.32379786537388</v>
      </c>
      <c r="R138" s="218">
        <f t="shared" si="41"/>
        <v>197.19027382268135</v>
      </c>
      <c r="S138" s="218">
        <f t="shared" si="41"/>
        <v>201.13407929913498</v>
      </c>
      <c r="T138" s="218">
        <f t="shared" si="41"/>
        <v>205.15676088511768</v>
      </c>
      <c r="U138" s="218">
        <f t="shared" si="41"/>
        <v>209.25989610282002</v>
      </c>
      <c r="V138" s="218">
        <f t="shared" si="41"/>
        <v>213.44509402487643</v>
      </c>
      <c r="W138" s="218">
        <f t="shared" si="41"/>
        <v>217.71399590537396</v>
      </c>
      <c r="X138" s="218">
        <f t="shared" si="41"/>
        <v>222.06827582348146</v>
      </c>
      <c r="Y138" s="218">
        <f t="shared" si="41"/>
        <v>226.50964133995109</v>
      </c>
      <c r="AA138" s="606">
        <f t="shared" si="26"/>
        <v>3778.9917083375026</v>
      </c>
      <c r="AB138" s="607">
        <f t="shared" si="39"/>
        <v>3778.9917083375026</v>
      </c>
    </row>
    <row r="139" spans="1:28" s="199" customFormat="1">
      <c r="A139" s="199" t="s">
        <v>79</v>
      </c>
      <c r="F139" s="203">
        <f>F137+F138</f>
        <v>156</v>
      </c>
      <c r="G139" s="203">
        <f t="shared" ref="G139:Y139" si="42">G137+G138</f>
        <v>159</v>
      </c>
      <c r="H139" s="203">
        <f t="shared" si="42"/>
        <v>162</v>
      </c>
      <c r="I139" s="203">
        <f t="shared" si="42"/>
        <v>165</v>
      </c>
      <c r="J139" s="203">
        <f t="shared" si="42"/>
        <v>168.3</v>
      </c>
      <c r="K139" s="203">
        <f t="shared" si="42"/>
        <v>171.66600000000003</v>
      </c>
      <c r="L139" s="203">
        <f t="shared" si="42"/>
        <v>175.09932000000003</v>
      </c>
      <c r="M139" s="203">
        <f t="shared" si="42"/>
        <v>178.60130640000003</v>
      </c>
      <c r="N139" s="203">
        <f t="shared" si="42"/>
        <v>182.17333252800003</v>
      </c>
      <c r="O139" s="203">
        <f t="shared" si="42"/>
        <v>185.81679917856005</v>
      </c>
      <c r="P139" s="203">
        <f t="shared" si="42"/>
        <v>189.53313516213126</v>
      </c>
      <c r="Q139" s="203">
        <f t="shared" si="42"/>
        <v>193.32379786537388</v>
      </c>
      <c r="R139" s="203">
        <f t="shared" si="42"/>
        <v>197.19027382268135</v>
      </c>
      <c r="S139" s="203">
        <f t="shared" si="42"/>
        <v>201.13407929913498</v>
      </c>
      <c r="T139" s="203">
        <f t="shared" si="42"/>
        <v>205.15676088511768</v>
      </c>
      <c r="U139" s="203">
        <f t="shared" si="42"/>
        <v>209.25989610282002</v>
      </c>
      <c r="V139" s="203">
        <f t="shared" si="42"/>
        <v>213.44509402487643</v>
      </c>
      <c r="W139" s="203">
        <f t="shared" si="42"/>
        <v>217.71399590537396</v>
      </c>
      <c r="X139" s="203">
        <f t="shared" si="42"/>
        <v>222.06827582348146</v>
      </c>
      <c r="Y139" s="203">
        <f t="shared" si="42"/>
        <v>226.50964133995109</v>
      </c>
      <c r="AA139" s="606">
        <f t="shared" si="26"/>
        <v>3778.9917083375026</v>
      </c>
      <c r="AB139" s="607">
        <f t="shared" si="39"/>
        <v>3778.9917083375026</v>
      </c>
    </row>
    <row r="140" spans="1:28" s="199" customFormat="1">
      <c r="A140" s="199" t="s">
        <v>80</v>
      </c>
      <c r="C140" s="219">
        <f>C126</f>
        <v>0.12</v>
      </c>
      <c r="F140" s="203">
        <f>F139*$C$140</f>
        <v>18.72</v>
      </c>
      <c r="G140" s="203">
        <f t="shared" ref="G140:Y140" si="43">G139*$C$140</f>
        <v>19.079999999999998</v>
      </c>
      <c r="H140" s="203">
        <f t="shared" si="43"/>
        <v>19.439999999999998</v>
      </c>
      <c r="I140" s="203">
        <f t="shared" si="43"/>
        <v>19.8</v>
      </c>
      <c r="J140" s="203">
        <f t="shared" si="43"/>
        <v>20.196000000000002</v>
      </c>
      <c r="K140" s="203">
        <f t="shared" si="43"/>
        <v>20.599920000000001</v>
      </c>
      <c r="L140" s="203">
        <f t="shared" si="43"/>
        <v>21.011918400000003</v>
      </c>
      <c r="M140" s="203">
        <f t="shared" si="43"/>
        <v>21.432156768000002</v>
      </c>
      <c r="N140" s="203">
        <f t="shared" si="43"/>
        <v>21.860799903360004</v>
      </c>
      <c r="O140" s="203">
        <f t="shared" si="43"/>
        <v>22.298015901427206</v>
      </c>
      <c r="P140" s="203">
        <f t="shared" si="43"/>
        <v>22.74397621945575</v>
      </c>
      <c r="Q140" s="203">
        <f t="shared" si="43"/>
        <v>23.198855743844863</v>
      </c>
      <c r="R140" s="203">
        <f t="shared" si="43"/>
        <v>23.66283285872176</v>
      </c>
      <c r="S140" s="203">
        <f t="shared" si="43"/>
        <v>24.136089515896195</v>
      </c>
      <c r="T140" s="203">
        <f t="shared" si="43"/>
        <v>24.61881130621412</v>
      </c>
      <c r="U140" s="203">
        <f t="shared" si="43"/>
        <v>25.111187532338402</v>
      </c>
      <c r="V140" s="203">
        <f t="shared" si="43"/>
        <v>25.613411282985169</v>
      </c>
      <c r="W140" s="203">
        <f t="shared" si="43"/>
        <v>26.125679508644875</v>
      </c>
      <c r="X140" s="203">
        <f t="shared" si="43"/>
        <v>26.648193098817774</v>
      </c>
      <c r="Y140" s="203">
        <f t="shared" si="43"/>
        <v>27.18115696079413</v>
      </c>
      <c r="AA140" s="606">
        <f t="shared" si="26"/>
        <v>453.47900500050025</v>
      </c>
      <c r="AB140" s="607">
        <f t="shared" si="39"/>
        <v>453.47900500050025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48.047999999999995</v>
      </c>
      <c r="G141" s="218">
        <f t="shared" ref="G141:Y141" si="44">(G139-G140)*$C$141</f>
        <v>48.972000000000001</v>
      </c>
      <c r="H141" s="218">
        <f t="shared" si="44"/>
        <v>49.896000000000001</v>
      </c>
      <c r="I141" s="218">
        <f t="shared" si="44"/>
        <v>50.819999999999993</v>
      </c>
      <c r="J141" s="218">
        <f t="shared" si="44"/>
        <v>51.836400000000005</v>
      </c>
      <c r="K141" s="218">
        <f t="shared" si="44"/>
        <v>52.873128000000008</v>
      </c>
      <c r="L141" s="218">
        <f t="shared" si="44"/>
        <v>53.930590560000006</v>
      </c>
      <c r="M141" s="218">
        <f t="shared" si="44"/>
        <v>55.009202371200004</v>
      </c>
      <c r="N141" s="218">
        <f t="shared" si="44"/>
        <v>56.109386418624005</v>
      </c>
      <c r="O141" s="218">
        <f t="shared" si="44"/>
        <v>57.231574146996493</v>
      </c>
      <c r="P141" s="218">
        <f t="shared" si="44"/>
        <v>58.376205629936422</v>
      </c>
      <c r="Q141" s="218">
        <f t="shared" si="44"/>
        <v>59.543729742535149</v>
      </c>
      <c r="R141" s="218">
        <f t="shared" si="44"/>
        <v>60.734604337385846</v>
      </c>
      <c r="S141" s="218">
        <f t="shared" si="44"/>
        <v>61.949296424133571</v>
      </c>
      <c r="T141" s="218">
        <f t="shared" si="44"/>
        <v>63.188282352616241</v>
      </c>
      <c r="U141" s="218">
        <f t="shared" si="44"/>
        <v>64.452047999668565</v>
      </c>
      <c r="V141" s="218">
        <f t="shared" si="44"/>
        <v>65.741088959661937</v>
      </c>
      <c r="W141" s="218">
        <f t="shared" si="44"/>
        <v>67.055910738855175</v>
      </c>
      <c r="X141" s="218">
        <f t="shared" si="44"/>
        <v>68.397028953632287</v>
      </c>
      <c r="Y141" s="218">
        <f t="shared" si="44"/>
        <v>69.764969532704924</v>
      </c>
      <c r="AA141" s="606">
        <f t="shared" si="26"/>
        <v>1163.9294461679506</v>
      </c>
      <c r="AB141" s="607">
        <f t="shared" si="39"/>
        <v>1163.9294461679506</v>
      </c>
    </row>
    <row r="142" spans="1:28" s="199" customFormat="1">
      <c r="A142" s="199" t="s">
        <v>82</v>
      </c>
      <c r="F142" s="203">
        <f>F139-F140-F141</f>
        <v>89.231999999999999</v>
      </c>
      <c r="G142" s="203">
        <f t="shared" ref="G142:Y142" si="45">G139-G140-G141</f>
        <v>90.948000000000008</v>
      </c>
      <c r="H142" s="203">
        <f t="shared" si="45"/>
        <v>92.664000000000001</v>
      </c>
      <c r="I142" s="203">
        <f t="shared" si="45"/>
        <v>94.38</v>
      </c>
      <c r="J142" s="203">
        <f t="shared" si="45"/>
        <v>96.267600000000016</v>
      </c>
      <c r="K142" s="203">
        <f t="shared" si="45"/>
        <v>98.19295200000002</v>
      </c>
      <c r="L142" s="203">
        <f t="shared" si="45"/>
        <v>100.15681104000001</v>
      </c>
      <c r="M142" s="203">
        <f t="shared" si="45"/>
        <v>102.15994726080002</v>
      </c>
      <c r="N142" s="203">
        <f t="shared" si="45"/>
        <v>104.20314620601602</v>
      </c>
      <c r="O142" s="203">
        <f t="shared" si="45"/>
        <v>106.28720913013636</v>
      </c>
      <c r="P142" s="203">
        <f t="shared" si="45"/>
        <v>108.41295331273908</v>
      </c>
      <c r="Q142" s="203">
        <f t="shared" si="45"/>
        <v>110.58121237899387</v>
      </c>
      <c r="R142" s="203">
        <f t="shared" si="45"/>
        <v>112.79283662657373</v>
      </c>
      <c r="S142" s="203">
        <f t="shared" si="45"/>
        <v>115.04869335910521</v>
      </c>
      <c r="T142" s="203">
        <f t="shared" si="45"/>
        <v>117.34966722628731</v>
      </c>
      <c r="U142" s="203">
        <f t="shared" si="45"/>
        <v>119.69666057081307</v>
      </c>
      <c r="V142" s="203">
        <f t="shared" si="45"/>
        <v>122.09059378222932</v>
      </c>
      <c r="W142" s="203">
        <f t="shared" si="45"/>
        <v>124.53240565787391</v>
      </c>
      <c r="X142" s="203">
        <f t="shared" si="45"/>
        <v>127.02305377103139</v>
      </c>
      <c r="Y142" s="203">
        <f t="shared" si="45"/>
        <v>129.56351484645202</v>
      </c>
      <c r="AA142" s="606">
        <f t="shared" si="26"/>
        <v>2161.5832571690507</v>
      </c>
      <c r="AB142" s="607">
        <f t="shared" si="39"/>
        <v>2161.5832571690507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3497.8310843069767</v>
      </c>
      <c r="G144" s="220">
        <f t="shared" ref="G144:Y144" si="46">G76</f>
        <v>3434.5901923069764</v>
      </c>
      <c r="H144" s="220">
        <f t="shared" si="46"/>
        <v>3557.9379981018083</v>
      </c>
      <c r="I144" s="220">
        <f t="shared" si="46"/>
        <v>3572.091566101808</v>
      </c>
      <c r="J144" s="220">
        <f t="shared" si="46"/>
        <v>3635.6850513004292</v>
      </c>
      <c r="K144" s="220">
        <f t="shared" si="46"/>
        <v>3643.8811490620228</v>
      </c>
      <c r="L144" s="220">
        <f t="shared" si="46"/>
        <v>3652.8022446984969</v>
      </c>
      <c r="M144" s="220">
        <f t="shared" si="46"/>
        <v>3777.3545470222884</v>
      </c>
      <c r="N144" s="220">
        <f t="shared" si="46"/>
        <v>2362.4774655887259</v>
      </c>
      <c r="O144" s="220">
        <f t="shared" si="46"/>
        <v>1368.1921199388953</v>
      </c>
      <c r="P144" s="220">
        <f t="shared" si="46"/>
        <v>1379.2534558650873</v>
      </c>
      <c r="Q144" s="220">
        <f t="shared" si="46"/>
        <v>1390.7421505274333</v>
      </c>
      <c r="R144" s="220">
        <f t="shared" si="46"/>
        <v>1402.6535233775999</v>
      </c>
      <c r="S144" s="220">
        <f t="shared" si="46"/>
        <v>1415.2583778199651</v>
      </c>
      <c r="T144" s="220">
        <f t="shared" si="46"/>
        <v>1428.1109201101597</v>
      </c>
      <c r="U144" s="220">
        <f t="shared" si="46"/>
        <v>1440.599912572756</v>
      </c>
      <c r="V144" s="220">
        <f t="shared" si="46"/>
        <v>1453.2163284463311</v>
      </c>
      <c r="W144" s="220">
        <f t="shared" si="46"/>
        <v>819.89095974136171</v>
      </c>
      <c r="X144" s="220">
        <f t="shared" si="46"/>
        <v>-82.72205056512945</v>
      </c>
      <c r="Y144" s="220">
        <f t="shared" si="46"/>
        <v>-96.706271891041681</v>
      </c>
      <c r="AA144" s="606">
        <f t="shared" si="26"/>
        <v>43053.140724432946</v>
      </c>
      <c r="AB144" s="607">
        <f t="shared" si="39"/>
        <v>43053.140724432946</v>
      </c>
    </row>
    <row r="145" spans="1:28" s="199" customFormat="1">
      <c r="A145" s="124" t="s">
        <v>91</v>
      </c>
      <c r="F145" s="213">
        <f>F142+F144</f>
        <v>3587.0630843069766</v>
      </c>
      <c r="G145" s="213">
        <f t="shared" ref="G145:Y145" si="47">G142+G144</f>
        <v>3525.5381923069763</v>
      </c>
      <c r="H145" s="213">
        <f t="shared" si="47"/>
        <v>3650.6019981018085</v>
      </c>
      <c r="I145" s="213">
        <f t="shared" si="47"/>
        <v>3666.4715661018081</v>
      </c>
      <c r="J145" s="213">
        <f t="shared" si="47"/>
        <v>3731.9526513004294</v>
      </c>
      <c r="K145" s="213">
        <f t="shared" si="47"/>
        <v>3742.0741010620227</v>
      </c>
      <c r="L145" s="213">
        <f t="shared" si="47"/>
        <v>3752.9590557384968</v>
      </c>
      <c r="M145" s="213">
        <f t="shared" si="47"/>
        <v>3879.5144942830884</v>
      </c>
      <c r="N145" s="213">
        <f t="shared" si="47"/>
        <v>2466.6806117947417</v>
      </c>
      <c r="O145" s="213">
        <f t="shared" si="47"/>
        <v>1474.4793290690316</v>
      </c>
      <c r="P145" s="213">
        <f t="shared" si="47"/>
        <v>1487.6664091778264</v>
      </c>
      <c r="Q145" s="213">
        <f t="shared" si="47"/>
        <v>1501.3233629064271</v>
      </c>
      <c r="R145" s="213">
        <f t="shared" si="47"/>
        <v>1515.4463600041736</v>
      </c>
      <c r="S145" s="213">
        <f t="shared" si="47"/>
        <v>1530.3070711790704</v>
      </c>
      <c r="T145" s="213">
        <f t="shared" si="47"/>
        <v>1545.4605873364469</v>
      </c>
      <c r="U145" s="213">
        <f t="shared" si="47"/>
        <v>1560.296573143569</v>
      </c>
      <c r="V145" s="213">
        <f t="shared" si="47"/>
        <v>1575.3069222285603</v>
      </c>
      <c r="W145" s="213">
        <f t="shared" si="47"/>
        <v>944.42336539923565</v>
      </c>
      <c r="X145" s="213">
        <f t="shared" si="47"/>
        <v>44.301003205901935</v>
      </c>
      <c r="Y145" s="213">
        <f t="shared" si="47"/>
        <v>32.857242955410342</v>
      </c>
      <c r="AA145" s="606">
        <f t="shared" si="26"/>
        <v>45214.723981602008</v>
      </c>
      <c r="AB145" s="607">
        <f t="shared" si="39"/>
        <v>45214.723981602008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89.231999999999999</v>
      </c>
      <c r="G150" s="200">
        <f t="shared" ref="G150:Y150" si="48">G142</f>
        <v>90.948000000000008</v>
      </c>
      <c r="H150" s="200">
        <f t="shared" si="48"/>
        <v>92.664000000000001</v>
      </c>
      <c r="I150" s="200">
        <f t="shared" si="48"/>
        <v>94.38</v>
      </c>
      <c r="J150" s="200">
        <f t="shared" si="48"/>
        <v>96.267600000000016</v>
      </c>
      <c r="K150" s="200">
        <f t="shared" si="48"/>
        <v>98.19295200000002</v>
      </c>
      <c r="L150" s="200">
        <f t="shared" si="48"/>
        <v>100.15681104000001</v>
      </c>
      <c r="M150" s="200">
        <f t="shared" si="48"/>
        <v>102.15994726080002</v>
      </c>
      <c r="N150" s="200">
        <f t="shared" si="48"/>
        <v>104.20314620601602</v>
      </c>
      <c r="O150" s="200">
        <f t="shared" si="48"/>
        <v>106.28720913013636</v>
      </c>
      <c r="P150" s="200">
        <f t="shared" si="48"/>
        <v>108.41295331273908</v>
      </c>
      <c r="Q150" s="200">
        <f t="shared" si="48"/>
        <v>110.58121237899387</v>
      </c>
      <c r="R150" s="200">
        <f t="shared" si="48"/>
        <v>112.79283662657373</v>
      </c>
      <c r="S150" s="200">
        <f t="shared" si="48"/>
        <v>115.04869335910521</v>
      </c>
      <c r="T150" s="200">
        <f t="shared" si="48"/>
        <v>117.34966722628731</v>
      </c>
      <c r="U150" s="200">
        <f t="shared" si="48"/>
        <v>119.69666057081307</v>
      </c>
      <c r="V150" s="200">
        <f t="shared" si="48"/>
        <v>122.09059378222932</v>
      </c>
      <c r="W150" s="200">
        <f t="shared" si="48"/>
        <v>124.53240565787391</v>
      </c>
      <c r="X150" s="200">
        <f t="shared" si="48"/>
        <v>127.02305377103139</v>
      </c>
      <c r="Y150" s="200">
        <f t="shared" si="48"/>
        <v>129.56351484645202</v>
      </c>
      <c r="AA150" s="606">
        <f t="shared" si="26"/>
        <v>2161.5832571690507</v>
      </c>
      <c r="AB150" s="607">
        <f t="shared" si="39"/>
        <v>2161.5832571690507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89.231999999999999</v>
      </c>
      <c r="G152" s="200">
        <f t="shared" ref="G152:Y152" si="49">G150+G151</f>
        <v>90.948000000000008</v>
      </c>
      <c r="H152" s="200">
        <f t="shared" si="49"/>
        <v>92.664000000000001</v>
      </c>
      <c r="I152" s="200">
        <f t="shared" si="49"/>
        <v>94.38</v>
      </c>
      <c r="J152" s="200">
        <f t="shared" si="49"/>
        <v>96.267600000000016</v>
      </c>
      <c r="K152" s="200">
        <f t="shared" si="49"/>
        <v>98.19295200000002</v>
      </c>
      <c r="L152" s="200">
        <f t="shared" si="49"/>
        <v>100.15681104000001</v>
      </c>
      <c r="M152" s="200">
        <f t="shared" si="49"/>
        <v>102.15994726080002</v>
      </c>
      <c r="N152" s="200">
        <f t="shared" si="49"/>
        <v>104.20314620601602</v>
      </c>
      <c r="O152" s="200">
        <f t="shared" si="49"/>
        <v>106.28720913013636</v>
      </c>
      <c r="P152" s="200">
        <f t="shared" si="49"/>
        <v>108.41295331273908</v>
      </c>
      <c r="Q152" s="200">
        <f t="shared" si="49"/>
        <v>110.58121237899387</v>
      </c>
      <c r="R152" s="200">
        <f t="shared" si="49"/>
        <v>112.79283662657373</v>
      </c>
      <c r="S152" s="200">
        <f t="shared" si="49"/>
        <v>115.04869335910521</v>
      </c>
      <c r="T152" s="200">
        <f t="shared" si="49"/>
        <v>117.34966722628731</v>
      </c>
      <c r="U152" s="200">
        <f t="shared" si="49"/>
        <v>119.69666057081307</v>
      </c>
      <c r="V152" s="200">
        <f t="shared" si="49"/>
        <v>122.09059378222932</v>
      </c>
      <c r="W152" s="200">
        <f t="shared" si="49"/>
        <v>124.53240565787391</v>
      </c>
      <c r="X152" s="200">
        <f t="shared" si="49"/>
        <v>127.02305377103139</v>
      </c>
      <c r="Y152" s="200">
        <f t="shared" si="49"/>
        <v>129.56351484645202</v>
      </c>
      <c r="AA152" s="606">
        <f t="shared" si="26"/>
        <v>2161.5832571690507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934.22667000812021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49183.199669389891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934.22667000812021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50117.426339398015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[21]Financials!F$11</f>
        <v>7887.7039230034952</v>
      </c>
      <c r="F11" s="336">
        <f>[21]Financials!G$11</f>
        <v>7887.7039230034952</v>
      </c>
      <c r="G11" s="336">
        <f>[21]Financials!H$11</f>
        <v>7887.7039230034952</v>
      </c>
      <c r="H11" s="336">
        <f>[21]Financials!I$11</f>
        <v>7887.7039230034952</v>
      </c>
      <c r="I11" s="336">
        <f>[21]Financials!J$11</f>
        <v>7887.7039230034952</v>
      </c>
      <c r="J11" s="336">
        <f>[21]Financials!K$11</f>
        <v>7887.7039230034952</v>
      </c>
      <c r="K11" s="336">
        <f>[21]Financials!L$11</f>
        <v>7887.7039230034952</v>
      </c>
      <c r="L11" s="336">
        <f>[21]Financials!M$11</f>
        <v>7887.7039230034952</v>
      </c>
      <c r="M11" s="336">
        <f>[21]Financials!N$11</f>
        <v>7887.7039230034952</v>
      </c>
      <c r="N11" s="336">
        <f>[21]Financials!O$11</f>
        <v>7887.7039230034952</v>
      </c>
      <c r="O11" s="336">
        <f>[21]Financials!P$11</f>
        <v>7887.7039230034952</v>
      </c>
      <c r="P11" s="336">
        <f>[21]Financials!Q$11</f>
        <v>7887.7039230034952</v>
      </c>
      <c r="Q11" s="336">
        <f>[21]Financials!R$11</f>
        <v>7887.7039230034952</v>
      </c>
      <c r="R11" s="336">
        <f>[21]Financials!S$11</f>
        <v>7887.7039230034952</v>
      </c>
      <c r="S11" s="336">
        <f>[21]Financials!T$11</f>
        <v>7887.7039230034952</v>
      </c>
      <c r="T11" s="336">
        <f>[21]Financials!U$11</f>
        <v>7887.7039230034952</v>
      </c>
      <c r="U11" s="336">
        <f>[21]Financials!V$11</f>
        <v>7887.7039230034952</v>
      </c>
      <c r="V11" s="336">
        <f>[21]Financials!W$11</f>
        <v>7887.7039230034952</v>
      </c>
      <c r="W11" s="336">
        <f>[21]Financials!X$11</f>
        <v>7887.7039230034952</v>
      </c>
      <c r="X11" s="336">
        <f>[21]Financials!Y$11</f>
        <v>3911.4367399003631</v>
      </c>
      <c r="Y11" s="336">
        <f>[21]Financials!Z$11</f>
        <v>0</v>
      </c>
      <c r="AA11" s="606">
        <f t="shared" si="1"/>
        <v>145890.10735396328</v>
      </c>
      <c r="AB11" s="607">
        <f t="shared" ref="AB11:AB74" si="2">AA11*$C$60</f>
        <v>145890.10735396328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7887.7039230034952</v>
      </c>
      <c r="F20" s="90">
        <f t="shared" si="3"/>
        <v>7887.7039230034952</v>
      </c>
      <c r="G20" s="90">
        <f t="shared" si="3"/>
        <v>7887.7039230034952</v>
      </c>
      <c r="H20" s="90">
        <f t="shared" si="3"/>
        <v>7887.7039230034952</v>
      </c>
      <c r="I20" s="90">
        <f t="shared" si="3"/>
        <v>7887.7039230034952</v>
      </c>
      <c r="J20" s="90">
        <f t="shared" si="3"/>
        <v>7887.7039230034952</v>
      </c>
      <c r="K20" s="90">
        <f t="shared" si="3"/>
        <v>7887.7039230034952</v>
      </c>
      <c r="L20" s="90">
        <f t="shared" si="3"/>
        <v>7887.7039230034952</v>
      </c>
      <c r="M20" s="90">
        <f t="shared" si="3"/>
        <v>7887.7039230034952</v>
      </c>
      <c r="N20" s="90">
        <f t="shared" si="3"/>
        <v>7887.7039230034952</v>
      </c>
      <c r="O20" s="90">
        <f t="shared" si="3"/>
        <v>7887.7039230034952</v>
      </c>
      <c r="P20" s="90">
        <f t="shared" si="3"/>
        <v>7887.7039230034952</v>
      </c>
      <c r="Q20" s="90">
        <f t="shared" si="3"/>
        <v>7887.7039230034952</v>
      </c>
      <c r="R20" s="90">
        <f t="shared" si="3"/>
        <v>7887.7039230034952</v>
      </c>
      <c r="S20" s="90">
        <f t="shared" si="3"/>
        <v>7887.7039230034952</v>
      </c>
      <c r="T20" s="90">
        <f t="shared" si="3"/>
        <v>7887.7039230034952</v>
      </c>
      <c r="U20" s="90">
        <f t="shared" si="3"/>
        <v>7887.7039230034952</v>
      </c>
      <c r="V20" s="90">
        <f t="shared" si="3"/>
        <v>7887.7039230034952</v>
      </c>
      <c r="W20" s="90">
        <f t="shared" si="3"/>
        <v>7887.7039230034952</v>
      </c>
      <c r="X20" s="90">
        <f t="shared" si="3"/>
        <v>3911.4367399003631</v>
      </c>
      <c r="Y20" s="90">
        <f t="shared" si="3"/>
        <v>0</v>
      </c>
      <c r="AA20" s="606">
        <f t="shared" si="1"/>
        <v>145890.10735396328</v>
      </c>
      <c r="AB20" s="607">
        <f t="shared" si="2"/>
        <v>145890.10735396328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[21]Financials!F$14+[21]Financials!F$16+[21]Financials!F$17+[21]Financials!F$23</f>
        <v>955.43649787319919</v>
      </c>
      <c r="F25" s="336">
        <f>[21]Financials!G$14+[21]Financials!G$16+[21]Financials!G$17+[21]Financials!G$23</f>
        <v>1083.5204978731992</v>
      </c>
      <c r="G25" s="336">
        <f>[21]Financials!H$14+[21]Financials!H$16+[21]Financials!H$17+[21]Financials!H$23</f>
        <v>1175.2395778731991</v>
      </c>
      <c r="H25" s="336">
        <f>[21]Financials!I$14+[21]Financials!I$16+[21]Financials!I$17+[21]Financials!I$23</f>
        <v>1193.486439473199</v>
      </c>
      <c r="I25" s="336">
        <f>[21]Financials!J$14+[21]Financials!J$16+[21]Financials!J$17+[21]Financials!J$23</f>
        <v>1212.0982383051992</v>
      </c>
      <c r="J25" s="336">
        <f>[21]Financials!K$14+[21]Financials!K$16+[21]Financials!K$17+[21]Financials!K$23</f>
        <v>1231.0822731138392</v>
      </c>
      <c r="K25" s="336">
        <f>[21]Financials!L$14+[21]Financials!L$16+[21]Financials!L$17+[21]Financials!L$23</f>
        <v>1250.4459886186519</v>
      </c>
      <c r="L25" s="336">
        <f>[21]Financials!M$14+[21]Financials!M$16+[21]Financials!M$17+[21]Financials!M$23</f>
        <v>1270.1969784335608</v>
      </c>
      <c r="M25" s="336">
        <f>[21]Financials!N$14+[21]Financials!N$16+[21]Financials!N$17+[21]Financials!N$23</f>
        <v>1290.3429880447684</v>
      </c>
      <c r="N25" s="336">
        <f>[21]Financials!O$14+[21]Financials!O$16+[21]Financials!O$17+[21]Financials!O$23</f>
        <v>1310.8919178481997</v>
      </c>
      <c r="O25" s="336">
        <f>[21]Financials!P$14+[21]Financials!P$16+[21]Financials!P$17+[21]Financials!P$23</f>
        <v>1331.8518262476998</v>
      </c>
      <c r="P25" s="336">
        <f>[21]Financials!Q$14+[21]Financials!Q$16+[21]Financials!Q$17+[21]Financials!Q$23</f>
        <v>1353.23093281519</v>
      </c>
      <c r="Q25" s="336">
        <f>[21]Financials!R$14+[21]Financials!R$16+[21]Financials!R$17+[21]Financials!R$23</f>
        <v>1375.0376215140298</v>
      </c>
      <c r="R25" s="336">
        <f>[21]Financials!S$14+[21]Financials!S$16+[21]Financials!S$17+[21]Financials!S$23</f>
        <v>1397.2804439868464</v>
      </c>
      <c r="S25" s="336">
        <f>[21]Financials!T$14+[21]Financials!T$16+[21]Financials!T$17+[21]Financials!T$23</f>
        <v>1419.9681229091195</v>
      </c>
      <c r="T25" s="336">
        <f>[21]Financials!U$14+[21]Financials!U$16+[21]Financials!U$17+[21]Financials!U$23</f>
        <v>1443.1095554098379</v>
      </c>
      <c r="U25" s="336">
        <f>[21]Financials!V$14+[21]Financials!V$16+[21]Financials!V$17+[21]Financials!V$23</f>
        <v>1466.7138165605706</v>
      </c>
      <c r="V25" s="336">
        <f>[21]Financials!W$14+[21]Financials!W$16+[21]Financials!W$17+[21]Financials!W$23</f>
        <v>1490.7901629343182</v>
      </c>
      <c r="W25" s="336">
        <f>[21]Financials!X$14+[21]Financials!X$16+[21]Financials!X$17+[21]Financials!X$23</f>
        <v>1515.3480362355403</v>
      </c>
      <c r="X25" s="336">
        <f>[21]Financials!Y$14+[21]Financials!Y$16+[21]Financials!Y$17+[21]Financials!Y$23</f>
        <v>751.61761519844447</v>
      </c>
      <c r="Y25" s="336">
        <f>[21]Financials!Z$14+[21]Financials!Z$16+[21]Financials!Z$17+[21]Financials!Z$23</f>
        <v>0</v>
      </c>
      <c r="AA25" s="606">
        <f t="shared" si="1"/>
        <v>24562.253033395413</v>
      </c>
      <c r="AB25" s="607">
        <f t="shared" si="2"/>
        <v>24562.253033395413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[21]Financials!F$18</f>
        <v>218.28</v>
      </c>
      <c r="F28" s="336">
        <f>[21]Financials!G$18</f>
        <v>222.6456</v>
      </c>
      <c r="G28" s="336">
        <f>[21]Financials!H$18</f>
        <v>227.098512</v>
      </c>
      <c r="H28" s="336">
        <f>[21]Financials!I$18</f>
        <v>231.64048224000001</v>
      </c>
      <c r="I28" s="336">
        <f>[21]Financials!J$18</f>
        <v>236.27329188480002</v>
      </c>
      <c r="J28" s="336">
        <f>[21]Financials!K$18</f>
        <v>240.99875772249601</v>
      </c>
      <c r="K28" s="336">
        <f>[21]Financials!L$18</f>
        <v>245.81873287694594</v>
      </c>
      <c r="L28" s="336">
        <f>[21]Financials!M$18</f>
        <v>250.73510753448485</v>
      </c>
      <c r="M28" s="336">
        <f>[21]Financials!N$18</f>
        <v>255.74980968517457</v>
      </c>
      <c r="N28" s="336">
        <f>[21]Financials!O$18</f>
        <v>260.86480587887809</v>
      </c>
      <c r="O28" s="336">
        <f>[21]Financials!P$18</f>
        <v>266.08210199645566</v>
      </c>
      <c r="P28" s="336">
        <f>[21]Financials!Q$18</f>
        <v>271.40374403638481</v>
      </c>
      <c r="Q28" s="336">
        <f>[21]Financials!R$18</f>
        <v>276.83181891711251</v>
      </c>
      <c r="R28" s="336">
        <f>[21]Financials!S$18</f>
        <v>282.36845529545479</v>
      </c>
      <c r="S28" s="336">
        <f>[21]Financials!T$18</f>
        <v>288.01582440136389</v>
      </c>
      <c r="T28" s="336">
        <f>[21]Financials!U$18</f>
        <v>293.77614088939117</v>
      </c>
      <c r="U28" s="336">
        <f>[21]Financials!V$18</f>
        <v>299.65166370717901</v>
      </c>
      <c r="V28" s="336">
        <f>[21]Financials!W$18</f>
        <v>305.64469698132262</v>
      </c>
      <c r="W28" s="336">
        <f>[21]Financials!X$18</f>
        <v>311.7575909209491</v>
      </c>
      <c r="X28" s="336">
        <f>[21]Financials!Y$18</f>
        <v>157.6895518789743</v>
      </c>
      <c r="Y28" s="336">
        <f>[21]Financials!Z$18</f>
        <v>0</v>
      </c>
      <c r="AA28" s="606">
        <f t="shared" si="1"/>
        <v>4925.0466888473666</v>
      </c>
      <c r="AB28" s="607">
        <f t="shared" si="2"/>
        <v>4925.0466888473666</v>
      </c>
    </row>
    <row r="29" spans="1:28">
      <c r="A29" s="4" t="s">
        <v>4</v>
      </c>
      <c r="D29" s="90">
        <v>0</v>
      </c>
      <c r="E29" s="336">
        <f>[21]Financials!F$19+[21]Financials!F$21+[21]Financials!F$26</f>
        <v>98.289999999999992</v>
      </c>
      <c r="F29" s="336">
        <f>[21]Financials!G$19+[21]Financials!G$21+[21]Financials!G$26</f>
        <v>100.9785</v>
      </c>
      <c r="G29" s="336">
        <f>[21]Financials!H$19+[21]Financials!H$21+[21]Financials!H$26</f>
        <v>101.81081999999999</v>
      </c>
      <c r="H29" s="336">
        <f>[21]Financials!I$19+[21]Financials!I$21+[21]Financials!I$26</f>
        <v>104.5322864</v>
      </c>
      <c r="I29" s="336">
        <f>[21]Financials!J$19+[21]Financials!J$21+[21]Financials!J$26</f>
        <v>105.398232128</v>
      </c>
      <c r="J29" s="336">
        <f>[21]Financials!K$19+[21]Financials!K$21+[21]Financials!K$26</f>
        <v>106.28149677056</v>
      </c>
      <c r="K29" s="336">
        <f>[21]Financials!L$19+[21]Financials!L$21+[21]Financials!L$26</f>
        <v>107.1824267059712</v>
      </c>
      <c r="L29" s="336">
        <f>[21]Financials!M$19+[21]Financials!M$21+[21]Financials!M$26</f>
        <v>108.10137524009063</v>
      </c>
      <c r="M29" s="336">
        <f>[21]Financials!N$19+[21]Financials!N$21+[21]Financials!N$26</f>
        <v>109.03870274489243</v>
      </c>
      <c r="N29" s="336">
        <f>[21]Financials!O$19+[21]Financials!O$21+[21]Financials!O$26</f>
        <v>109.99477679979029</v>
      </c>
      <c r="O29" s="336">
        <f>[21]Financials!P$19+[21]Financials!P$21+[21]Financials!P$26</f>
        <v>110.9699723357861</v>
      </c>
      <c r="P29" s="336">
        <f>[21]Financials!Q$19+[21]Financials!Q$21+[21]Financials!Q$26</f>
        <v>111.96467178250181</v>
      </c>
      <c r="Q29" s="336">
        <f>[21]Financials!R$19+[21]Financials!R$21+[21]Financials!R$26</f>
        <v>112.97926521815185</v>
      </c>
      <c r="R29" s="336">
        <f>[21]Financials!S$19+[21]Financials!S$21+[21]Financials!S$26</f>
        <v>114.0141505225149</v>
      </c>
      <c r="S29" s="336">
        <f>[21]Financials!T$19+[21]Financials!T$21+[21]Financials!T$26</f>
        <v>65.069733532965188</v>
      </c>
      <c r="T29" s="336">
        <f>[21]Financials!U$19+[21]Financials!U$21+[21]Financials!U$26</f>
        <v>66.146428203624495</v>
      </c>
      <c r="U29" s="336">
        <f>[21]Financials!V$19+[21]Financials!V$21+[21]Financials!V$26</f>
        <v>67.244656767696995</v>
      </c>
      <c r="V29" s="336">
        <f>[21]Financials!W$19+[21]Financials!W$21+[21]Financials!W$26</f>
        <v>68.364849903050924</v>
      </c>
      <c r="W29" s="336">
        <f>[21]Financials!X$19+[21]Financials!X$21+[21]Financials!X$26</f>
        <v>69.507446901111948</v>
      </c>
      <c r="X29" s="336">
        <f>[21]Financials!Y$19+[21]Financials!Y$21+[21]Financials!Y$26</f>
        <v>40.709682594200785</v>
      </c>
      <c r="Y29" s="336">
        <f>[21]Financials!Z$19+[21]Financials!Z$21+[21]Financials!Z$26</f>
        <v>0</v>
      </c>
      <c r="AA29" s="606">
        <f t="shared" si="1"/>
        <v>1780.2894745509097</v>
      </c>
      <c r="AB29" s="607">
        <f t="shared" si="2"/>
        <v>1780.2894745509097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[21]Financials!F$15</f>
        <v>690.83100139663145</v>
      </c>
      <c r="F31" s="336">
        <f>[21]Financials!G$15</f>
        <v>886.86923439410748</v>
      </c>
      <c r="G31" s="336">
        <f>[21]Financials!H$15</f>
        <v>877.80467317729426</v>
      </c>
      <c r="H31" s="336">
        <f>[21]Financials!I$15</f>
        <v>807.67946593346528</v>
      </c>
      <c r="I31" s="336">
        <f>[21]Financials!J$15</f>
        <v>1051.07719579011</v>
      </c>
      <c r="J31" s="336">
        <f>[21]Financials!K$15</f>
        <v>975.83416170030864</v>
      </c>
      <c r="K31" s="336">
        <f>[21]Financials!L$15</f>
        <v>877.21946219874621</v>
      </c>
      <c r="L31" s="336">
        <f>[21]Financials!M$15</f>
        <v>775.91354638111875</v>
      </c>
      <c r="M31" s="336">
        <f>[21]Financials!N$15</f>
        <v>669.68288014120481</v>
      </c>
      <c r="N31" s="336">
        <f>[21]Financials!O$15</f>
        <v>677.28907528784657</v>
      </c>
      <c r="O31" s="336">
        <f>[21]Financials!P$15</f>
        <v>587.14949253974191</v>
      </c>
      <c r="P31" s="336">
        <f>[21]Financials!Q$15</f>
        <v>544.80002444308423</v>
      </c>
      <c r="Q31" s="336">
        <f>[21]Financials!R$15</f>
        <v>539.76509437772245</v>
      </c>
      <c r="R31" s="336">
        <f>[21]Financials!S$15</f>
        <v>535.69296973017526</v>
      </c>
      <c r="S31" s="336">
        <f>[21]Financials!T$15</f>
        <v>532.05622947890674</v>
      </c>
      <c r="T31" s="336">
        <f>[21]Financials!U$15</f>
        <v>528.64998684919738</v>
      </c>
      <c r="U31" s="336">
        <f>[21]Financials!V$15</f>
        <v>525.37179845368769</v>
      </c>
      <c r="V31" s="336">
        <f>[21]Financials!W$15</f>
        <v>522.22166429237757</v>
      </c>
      <c r="W31" s="336">
        <f>[21]Financials!X$15</f>
        <v>519.19958436526713</v>
      </c>
      <c r="X31" s="336">
        <f>[21]Financials!Y$15</f>
        <v>390.77354269660418</v>
      </c>
      <c r="Y31" s="336">
        <f>[21]Financials!Z$15</f>
        <v>0</v>
      </c>
      <c r="AA31" s="606">
        <f t="shared" si="1"/>
        <v>12825.050082230968</v>
      </c>
      <c r="AB31" s="607">
        <f t="shared" si="2"/>
        <v>12825.050082230968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[21]Financials!F$22</f>
        <v>102</v>
      </c>
      <c r="F34" s="336">
        <f>[21]Financials!G$22</f>
        <v>104.04</v>
      </c>
      <c r="G34" s="336">
        <f>[21]Financials!H$22</f>
        <v>106.1208</v>
      </c>
      <c r="H34" s="336">
        <f>[21]Financials!I$22</f>
        <v>108.243216</v>
      </c>
      <c r="I34" s="336">
        <f>[21]Financials!J$22</f>
        <v>110.40808032000001</v>
      </c>
      <c r="J34" s="336">
        <f>[21]Financials!K$22</f>
        <v>112.61624192640001</v>
      </c>
      <c r="K34" s="336">
        <f>[21]Financials!L$22</f>
        <v>114.868566764928</v>
      </c>
      <c r="L34" s="336">
        <f>[21]Financials!M$22</f>
        <v>117.16593810022657</v>
      </c>
      <c r="M34" s="336">
        <f>[21]Financials!N$22</f>
        <v>119.5092568622311</v>
      </c>
      <c r="N34" s="336">
        <f>[21]Financials!O$22</f>
        <v>121.89944199947573</v>
      </c>
      <c r="O34" s="336">
        <f>[21]Financials!P$22</f>
        <v>124.33743083946524</v>
      </c>
      <c r="P34" s="336">
        <f>[21]Financials!Q$22</f>
        <v>126.82417945625456</v>
      </c>
      <c r="Q34" s="336">
        <f>[21]Financials!R$22</f>
        <v>129.36066304537965</v>
      </c>
      <c r="R34" s="336">
        <f>[21]Financials!S$22</f>
        <v>131.94787630628724</v>
      </c>
      <c r="S34" s="336">
        <f>[21]Financials!T$22</f>
        <v>134.58683383241299</v>
      </c>
      <c r="T34" s="336">
        <f>[21]Financials!U$22</f>
        <v>137.27857050906127</v>
      </c>
      <c r="U34" s="336">
        <f>[21]Financials!V$22</f>
        <v>140.02414191924251</v>
      </c>
      <c r="V34" s="336">
        <f>[21]Financials!W$22</f>
        <v>142.82462475762736</v>
      </c>
      <c r="W34" s="336">
        <f>[21]Financials!X$22</f>
        <v>145.6811172527799</v>
      </c>
      <c r="X34" s="336">
        <f>[21]Financials!Y$22</f>
        <v>73.686706485501986</v>
      </c>
      <c r="Y34" s="336">
        <f>[21]Financials!Z$22</f>
        <v>0</v>
      </c>
      <c r="AA34" s="606">
        <f t="shared" si="1"/>
        <v>2301.423686377274</v>
      </c>
      <c r="AB34" s="607">
        <f t="shared" si="2"/>
        <v>2301.423686377274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2064.8374992698305</v>
      </c>
      <c r="F36" s="90">
        <f t="shared" si="4"/>
        <v>2398.0538322673065</v>
      </c>
      <c r="G36" s="90">
        <f t="shared" si="4"/>
        <v>2488.0743830504935</v>
      </c>
      <c r="H36" s="90">
        <f t="shared" si="4"/>
        <v>2445.5818900466638</v>
      </c>
      <c r="I36" s="90">
        <f t="shared" si="4"/>
        <v>2715.2550384281089</v>
      </c>
      <c r="J36" s="90">
        <f t="shared" si="4"/>
        <v>2666.8129312336041</v>
      </c>
      <c r="K36" s="90">
        <f t="shared" si="4"/>
        <v>2595.5351771652431</v>
      </c>
      <c r="L36" s="90">
        <f t="shared" si="4"/>
        <v>2522.1129456894814</v>
      </c>
      <c r="M36" s="90">
        <f t="shared" si="4"/>
        <v>2444.3236374782714</v>
      </c>
      <c r="N36" s="90">
        <f t="shared" si="4"/>
        <v>2480.94001781419</v>
      </c>
      <c r="O36" s="90">
        <f t="shared" si="4"/>
        <v>2420.3908239591483</v>
      </c>
      <c r="P36" s="90">
        <f t="shared" si="4"/>
        <v>2408.2235525334154</v>
      </c>
      <c r="Q36" s="90">
        <f t="shared" si="4"/>
        <v>2433.9744630723962</v>
      </c>
      <c r="R36" s="90">
        <f t="shared" si="4"/>
        <v>2461.3038958412785</v>
      </c>
      <c r="S36" s="90">
        <f t="shared" si="4"/>
        <v>2439.6967441547681</v>
      </c>
      <c r="T36" s="90">
        <f t="shared" si="4"/>
        <v>2468.9606818611123</v>
      </c>
      <c r="U36" s="90">
        <f t="shared" si="4"/>
        <v>2499.0060774083768</v>
      </c>
      <c r="V36" s="90">
        <f t="shared" si="4"/>
        <v>2529.8459988686964</v>
      </c>
      <c r="W36" s="90">
        <f t="shared" si="4"/>
        <v>2561.4937756756485</v>
      </c>
      <c r="X36" s="90">
        <f t="shared" si="4"/>
        <v>1414.4770988537257</v>
      </c>
      <c r="Y36" s="90">
        <f t="shared" si="4"/>
        <v>0</v>
      </c>
      <c r="AA36" s="606">
        <f t="shared" si="1"/>
        <v>46394.062965401929</v>
      </c>
      <c r="AB36" s="607">
        <f t="shared" si="2"/>
        <v>46394.062965401929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5822.8664237336652</v>
      </c>
      <c r="F39" s="93">
        <f t="shared" si="5"/>
        <v>5489.6500907361888</v>
      </c>
      <c r="G39" s="93">
        <f t="shared" si="5"/>
        <v>5399.6295399530018</v>
      </c>
      <c r="H39" s="93">
        <f t="shared" si="5"/>
        <v>5442.1220329568314</v>
      </c>
      <c r="I39" s="93">
        <f t="shared" si="5"/>
        <v>5172.4488845753858</v>
      </c>
      <c r="J39" s="93">
        <f t="shared" si="5"/>
        <v>5220.8909917698911</v>
      </c>
      <c r="K39" s="93">
        <f t="shared" si="5"/>
        <v>5292.1687458382521</v>
      </c>
      <c r="L39" s="93">
        <f t="shared" si="5"/>
        <v>5365.5909773140138</v>
      </c>
      <c r="M39" s="93">
        <f t="shared" si="5"/>
        <v>5443.3802855252234</v>
      </c>
      <c r="N39" s="93">
        <f t="shared" si="5"/>
        <v>5406.7639051893057</v>
      </c>
      <c r="O39" s="93">
        <f t="shared" si="5"/>
        <v>5467.3130990443469</v>
      </c>
      <c r="P39" s="93">
        <f t="shared" si="5"/>
        <v>5479.4803704700798</v>
      </c>
      <c r="Q39" s="93">
        <f t="shared" si="5"/>
        <v>5453.729459931099</v>
      </c>
      <c r="R39" s="93">
        <f t="shared" si="5"/>
        <v>5426.4000271622172</v>
      </c>
      <c r="S39" s="93">
        <f t="shared" si="5"/>
        <v>5448.0071788487276</v>
      </c>
      <c r="T39" s="93">
        <f t="shared" si="5"/>
        <v>5418.7432411423833</v>
      </c>
      <c r="U39" s="93">
        <f t="shared" si="5"/>
        <v>5388.6978455951185</v>
      </c>
      <c r="V39" s="93">
        <f t="shared" si="5"/>
        <v>5357.8579241347988</v>
      </c>
      <c r="W39" s="93">
        <f t="shared" si="5"/>
        <v>5326.2101473278472</v>
      </c>
      <c r="X39" s="93">
        <f t="shared" si="5"/>
        <v>2496.9596410466374</v>
      </c>
      <c r="Y39" s="93">
        <f t="shared" si="5"/>
        <v>0</v>
      </c>
      <c r="AA39" s="606">
        <f>SUM(F39:Y39)</f>
        <v>99496.044388561349</v>
      </c>
      <c r="AB39" s="607">
        <f t="shared" si="2"/>
        <v>99496.044388561349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2992</v>
      </c>
      <c r="G41" s="90">
        <f t="shared" ref="G41:Y41" si="7">+G109</f>
        <v>2992</v>
      </c>
      <c r="H41" s="90">
        <f t="shared" si="7"/>
        <v>2992</v>
      </c>
      <c r="I41" s="90">
        <f t="shared" si="7"/>
        <v>2992</v>
      </c>
      <c r="J41" s="90">
        <f t="shared" si="7"/>
        <v>2992</v>
      </c>
      <c r="K41" s="90">
        <f t="shared" si="7"/>
        <v>2992</v>
      </c>
      <c r="L41" s="90">
        <f t="shared" si="7"/>
        <v>2992</v>
      </c>
      <c r="M41" s="90">
        <f t="shared" si="7"/>
        <v>2992</v>
      </c>
      <c r="N41" s="90">
        <f t="shared" si="7"/>
        <v>2992</v>
      </c>
      <c r="O41" s="90">
        <f t="shared" si="7"/>
        <v>2992</v>
      </c>
      <c r="P41" s="90">
        <f t="shared" si="7"/>
        <v>2992</v>
      </c>
      <c r="Q41" s="90">
        <f t="shared" si="7"/>
        <v>2992</v>
      </c>
      <c r="R41" s="90">
        <f t="shared" si="7"/>
        <v>2992</v>
      </c>
      <c r="S41" s="90">
        <f t="shared" si="7"/>
        <v>2992</v>
      </c>
      <c r="T41" s="90">
        <f t="shared" si="7"/>
        <v>2992</v>
      </c>
      <c r="U41" s="90">
        <f t="shared" si="7"/>
        <v>2992</v>
      </c>
      <c r="V41" s="90">
        <f t="shared" si="7"/>
        <v>2992</v>
      </c>
      <c r="W41" s="90">
        <f t="shared" si="7"/>
        <v>2992</v>
      </c>
      <c r="X41" s="90">
        <f t="shared" si="7"/>
        <v>2992</v>
      </c>
      <c r="Y41" s="90">
        <f t="shared" si="7"/>
        <v>0</v>
      </c>
      <c r="AA41" s="606">
        <f t="shared" si="6"/>
        <v>56848</v>
      </c>
      <c r="AB41" s="607">
        <f t="shared" si="2"/>
        <v>56848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5822.8664237336652</v>
      </c>
      <c r="F44" s="93">
        <f t="shared" si="8"/>
        <v>2497.6500907361888</v>
      </c>
      <c r="G44" s="93">
        <f t="shared" si="8"/>
        <v>2407.6295399530018</v>
      </c>
      <c r="H44" s="93">
        <f t="shared" si="8"/>
        <v>2450.1220329568314</v>
      </c>
      <c r="I44" s="93">
        <f t="shared" si="8"/>
        <v>2180.4488845753858</v>
      </c>
      <c r="J44" s="93">
        <f t="shared" si="8"/>
        <v>2228.8909917698911</v>
      </c>
      <c r="K44" s="93">
        <f t="shared" si="8"/>
        <v>2300.1687458382521</v>
      </c>
      <c r="L44" s="93">
        <f t="shared" si="8"/>
        <v>2373.5909773140138</v>
      </c>
      <c r="M44" s="93">
        <f t="shared" si="8"/>
        <v>2451.3802855252234</v>
      </c>
      <c r="N44" s="93">
        <f t="shared" si="8"/>
        <v>2414.7639051893057</v>
      </c>
      <c r="O44" s="93">
        <f t="shared" si="8"/>
        <v>2475.3130990443469</v>
      </c>
      <c r="P44" s="93">
        <f t="shared" si="8"/>
        <v>2487.4803704700798</v>
      </c>
      <c r="Q44" s="93">
        <f t="shared" si="8"/>
        <v>2461.729459931099</v>
      </c>
      <c r="R44" s="93">
        <f t="shared" si="8"/>
        <v>2434.4000271622172</v>
      </c>
      <c r="S44" s="93">
        <f t="shared" si="8"/>
        <v>2456.0071788487276</v>
      </c>
      <c r="T44" s="93">
        <f t="shared" si="8"/>
        <v>2426.7432411423833</v>
      </c>
      <c r="U44" s="93">
        <f t="shared" si="8"/>
        <v>2396.6978455951185</v>
      </c>
      <c r="V44" s="93">
        <f t="shared" si="8"/>
        <v>2365.8579241347988</v>
      </c>
      <c r="W44" s="93">
        <f t="shared" si="8"/>
        <v>2334.2101473278472</v>
      </c>
      <c r="X44" s="93">
        <f t="shared" si="8"/>
        <v>-495.04035895336256</v>
      </c>
      <c r="Y44" s="93">
        <f t="shared" si="8"/>
        <v>0</v>
      </c>
      <c r="AA44" s="606">
        <f t="shared" si="6"/>
        <v>42648.044388561349</v>
      </c>
      <c r="AB44" s="607">
        <f t="shared" si="2"/>
        <v>42648.044388561349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-[21]Financials!F$34</f>
        <v>3333.2306249999997</v>
      </c>
      <c r="F46" s="336">
        <f>-[21]Financials!G$34</f>
        <v>3164.484375</v>
      </c>
      <c r="G46" s="336">
        <f>-[21]Financials!H$34</f>
        <v>3010.0791666666664</v>
      </c>
      <c r="H46" s="336">
        <f>-[21]Financials!I$34</f>
        <v>2848.0216666666665</v>
      </c>
      <c r="I46" s="336">
        <f>-[21]Financials!J$34</f>
        <v>2679.4631250000002</v>
      </c>
      <c r="J46" s="336">
        <f>-[21]Financials!K$34</f>
        <v>2491.4495833333331</v>
      </c>
      <c r="K46" s="336">
        <f>-[21]Financials!L$34</f>
        <v>2291.5235416666665</v>
      </c>
      <c r="L46" s="336">
        <f>-[21]Financials!M$34</f>
        <v>2072.6241666666665</v>
      </c>
      <c r="M46" s="336">
        <f>-[21]Financials!N$34</f>
        <v>1837.2437500000001</v>
      </c>
      <c r="N46" s="336">
        <f>-[21]Financials!O$34</f>
        <v>1584.3795833333331</v>
      </c>
      <c r="O46" s="336">
        <f>-[21]Financials!P$34</f>
        <v>1384.3679166666666</v>
      </c>
      <c r="P46" s="336">
        <f>-[21]Financials!Q$34</f>
        <v>1198.1310416666665</v>
      </c>
      <c r="Q46" s="336">
        <f>-[21]Financials!R$34</f>
        <v>998.64625000000001</v>
      </c>
      <c r="R46" s="336">
        <f>-[21]Financials!S$34</f>
        <v>777.1810416666666</v>
      </c>
      <c r="S46" s="336">
        <f>-[21]Financials!T$34</f>
        <v>543</v>
      </c>
      <c r="T46" s="336">
        <f>-[21]Financials!U$34</f>
        <v>292.46916666666664</v>
      </c>
      <c r="U46" s="336">
        <f>-[21]Financials!V$34</f>
        <v>47.008124999999993</v>
      </c>
      <c r="V46" s="336">
        <f>-[21]Financials!W$34</f>
        <v>0</v>
      </c>
      <c r="W46" s="336">
        <f>-[21]Financials!X$34</f>
        <v>0</v>
      </c>
      <c r="X46" s="336">
        <f>-[21]Financials!Y$34</f>
        <v>0</v>
      </c>
      <c r="Y46" s="336">
        <f>-[21]Financials!Z$34</f>
        <v>0</v>
      </c>
      <c r="AA46" s="606">
        <f t="shared" si="6"/>
        <v>27220.072499999998</v>
      </c>
      <c r="AB46" s="607">
        <f t="shared" si="2"/>
        <v>27220.072499999998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2489.6357987336655</v>
      </c>
      <c r="F49" s="93">
        <f t="shared" si="9"/>
        <v>-666.83428426381124</v>
      </c>
      <c r="G49" s="93">
        <f t="shared" si="9"/>
        <v>-602.44962671366466</v>
      </c>
      <c r="H49" s="93">
        <f t="shared" si="9"/>
        <v>-397.89963370983514</v>
      </c>
      <c r="I49" s="93">
        <f t="shared" si="9"/>
        <v>-499.0142404246144</v>
      </c>
      <c r="J49" s="93">
        <f t="shared" si="9"/>
        <v>-262.55859156344195</v>
      </c>
      <c r="K49" s="93">
        <f t="shared" si="9"/>
        <v>8.6452041715856467</v>
      </c>
      <c r="L49" s="93">
        <f t="shared" si="9"/>
        <v>300.9668106473473</v>
      </c>
      <c r="M49" s="93">
        <f t="shared" si="9"/>
        <v>614.13653552522328</v>
      </c>
      <c r="N49" s="93">
        <f t="shared" si="9"/>
        <v>830.38432185597253</v>
      </c>
      <c r="O49" s="93">
        <f t="shared" si="9"/>
        <v>1090.9451823776803</v>
      </c>
      <c r="P49" s="93">
        <f t="shared" si="9"/>
        <v>1289.3493288034133</v>
      </c>
      <c r="Q49" s="93">
        <f t="shared" si="9"/>
        <v>1463.083209931099</v>
      </c>
      <c r="R49" s="93">
        <f t="shared" si="9"/>
        <v>1657.2189854955504</v>
      </c>
      <c r="S49" s="93">
        <f t="shared" si="9"/>
        <v>1913.0071788487276</v>
      </c>
      <c r="T49" s="93">
        <f t="shared" si="9"/>
        <v>2134.2740744757166</v>
      </c>
      <c r="U49" s="93">
        <f t="shared" si="9"/>
        <v>2349.6897205951186</v>
      </c>
      <c r="V49" s="93">
        <f t="shared" si="9"/>
        <v>2365.8579241347988</v>
      </c>
      <c r="W49" s="93">
        <f t="shared" si="9"/>
        <v>2334.2101473278472</v>
      </c>
      <c r="X49" s="93">
        <f t="shared" si="9"/>
        <v>-495.04035895336256</v>
      </c>
      <c r="Y49" s="93">
        <f t="shared" si="9"/>
        <v>0</v>
      </c>
      <c r="AA49" s="606">
        <f t="shared" si="6"/>
        <v>15427.971888561351</v>
      </c>
      <c r="AB49" s="607">
        <f t="shared" si="2"/>
        <v>15427.971888561351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</v>
      </c>
      <c r="D51" s="90"/>
      <c r="E51" s="90">
        <f t="shared" ref="E51:Y51" si="10">E49*-$C$51</f>
        <v>0</v>
      </c>
      <c r="F51" s="90">
        <f t="shared" si="10"/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341">
        <v>0.35</v>
      </c>
      <c r="D52" s="89"/>
      <c r="E52" s="89">
        <f>((E49+E51)*-$C$52)+E56</f>
        <v>4224.482360832244</v>
      </c>
      <c r="F52" s="89">
        <f t="shared" ref="F52:Y52" si="11">((F49+F51)*-$C$52)+F56</f>
        <v>5329.2468898813604</v>
      </c>
      <c r="G52" s="89">
        <f t="shared" si="11"/>
        <v>5306.7122597388097</v>
      </c>
      <c r="H52" s="89">
        <f t="shared" si="11"/>
        <v>5518.2228116535262</v>
      </c>
      <c r="I52" s="89">
        <f t="shared" si="11"/>
        <v>5553.6129240036989</v>
      </c>
      <c r="J52" s="89">
        <f t="shared" si="11"/>
        <v>5753.9564963683461</v>
      </c>
      <c r="K52" s="89">
        <f t="shared" si="11"/>
        <v>5659.0351678610859</v>
      </c>
      <c r="L52" s="89">
        <f t="shared" si="11"/>
        <v>5556.7226055945694</v>
      </c>
      <c r="M52" s="89">
        <f t="shared" si="11"/>
        <v>5730.2162513533704</v>
      </c>
      <c r="N52" s="89">
        <f t="shared" si="11"/>
        <v>355.40757226996362</v>
      </c>
      <c r="O52" s="89">
        <f t="shared" si="11"/>
        <v>-381.83081383218808</v>
      </c>
      <c r="P52" s="89">
        <f t="shared" si="11"/>
        <v>-451.27226508119463</v>
      </c>
      <c r="Q52" s="89">
        <f t="shared" si="11"/>
        <v>-512.07912347588456</v>
      </c>
      <c r="R52" s="89">
        <f t="shared" si="11"/>
        <v>-580.02664492344263</v>
      </c>
      <c r="S52" s="89">
        <f t="shared" si="11"/>
        <v>-669.5525125970546</v>
      </c>
      <c r="T52" s="89">
        <f t="shared" si="11"/>
        <v>-746.99592606650072</v>
      </c>
      <c r="U52" s="89">
        <f t="shared" si="11"/>
        <v>-822.39140220829142</v>
      </c>
      <c r="V52" s="89">
        <f t="shared" si="11"/>
        <v>-828.05027344717951</v>
      </c>
      <c r="W52" s="89">
        <f t="shared" si="11"/>
        <v>-816.97355156474646</v>
      </c>
      <c r="X52" s="89">
        <f t="shared" si="11"/>
        <v>173.26412563367688</v>
      </c>
      <c r="Y52" s="89">
        <f t="shared" si="11"/>
        <v>0</v>
      </c>
      <c r="AA52" s="606">
        <f t="shared" si="6"/>
        <v>39127.224591161932</v>
      </c>
      <c r="AB52" s="607">
        <f t="shared" si="2"/>
        <v>39127.224591161932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6714.1181595659091</v>
      </c>
      <c r="F54" s="93">
        <f t="shared" si="12"/>
        <v>4662.4126056175492</v>
      </c>
      <c r="G54" s="93">
        <f t="shared" si="12"/>
        <v>4704.2626330251451</v>
      </c>
      <c r="H54" s="93">
        <f t="shared" si="12"/>
        <v>5120.323177943691</v>
      </c>
      <c r="I54" s="93">
        <f t="shared" si="12"/>
        <v>5054.5986835790845</v>
      </c>
      <c r="J54" s="93">
        <f t="shared" si="12"/>
        <v>5491.3979048049041</v>
      </c>
      <c r="K54" s="93">
        <f t="shared" si="12"/>
        <v>5667.6803720326716</v>
      </c>
      <c r="L54" s="93">
        <f t="shared" si="12"/>
        <v>5857.6894162419167</v>
      </c>
      <c r="M54" s="93">
        <f t="shared" si="12"/>
        <v>6344.3527868785932</v>
      </c>
      <c r="N54" s="93">
        <f t="shared" si="12"/>
        <v>1185.7918941259361</v>
      </c>
      <c r="O54" s="93">
        <f t="shared" si="12"/>
        <v>709.1143685454922</v>
      </c>
      <c r="P54" s="93">
        <f t="shared" si="12"/>
        <v>838.07706372221867</v>
      </c>
      <c r="Q54" s="93">
        <f t="shared" si="12"/>
        <v>951.00408645521441</v>
      </c>
      <c r="R54" s="93">
        <f t="shared" si="12"/>
        <v>1077.1923405721077</v>
      </c>
      <c r="S54" s="93">
        <f t="shared" si="12"/>
        <v>1243.454666251673</v>
      </c>
      <c r="T54" s="93">
        <f t="shared" si="12"/>
        <v>1387.2781484092159</v>
      </c>
      <c r="U54" s="93">
        <f t="shared" si="12"/>
        <v>1527.2983183868273</v>
      </c>
      <c r="V54" s="93">
        <f t="shared" si="12"/>
        <v>1537.8076506876193</v>
      </c>
      <c r="W54" s="93">
        <f t="shared" si="12"/>
        <v>1517.2365957631007</v>
      </c>
      <c r="X54" s="93">
        <f t="shared" si="12"/>
        <v>-321.77623331968567</v>
      </c>
      <c r="Y54" s="93">
        <f t="shared" si="12"/>
        <v>0</v>
      </c>
      <c r="AA54" s="606">
        <f t="shared" si="6"/>
        <v>54555.196479723272</v>
      </c>
      <c r="AB54" s="607">
        <f t="shared" si="2"/>
        <v>54555.196479723272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[21]Tax!F$46</f>
        <v>5095.8548903890269</v>
      </c>
      <c r="F56" s="342">
        <f>[21]Tax!G$46</f>
        <v>5095.8548903890269</v>
      </c>
      <c r="G56" s="342">
        <f>[21]Tax!H$46</f>
        <v>5095.8548903890269</v>
      </c>
      <c r="H56" s="342">
        <f>[21]Tax!I$46</f>
        <v>5378.9579398550841</v>
      </c>
      <c r="I56" s="342">
        <f>[21]Tax!J$46</f>
        <v>5378.9579398550841</v>
      </c>
      <c r="J56" s="342">
        <f>[21]Tax!K$46</f>
        <v>5662.0609893211413</v>
      </c>
      <c r="K56" s="342">
        <f>[21]Tax!L$46</f>
        <v>5662.0609893211413</v>
      </c>
      <c r="L56" s="342">
        <f>[21]Tax!M$46</f>
        <v>5662.0609893211413</v>
      </c>
      <c r="M56" s="342">
        <f>[21]Tax!N$46</f>
        <v>5945.1640387871985</v>
      </c>
      <c r="N56" s="342">
        <f>[21]Tax!O$46</f>
        <v>646.04208491955399</v>
      </c>
      <c r="O56" s="342">
        <f>[21]Tax!P$46</f>
        <v>0</v>
      </c>
      <c r="P56" s="342">
        <f>[21]Tax!Q$46</f>
        <v>0</v>
      </c>
      <c r="Q56" s="342">
        <f>[21]Tax!R$46</f>
        <v>0</v>
      </c>
      <c r="R56" s="342">
        <f>[21]Tax!S$46</f>
        <v>0</v>
      </c>
      <c r="S56" s="342">
        <f>[21]Tax!T$46</f>
        <v>0</v>
      </c>
      <c r="T56" s="342">
        <f>[21]Tax!U$46</f>
        <v>0</v>
      </c>
      <c r="U56" s="342">
        <f>[21]Tax!V$46</f>
        <v>0</v>
      </c>
      <c r="V56" s="342">
        <f>[21]Tax!W$46</f>
        <v>0</v>
      </c>
      <c r="W56" s="342">
        <f>[21]Tax!X$46</f>
        <v>0</v>
      </c>
      <c r="X56" s="342">
        <f>[21]Tax!Y$46</f>
        <v>0</v>
      </c>
      <c r="Y56" s="342">
        <f>[21]Tax!Z$46</f>
        <v>0</v>
      </c>
      <c r="AA56" s="606">
        <f t="shared" si="6"/>
        <v>44527.014752158393</v>
      </c>
      <c r="AB56" s="607">
        <f t="shared" si="2"/>
        <v>44527.014752158393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5822.8664237336652</v>
      </c>
      <c r="F64" s="20">
        <f t="shared" si="14"/>
        <v>5489.6500907361888</v>
      </c>
      <c r="G64" s="24">
        <f t="shared" si="14"/>
        <v>5399.6295399530018</v>
      </c>
      <c r="H64" s="20">
        <f t="shared" si="14"/>
        <v>5442.1220329568314</v>
      </c>
      <c r="I64" s="20">
        <f t="shared" si="14"/>
        <v>5172.4488845753858</v>
      </c>
      <c r="J64" s="20">
        <f t="shared" si="14"/>
        <v>5220.8909917698911</v>
      </c>
      <c r="K64" s="20">
        <f t="shared" si="14"/>
        <v>5292.1687458382521</v>
      </c>
      <c r="L64" s="20">
        <f t="shared" si="14"/>
        <v>5365.5909773140138</v>
      </c>
      <c r="M64" s="20">
        <f t="shared" si="14"/>
        <v>5443.3802855252234</v>
      </c>
      <c r="N64" s="20">
        <f t="shared" si="14"/>
        <v>5406.7639051893057</v>
      </c>
      <c r="O64" s="20">
        <f t="shared" si="14"/>
        <v>5467.3130990443469</v>
      </c>
      <c r="P64" s="20">
        <f t="shared" si="14"/>
        <v>5479.4803704700798</v>
      </c>
      <c r="Q64" s="20">
        <f t="shared" si="14"/>
        <v>5453.729459931099</v>
      </c>
      <c r="R64" s="20">
        <f t="shared" si="14"/>
        <v>5426.4000271622172</v>
      </c>
      <c r="S64" s="20">
        <f t="shared" si="14"/>
        <v>5448.0071788487276</v>
      </c>
      <c r="T64" s="20">
        <f t="shared" si="14"/>
        <v>5418.7432411423833</v>
      </c>
      <c r="U64" s="20">
        <f t="shared" si="14"/>
        <v>5388.6978455951185</v>
      </c>
      <c r="V64" s="20">
        <f t="shared" si="14"/>
        <v>5357.8579241347988</v>
      </c>
      <c r="W64" s="20">
        <f t="shared" si="14"/>
        <v>5326.2101473278472</v>
      </c>
      <c r="X64" s="20">
        <f t="shared" si="14"/>
        <v>2496.9596410466374</v>
      </c>
      <c r="Y64" s="20">
        <f t="shared" si="14"/>
        <v>0</v>
      </c>
      <c r="AA64" s="606">
        <f t="shared" si="6"/>
        <v>99496.044388561349</v>
      </c>
      <c r="AB64" s="607">
        <f t="shared" si="2"/>
        <v>99496.044388561349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[21]Financials!F$34+[21]Financials!F$100</f>
        <v>-5454.2306250000001</v>
      </c>
      <c r="F66" s="344">
        <f>[21]Financials!G$34+[21]Financials!G$100</f>
        <v>-5182.484375</v>
      </c>
      <c r="G66" s="344">
        <f>[21]Financials!H$34+[21]Financials!H$100</f>
        <v>-5080.0791666666664</v>
      </c>
      <c r="H66" s="344">
        <f>[21]Financials!I$34+[21]Financials!I$100</f>
        <v>-5167.0216666666665</v>
      </c>
      <c r="I66" s="344">
        <f>[21]Financials!J$34+[21]Financials!J$100</f>
        <v>-4988.4631250000002</v>
      </c>
      <c r="J66" s="344">
        <f>[21]Financials!K$34+[21]Financials!K$100</f>
        <v>-5060.4495833333331</v>
      </c>
      <c r="K66" s="344">
        <f>[21]Financials!L$34+[21]Financials!L$100</f>
        <v>-5105.5235416666665</v>
      </c>
      <c r="L66" s="344">
        <f>[21]Financials!M$34+[21]Financials!M$100</f>
        <v>-5149.6241666666665</v>
      </c>
      <c r="M66" s="344">
        <f>[21]Financials!N$34+[21]Financials!N$100</f>
        <v>-5272.2437499999996</v>
      </c>
      <c r="N66" s="344">
        <f>[21]Financials!O$34+[21]Financials!O$100</f>
        <v>-4291.3795833333334</v>
      </c>
      <c r="O66" s="344">
        <f>[21]Financials!P$34+[21]Financials!P$100</f>
        <v>-3781.3679166666666</v>
      </c>
      <c r="P66" s="344">
        <f>[21]Financials!Q$34+[21]Financials!Q$100</f>
        <v>-3807.1310416666665</v>
      </c>
      <c r="Q66" s="344">
        <f>[21]Financials!R$34+[21]Financials!R$100</f>
        <v>-3822.6462499999998</v>
      </c>
      <c r="R66" s="344">
        <f>[21]Financials!S$34+[21]Financials!S$100</f>
        <v>-3805.1810416666667</v>
      </c>
      <c r="S66" s="344">
        <f>[21]Financials!T$34+[21]Financials!T$100</f>
        <v>-3782</v>
      </c>
      <c r="T66" s="344">
        <f>[21]Financials!U$34+[21]Financials!U$100</f>
        <v>-3758.4691666666668</v>
      </c>
      <c r="U66" s="344">
        <f>[21]Financials!V$34+[21]Financials!V$100</f>
        <v>-1280.0081250000001</v>
      </c>
      <c r="V66" s="344">
        <f>[21]Financials!W$34+[21]Financials!W$100</f>
        <v>0</v>
      </c>
      <c r="W66" s="344">
        <f>[21]Financials!X$34+[21]Financials!X$100</f>
        <v>0</v>
      </c>
      <c r="X66" s="344">
        <f>[21]Financials!Y$34+[21]Financials!Y$100</f>
        <v>0</v>
      </c>
      <c r="Y66" s="344">
        <f>[21]Financials!Z$34+[21]Financials!Z$100</f>
        <v>0</v>
      </c>
      <c r="AA66" s="606">
        <f t="shared" si="6"/>
        <v>-69334.072499999995</v>
      </c>
      <c r="AB66" s="607">
        <f t="shared" si="2"/>
        <v>-69334.072499999995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368.63579873366507</v>
      </c>
      <c r="F69" s="95">
        <f t="shared" si="15"/>
        <v>307.16571573618876</v>
      </c>
      <c r="G69" s="95">
        <f t="shared" si="15"/>
        <v>319.55037328633534</v>
      </c>
      <c r="H69" s="95">
        <f t="shared" si="15"/>
        <v>275.10036629016486</v>
      </c>
      <c r="I69" s="95">
        <f t="shared" si="15"/>
        <v>183.9857595753856</v>
      </c>
      <c r="J69" s="95">
        <f t="shared" si="15"/>
        <v>160.44140843655805</v>
      </c>
      <c r="K69" s="95">
        <f t="shared" si="15"/>
        <v>186.64520417158565</v>
      </c>
      <c r="L69" s="95">
        <f t="shared" si="15"/>
        <v>215.9668106473473</v>
      </c>
      <c r="M69" s="95">
        <f t="shared" si="15"/>
        <v>171.13653552522374</v>
      </c>
      <c r="N69" s="95">
        <f t="shared" si="15"/>
        <v>1115.3843218559723</v>
      </c>
      <c r="O69" s="95">
        <f t="shared" si="15"/>
        <v>1685.9451823776803</v>
      </c>
      <c r="P69" s="95">
        <f t="shared" si="15"/>
        <v>1672.3493288034133</v>
      </c>
      <c r="Q69" s="95">
        <f t="shared" si="15"/>
        <v>1631.0832099310992</v>
      </c>
      <c r="R69" s="95">
        <f t="shared" si="15"/>
        <v>1621.2189854955504</v>
      </c>
      <c r="S69" s="95">
        <f t="shared" si="15"/>
        <v>1666.0071788487276</v>
      </c>
      <c r="T69" s="95">
        <f t="shared" si="15"/>
        <v>1660.2740744757166</v>
      </c>
      <c r="U69" s="95">
        <f t="shared" si="15"/>
        <v>4108.6897205951182</v>
      </c>
      <c r="V69" s="95">
        <f t="shared" si="15"/>
        <v>5357.8579241347988</v>
      </c>
      <c r="W69" s="95">
        <f t="shared" si="15"/>
        <v>5326.2101473278472</v>
      </c>
      <c r="X69" s="95">
        <f t="shared" si="15"/>
        <v>2496.9596410466374</v>
      </c>
      <c r="Y69" s="95">
        <f t="shared" si="15"/>
        <v>0</v>
      </c>
      <c r="AA69" s="606">
        <f t="shared" si="6"/>
        <v>30161.971888561351</v>
      </c>
      <c r="AB69" s="607">
        <f t="shared" si="2"/>
        <v>30161.971888561351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5469.6415593040183</v>
      </c>
      <c r="G71" s="100">
        <f t="shared" si="16"/>
        <v>9217.1766650484769</v>
      </c>
      <c r="H71" s="100">
        <f t="shared" si="16"/>
        <v>5124.176449217659</v>
      </c>
      <c r="I71" s="100">
        <f t="shared" si="16"/>
        <v>2746.7219306001448</v>
      </c>
      <c r="J71" s="100">
        <f t="shared" si="16"/>
        <v>2663.9624534987342</v>
      </c>
      <c r="K71" s="100">
        <f t="shared" si="16"/>
        <v>759.40765176570983</v>
      </c>
      <c r="L71" s="100">
        <f t="shared" si="16"/>
        <v>-1152.5383837265715</v>
      </c>
      <c r="M71" s="100">
        <f t="shared" si="16"/>
        <v>-1262.1477874338282</v>
      </c>
      <c r="N71" s="100">
        <f t="shared" si="16"/>
        <v>-1337.8345126495901</v>
      </c>
      <c r="O71" s="100">
        <f t="shared" si="16"/>
        <v>-1429.030813832188</v>
      </c>
      <c r="P71" s="100">
        <f t="shared" si="16"/>
        <v>-1498.4722650811946</v>
      </c>
      <c r="Q71" s="100">
        <f t="shared" si="16"/>
        <v>-1559.2791234758847</v>
      </c>
      <c r="R71" s="100">
        <f t="shared" si="16"/>
        <v>-1627.2266449234426</v>
      </c>
      <c r="S71" s="100">
        <f t="shared" si="16"/>
        <v>-1716.7525125970546</v>
      </c>
      <c r="T71" s="100">
        <f t="shared" si="16"/>
        <v>-1794.1959260665008</v>
      </c>
      <c r="U71" s="100">
        <f t="shared" si="16"/>
        <v>-1869.5914022082911</v>
      </c>
      <c r="V71" s="100">
        <f t="shared" si="16"/>
        <v>-1875.2502734471796</v>
      </c>
      <c r="W71" s="100">
        <f t="shared" si="16"/>
        <v>-1864.1735515647463</v>
      </c>
      <c r="X71" s="100">
        <f t="shared" si="16"/>
        <v>-873.93587436632311</v>
      </c>
      <c r="Y71" s="100">
        <f t="shared" si="16"/>
        <v>0</v>
      </c>
      <c r="AA71" s="606">
        <f t="shared" si="6"/>
        <v>6120.6576380619454</v>
      </c>
      <c r="AB71" s="607">
        <f t="shared" si="2"/>
        <v>6120.6576380619454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368.63579873366507</v>
      </c>
      <c r="F73" s="28">
        <f t="shared" si="17"/>
        <v>5776.8072750402071</v>
      </c>
      <c r="G73" s="28">
        <f t="shared" si="17"/>
        <v>9536.7270383348114</v>
      </c>
      <c r="H73" s="28">
        <f t="shared" si="17"/>
        <v>5399.2768155078238</v>
      </c>
      <c r="I73" s="28">
        <f t="shared" si="17"/>
        <v>2930.7076901755304</v>
      </c>
      <c r="J73" s="28">
        <f t="shared" si="17"/>
        <v>2824.4038619352923</v>
      </c>
      <c r="K73" s="28">
        <f t="shared" si="17"/>
        <v>946.05285593729548</v>
      </c>
      <c r="L73" s="28">
        <f t="shared" si="17"/>
        <v>-936.57157307922421</v>
      </c>
      <c r="M73" s="28">
        <f t="shared" si="17"/>
        <v>-1091.0112519086044</v>
      </c>
      <c r="N73" s="28">
        <f t="shared" si="17"/>
        <v>-222.45019079361782</v>
      </c>
      <c r="O73" s="28">
        <f t="shared" si="17"/>
        <v>256.91436854549238</v>
      </c>
      <c r="P73" s="28">
        <f t="shared" si="17"/>
        <v>173.87706372221874</v>
      </c>
      <c r="Q73" s="28">
        <f t="shared" si="17"/>
        <v>71.804086455214474</v>
      </c>
      <c r="R73" s="28">
        <f t="shared" si="17"/>
        <v>-6.007659427892122</v>
      </c>
      <c r="S73" s="28">
        <f t="shared" si="17"/>
        <v>-50.745333748327084</v>
      </c>
      <c r="T73" s="28">
        <f t="shared" si="17"/>
        <v>-133.92185159078417</v>
      </c>
      <c r="U73" s="28">
        <f t="shared" si="17"/>
        <v>2239.098318386827</v>
      </c>
      <c r="V73" s="28">
        <f t="shared" si="17"/>
        <v>3482.6076506876193</v>
      </c>
      <c r="W73" s="28">
        <f t="shared" si="17"/>
        <v>3462.0365957631011</v>
      </c>
      <c r="X73" s="28">
        <f t="shared" si="17"/>
        <v>1623.0237666803143</v>
      </c>
      <c r="Y73" s="28">
        <f t="shared" si="17"/>
        <v>0</v>
      </c>
      <c r="AA73" s="606">
        <f t="shared" si="6"/>
        <v>36282.629526623299</v>
      </c>
      <c r="AB73" s="607">
        <f t="shared" si="2"/>
        <v>36282.629526623299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6714.1181595659091</v>
      </c>
      <c r="F76" s="28">
        <f t="shared" si="19"/>
        <v>4662.4126056175492</v>
      </c>
      <c r="G76" s="95">
        <f t="shared" si="19"/>
        <v>4704.2626330251451</v>
      </c>
      <c r="H76" s="28">
        <f t="shared" si="19"/>
        <v>5120.323177943691</v>
      </c>
      <c r="I76" s="28">
        <f t="shared" si="19"/>
        <v>5054.5986835790845</v>
      </c>
      <c r="J76" s="28">
        <f t="shared" si="19"/>
        <v>5491.3979048049041</v>
      </c>
      <c r="K76" s="28">
        <f t="shared" si="19"/>
        <v>5667.6803720326716</v>
      </c>
      <c r="L76" s="28">
        <f t="shared" si="19"/>
        <v>5857.6894162419167</v>
      </c>
      <c r="M76" s="28">
        <f t="shared" si="19"/>
        <v>6344.3527868785932</v>
      </c>
      <c r="N76" s="28">
        <f t="shared" si="19"/>
        <v>1185.7918941259361</v>
      </c>
      <c r="O76" s="28">
        <f t="shared" si="19"/>
        <v>709.1143685454922</v>
      </c>
      <c r="P76" s="28">
        <f t="shared" si="19"/>
        <v>838.07706372221867</v>
      </c>
      <c r="Q76" s="28">
        <f t="shared" si="19"/>
        <v>951.00408645521441</v>
      </c>
      <c r="R76" s="28">
        <f t="shared" si="19"/>
        <v>1077.1923405721077</v>
      </c>
      <c r="S76" s="28">
        <f t="shared" si="19"/>
        <v>1243.454666251673</v>
      </c>
      <c r="T76" s="28">
        <f t="shared" si="19"/>
        <v>1387.2781484092159</v>
      </c>
      <c r="U76" s="28">
        <f t="shared" si="19"/>
        <v>1527.2983183868273</v>
      </c>
      <c r="V76" s="28">
        <f t="shared" si="19"/>
        <v>1537.8076506876193</v>
      </c>
      <c r="W76" s="28">
        <f t="shared" si="19"/>
        <v>1517.2365957631007</v>
      </c>
      <c r="X76" s="28">
        <f t="shared" si="19"/>
        <v>-321.77623331968567</v>
      </c>
      <c r="Y76" s="28">
        <f t="shared" si="19"/>
        <v>0</v>
      </c>
      <c r="AA76" s="606">
        <f t="shared" si="6"/>
        <v>54555.196479723272</v>
      </c>
      <c r="AB76" s="607">
        <f>AA76</f>
        <v>54555.196479723272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368.63579873366507</v>
      </c>
      <c r="F77" s="28">
        <f t="shared" si="20"/>
        <v>5776.8072750402071</v>
      </c>
      <c r="G77" s="95">
        <f t="shared" si="20"/>
        <v>9536.7270383348114</v>
      </c>
      <c r="H77" s="28">
        <f t="shared" si="20"/>
        <v>5399.2768155078238</v>
      </c>
      <c r="I77" s="28">
        <f t="shared" si="20"/>
        <v>2930.7076901755304</v>
      </c>
      <c r="J77" s="28">
        <f t="shared" si="20"/>
        <v>2824.4038619352923</v>
      </c>
      <c r="K77" s="28">
        <f t="shared" si="20"/>
        <v>946.05285593729548</v>
      </c>
      <c r="L77" s="28">
        <f t="shared" si="20"/>
        <v>-936.57157307922421</v>
      </c>
      <c r="M77" s="28">
        <f t="shared" si="20"/>
        <v>-1091.0112519086044</v>
      </c>
      <c r="N77" s="28">
        <f t="shared" si="20"/>
        <v>-222.45019079361782</v>
      </c>
      <c r="O77" s="28">
        <f t="shared" si="20"/>
        <v>256.91436854549238</v>
      </c>
      <c r="P77" s="28">
        <f t="shared" si="20"/>
        <v>173.87706372221874</v>
      </c>
      <c r="Q77" s="28">
        <f t="shared" si="20"/>
        <v>71.804086455214474</v>
      </c>
      <c r="R77" s="28">
        <f t="shared" si="20"/>
        <v>-6.007659427892122</v>
      </c>
      <c r="S77" s="28">
        <f t="shared" si="20"/>
        <v>-50.745333748327084</v>
      </c>
      <c r="T77" s="28">
        <f t="shared" si="20"/>
        <v>-133.92185159078417</v>
      </c>
      <c r="U77" s="28">
        <f t="shared" si="20"/>
        <v>2239.098318386827</v>
      </c>
      <c r="V77" s="28">
        <f t="shared" si="20"/>
        <v>3482.6076506876193</v>
      </c>
      <c r="W77" s="28">
        <f t="shared" si="20"/>
        <v>3462.0365957631011</v>
      </c>
      <c r="X77" s="28">
        <f t="shared" si="20"/>
        <v>1623.0237666803143</v>
      </c>
      <c r="Y77" s="28">
        <f t="shared" si="20"/>
        <v>0</v>
      </c>
      <c r="AA77" s="606">
        <f t="shared" si="6"/>
        <v>36282.629526623299</v>
      </c>
      <c r="AB77" s="607">
        <f>AA77</f>
        <v>36282.629526623299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307.16571573618876</v>
      </c>
      <c r="G88" s="200">
        <f t="shared" ref="G88:Y88" si="22">G69</f>
        <v>319.55037328633534</v>
      </c>
      <c r="H88" s="200">
        <f t="shared" si="22"/>
        <v>275.10036629016486</v>
      </c>
      <c r="I88" s="200">
        <f t="shared" si="22"/>
        <v>183.9857595753856</v>
      </c>
      <c r="J88" s="200">
        <f t="shared" si="22"/>
        <v>160.44140843655805</v>
      </c>
      <c r="K88" s="200">
        <f t="shared" si="22"/>
        <v>186.64520417158565</v>
      </c>
      <c r="L88" s="200">
        <f t="shared" si="22"/>
        <v>215.9668106473473</v>
      </c>
      <c r="M88" s="200">
        <f t="shared" si="22"/>
        <v>171.13653552522374</v>
      </c>
      <c r="N88" s="200">
        <f t="shared" si="22"/>
        <v>1115.3843218559723</v>
      </c>
      <c r="O88" s="200">
        <f t="shared" si="22"/>
        <v>1685.9451823776803</v>
      </c>
      <c r="P88" s="200">
        <f t="shared" si="22"/>
        <v>1672.3493288034133</v>
      </c>
      <c r="Q88" s="200">
        <f t="shared" si="22"/>
        <v>1631.0832099310992</v>
      </c>
      <c r="R88" s="200">
        <f t="shared" si="22"/>
        <v>1621.2189854955504</v>
      </c>
      <c r="S88" s="200">
        <f t="shared" si="22"/>
        <v>1666.0071788487276</v>
      </c>
      <c r="T88" s="200">
        <f t="shared" si="22"/>
        <v>1660.2740744757166</v>
      </c>
      <c r="U88" s="200">
        <f t="shared" si="22"/>
        <v>4108.6897205951182</v>
      </c>
      <c r="V88" s="200">
        <f t="shared" si="22"/>
        <v>5357.8579241347988</v>
      </c>
      <c r="W88" s="200">
        <f t="shared" si="22"/>
        <v>5326.2101473278472</v>
      </c>
      <c r="X88" s="200">
        <f t="shared" si="22"/>
        <v>2496.9596410466374</v>
      </c>
      <c r="Y88" s="200">
        <f t="shared" si="22"/>
        <v>0</v>
      </c>
      <c r="AA88" s="606">
        <f t="shared" si="6"/>
        <v>30161.971888561351</v>
      </c>
      <c r="AB88" s="607">
        <f t="shared" si="18"/>
        <v>30161.971888561351</v>
      </c>
    </row>
    <row r="89" spans="1:30" s="199" customFormat="1">
      <c r="A89" s="199" t="s">
        <v>53</v>
      </c>
      <c r="F89" s="110">
        <f>F126+F127</f>
        <v>5469.6415593040183</v>
      </c>
      <c r="G89" s="110">
        <f t="shared" ref="G89:Y89" si="23">G126+G127</f>
        <v>9217.1766650484769</v>
      </c>
      <c r="H89" s="110">
        <f t="shared" si="23"/>
        <v>5124.176449217659</v>
      </c>
      <c r="I89" s="110">
        <f t="shared" si="23"/>
        <v>2746.7219306001448</v>
      </c>
      <c r="J89" s="110">
        <f t="shared" si="23"/>
        <v>2663.9624534987342</v>
      </c>
      <c r="K89" s="110">
        <f t="shared" si="23"/>
        <v>759.40765176570983</v>
      </c>
      <c r="L89" s="110">
        <f t="shared" si="23"/>
        <v>-1152.5383837265715</v>
      </c>
      <c r="M89" s="110">
        <f t="shared" si="23"/>
        <v>-1262.1477874338282</v>
      </c>
      <c r="N89" s="110">
        <f t="shared" si="23"/>
        <v>-1337.8345126495901</v>
      </c>
      <c r="O89" s="110">
        <f t="shared" si="23"/>
        <v>-1429.030813832188</v>
      </c>
      <c r="P89" s="110">
        <f t="shared" si="23"/>
        <v>-1498.4722650811946</v>
      </c>
      <c r="Q89" s="110">
        <f t="shared" si="23"/>
        <v>-1559.2791234758847</v>
      </c>
      <c r="R89" s="110">
        <f t="shared" si="23"/>
        <v>-1627.2266449234426</v>
      </c>
      <c r="S89" s="110">
        <f t="shared" si="23"/>
        <v>-1716.7525125970546</v>
      </c>
      <c r="T89" s="110">
        <f t="shared" si="23"/>
        <v>-1794.1959260665008</v>
      </c>
      <c r="U89" s="110">
        <f t="shared" si="23"/>
        <v>-1869.5914022082911</v>
      </c>
      <c r="V89" s="110">
        <f t="shared" si="23"/>
        <v>-1875.2502734471796</v>
      </c>
      <c r="W89" s="110">
        <f t="shared" si="23"/>
        <v>-1864.1735515647463</v>
      </c>
      <c r="X89" s="110">
        <f t="shared" si="23"/>
        <v>-873.93587436632311</v>
      </c>
      <c r="Y89" s="110">
        <f t="shared" si="23"/>
        <v>0</v>
      </c>
      <c r="AA89" s="606">
        <f t="shared" si="6"/>
        <v>6120.6576380619454</v>
      </c>
      <c r="AB89" s="607">
        <f t="shared" si="18"/>
        <v>6120.6576380619454</v>
      </c>
    </row>
    <row r="90" spans="1:30" s="199" customFormat="1">
      <c r="A90" s="199" t="s">
        <v>238</v>
      </c>
      <c r="F90" s="110">
        <f>F56</f>
        <v>5095.8548903890269</v>
      </c>
      <c r="G90" s="110">
        <f t="shared" ref="G90:Y90" si="24">G56</f>
        <v>5095.8548903890269</v>
      </c>
      <c r="H90" s="110">
        <f t="shared" si="24"/>
        <v>5378.9579398550841</v>
      </c>
      <c r="I90" s="110">
        <f t="shared" si="24"/>
        <v>5378.9579398550841</v>
      </c>
      <c r="J90" s="110">
        <f t="shared" si="24"/>
        <v>5662.0609893211413</v>
      </c>
      <c r="K90" s="110">
        <f t="shared" si="24"/>
        <v>5662.0609893211413</v>
      </c>
      <c r="L90" s="110">
        <f t="shared" si="24"/>
        <v>5662.0609893211413</v>
      </c>
      <c r="M90" s="110">
        <f t="shared" si="24"/>
        <v>5945.1640387871985</v>
      </c>
      <c r="N90" s="110">
        <f t="shared" si="24"/>
        <v>646.04208491955399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44527.014752158393</v>
      </c>
      <c r="AB90" s="607">
        <f t="shared" si="18"/>
        <v>44527.014752158393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19975.6771283731</v>
      </c>
      <c r="Y91" s="111"/>
      <c r="AA91" s="606">
        <f t="shared" si="6"/>
        <v>19975.6771283731</v>
      </c>
      <c r="AB91" s="607">
        <f t="shared" si="18"/>
        <v>19975.6771283731</v>
      </c>
    </row>
    <row r="92" spans="1:30" s="199" customFormat="1">
      <c r="A92" s="199" t="s">
        <v>55</v>
      </c>
      <c r="E92" s="346">
        <v>-57623.294600185458</v>
      </c>
      <c r="F92" s="200">
        <f>SUM(F88:F91)</f>
        <v>10872.662165429234</v>
      </c>
      <c r="G92" s="200">
        <f t="shared" ref="G92:Y92" si="25">SUM(G88:G91)</f>
        <v>14632.581928723837</v>
      </c>
      <c r="H92" s="200">
        <f t="shared" si="25"/>
        <v>10778.234755362908</v>
      </c>
      <c r="I92" s="200">
        <f t="shared" si="25"/>
        <v>8309.6656300306149</v>
      </c>
      <c r="J92" s="200">
        <f t="shared" si="25"/>
        <v>8486.4648512564345</v>
      </c>
      <c r="K92" s="200">
        <f t="shared" si="25"/>
        <v>6608.1138452584364</v>
      </c>
      <c r="L92" s="200">
        <f t="shared" si="25"/>
        <v>4725.4894162419168</v>
      </c>
      <c r="M92" s="200">
        <f t="shared" si="25"/>
        <v>4854.1527868785943</v>
      </c>
      <c r="N92" s="200">
        <f t="shared" si="25"/>
        <v>423.59189412593616</v>
      </c>
      <c r="O92" s="200">
        <f t="shared" si="25"/>
        <v>256.91436854549238</v>
      </c>
      <c r="P92" s="200">
        <f t="shared" si="25"/>
        <v>173.87706372221874</v>
      </c>
      <c r="Q92" s="200">
        <f t="shared" si="25"/>
        <v>71.804086455214474</v>
      </c>
      <c r="R92" s="200">
        <f t="shared" si="25"/>
        <v>-6.007659427892122</v>
      </c>
      <c r="S92" s="200">
        <f t="shared" si="25"/>
        <v>-50.745333748327084</v>
      </c>
      <c r="T92" s="200">
        <f t="shared" si="25"/>
        <v>-133.92185159078417</v>
      </c>
      <c r="U92" s="200">
        <f t="shared" si="25"/>
        <v>2239.098318386827</v>
      </c>
      <c r="V92" s="200">
        <f t="shared" si="25"/>
        <v>3482.6076506876193</v>
      </c>
      <c r="W92" s="200">
        <f t="shared" si="25"/>
        <v>3462.0365957631011</v>
      </c>
      <c r="X92" s="200">
        <f t="shared" si="25"/>
        <v>21598.700895053415</v>
      </c>
      <c r="Y92" s="200">
        <f t="shared" si="25"/>
        <v>0</v>
      </c>
      <c r="AA92" s="606">
        <f t="shared" si="6"/>
        <v>100785.32140715476</v>
      </c>
      <c r="AB92" s="607">
        <f t="shared" si="18"/>
        <v>100785.32140715476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-1.5853577370353794E-11</v>
      </c>
      <c r="R95" s="204"/>
      <c r="U95" s="205" t="s">
        <v>241</v>
      </c>
      <c r="V95" s="206"/>
      <c r="W95" s="206"/>
      <c r="X95" s="206"/>
      <c r="Y95" s="207">
        <f>X88</f>
        <v>2496.9596410466374</v>
      </c>
      <c r="AA95" s="606">
        <f t="shared" si="6"/>
        <v>2496.9596410466374</v>
      </c>
      <c r="AB95" s="607">
        <f t="shared" si="18"/>
        <v>2496.9596410466374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2496.9596410466374</v>
      </c>
      <c r="AA97" s="606">
        <f t="shared" si="6"/>
        <v>2496.9596410466374</v>
      </c>
      <c r="AB97" s="607">
        <f t="shared" si="18"/>
        <v>2496.9596410466374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19975.6771283731</v>
      </c>
      <c r="AA99" s="606">
        <f t="shared" si="6"/>
        <v>19975.6771283731</v>
      </c>
      <c r="AB99" s="607">
        <f t="shared" si="18"/>
        <v>19975.6771283731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[21]Financials!$F$70+[21]Financials!$F$64</f>
        <v>42114</v>
      </c>
      <c r="F101" s="221">
        <f>-SUM(F66:Y66)-SUM(F46:Y46)-D101</f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57623.294600185458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99737.294600185458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89763.565140166917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89763.565140166917</v>
      </c>
      <c r="F109" s="203">
        <f>ROUND(D109/$B$109,0)</f>
        <v>2992</v>
      </c>
      <c r="G109" s="203">
        <f>F109</f>
        <v>2992</v>
      </c>
      <c r="H109" s="203">
        <f t="shared" ref="H109:X110" si="28">G109</f>
        <v>2992</v>
      </c>
      <c r="I109" s="203">
        <f t="shared" si="28"/>
        <v>2992</v>
      </c>
      <c r="J109" s="203">
        <f t="shared" si="28"/>
        <v>2992</v>
      </c>
      <c r="K109" s="203">
        <f t="shared" si="28"/>
        <v>2992</v>
      </c>
      <c r="L109" s="203">
        <f t="shared" si="28"/>
        <v>2992</v>
      </c>
      <c r="M109" s="203">
        <f t="shared" si="28"/>
        <v>2992</v>
      </c>
      <c r="N109" s="203">
        <f t="shared" si="28"/>
        <v>2992</v>
      </c>
      <c r="O109" s="203">
        <f t="shared" si="28"/>
        <v>2992</v>
      </c>
      <c r="P109" s="203">
        <f t="shared" si="28"/>
        <v>2992</v>
      </c>
      <c r="Q109" s="203">
        <f t="shared" si="28"/>
        <v>2992</v>
      </c>
      <c r="R109" s="203">
        <f t="shared" si="28"/>
        <v>2992</v>
      </c>
      <c r="S109" s="203">
        <f t="shared" si="28"/>
        <v>2992</v>
      </c>
      <c r="T109" s="203">
        <f t="shared" si="28"/>
        <v>2992</v>
      </c>
      <c r="U109" s="203">
        <f t="shared" si="28"/>
        <v>2992</v>
      </c>
      <c r="V109" s="203">
        <f t="shared" si="28"/>
        <v>2992</v>
      </c>
      <c r="W109" s="203">
        <f t="shared" si="28"/>
        <v>2992</v>
      </c>
      <c r="X109" s="203">
        <f t="shared" si="28"/>
        <v>2992</v>
      </c>
      <c r="Y109" s="739"/>
      <c r="AA109" s="606">
        <f t="shared" si="26"/>
        <v>56848</v>
      </c>
      <c r="AB109" s="607">
        <f t="shared" si="18"/>
        <v>56848</v>
      </c>
    </row>
    <row r="110" spans="1:28" s="199" customFormat="1">
      <c r="A110" s="199" t="s">
        <v>571</v>
      </c>
      <c r="D110" s="214">
        <f>D104*'FPLE_Wind Summary'!V11</f>
        <v>13627.321647677987</v>
      </c>
      <c r="F110" s="203">
        <f>ROUND(D110/$B$109,0)</f>
        <v>454</v>
      </c>
      <c r="G110" s="203">
        <f>F110</f>
        <v>454</v>
      </c>
      <c r="H110" s="203">
        <f t="shared" si="28"/>
        <v>454</v>
      </c>
      <c r="I110" s="203">
        <f t="shared" si="28"/>
        <v>454</v>
      </c>
      <c r="J110" s="203">
        <f t="shared" si="28"/>
        <v>454</v>
      </c>
      <c r="K110" s="203">
        <f t="shared" si="28"/>
        <v>454</v>
      </c>
      <c r="L110" s="203">
        <f t="shared" si="28"/>
        <v>454</v>
      </c>
      <c r="M110" s="203">
        <f t="shared" si="28"/>
        <v>454</v>
      </c>
      <c r="N110" s="203">
        <f t="shared" si="28"/>
        <v>454</v>
      </c>
      <c r="O110" s="203">
        <f t="shared" si="28"/>
        <v>454</v>
      </c>
      <c r="P110" s="203">
        <f t="shared" si="28"/>
        <v>454</v>
      </c>
      <c r="Q110" s="203">
        <f t="shared" si="28"/>
        <v>454</v>
      </c>
      <c r="R110" s="203">
        <f t="shared" si="28"/>
        <v>454</v>
      </c>
      <c r="S110" s="203">
        <f t="shared" si="28"/>
        <v>454</v>
      </c>
      <c r="T110" s="203">
        <f t="shared" si="28"/>
        <v>454</v>
      </c>
      <c r="U110" s="203">
        <f t="shared" si="28"/>
        <v>454</v>
      </c>
      <c r="V110" s="203">
        <f t="shared" si="28"/>
        <v>454</v>
      </c>
      <c r="W110" s="203">
        <f t="shared" si="28"/>
        <v>454</v>
      </c>
      <c r="X110" s="203">
        <f t="shared" si="28"/>
        <v>454</v>
      </c>
      <c r="Y110" s="739"/>
      <c r="AA110" s="606">
        <f t="shared" si="26"/>
        <v>8626</v>
      </c>
      <c r="AB110" s="607">
        <f t="shared" si="18"/>
        <v>8626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89763.565140166917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X115" si="29">$D$113*F114</f>
        <v>17952.713028033384</v>
      </c>
      <c r="G115" s="203">
        <f t="shared" si="29"/>
        <v>28724.340844853414</v>
      </c>
      <c r="H115" s="203">
        <f t="shared" si="29"/>
        <v>17234.604506912048</v>
      </c>
      <c r="I115" s="203">
        <f t="shared" si="29"/>
        <v>10340.762704147228</v>
      </c>
      <c r="J115" s="203">
        <f t="shared" si="29"/>
        <v>10340.762704147228</v>
      </c>
      <c r="K115" s="203">
        <f t="shared" si="29"/>
        <v>5170.3813520736139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89763.565140166917</v>
      </c>
      <c r="AB115" s="607">
        <f t="shared" si="18"/>
        <v>89763.565140166917</v>
      </c>
    </row>
    <row r="116" spans="1:28" s="199" customFormat="1">
      <c r="A116" s="199" t="s">
        <v>571</v>
      </c>
      <c r="D116" s="214">
        <f>D110</f>
        <v>13627.321647677987</v>
      </c>
      <c r="F116" s="203">
        <f>$D$116*F114</f>
        <v>2725.4643295355977</v>
      </c>
      <c r="G116" s="203">
        <f t="shared" ref="G116:X116" si="30">$D$116*G114</f>
        <v>4360.7429272569561</v>
      </c>
      <c r="H116" s="203">
        <f t="shared" si="30"/>
        <v>2616.4457563541737</v>
      </c>
      <c r="I116" s="203">
        <f t="shared" si="30"/>
        <v>1569.867453812504</v>
      </c>
      <c r="J116" s="203">
        <f t="shared" si="30"/>
        <v>1569.867453812504</v>
      </c>
      <c r="K116" s="203">
        <f t="shared" si="30"/>
        <v>784.93372690625199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13627.321647677985</v>
      </c>
      <c r="AB116" s="607">
        <f t="shared" si="18"/>
        <v>13627.321647677985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5489.6500907361888</v>
      </c>
      <c r="G121" s="203">
        <f t="shared" ref="G121:Y121" si="32">G39</f>
        <v>5399.6295399530018</v>
      </c>
      <c r="H121" s="203">
        <f t="shared" si="32"/>
        <v>5442.1220329568314</v>
      </c>
      <c r="I121" s="203">
        <f t="shared" si="32"/>
        <v>5172.4488845753858</v>
      </c>
      <c r="J121" s="203">
        <f>J39</f>
        <v>5220.8909917698911</v>
      </c>
      <c r="K121" s="203">
        <f t="shared" si="32"/>
        <v>5292.1687458382521</v>
      </c>
      <c r="L121" s="203">
        <f t="shared" si="32"/>
        <v>5365.5909773140138</v>
      </c>
      <c r="M121" s="203">
        <f t="shared" si="32"/>
        <v>5443.3802855252234</v>
      </c>
      <c r="N121" s="203">
        <f t="shared" si="32"/>
        <v>5406.7639051893057</v>
      </c>
      <c r="O121" s="203">
        <f t="shared" si="32"/>
        <v>5467.3130990443469</v>
      </c>
      <c r="P121" s="203">
        <f t="shared" si="32"/>
        <v>5479.4803704700798</v>
      </c>
      <c r="Q121" s="203">
        <f t="shared" si="32"/>
        <v>5453.729459931099</v>
      </c>
      <c r="R121" s="203">
        <f t="shared" si="32"/>
        <v>5426.4000271622172</v>
      </c>
      <c r="S121" s="203">
        <f t="shared" si="32"/>
        <v>5448.0071788487276</v>
      </c>
      <c r="T121" s="203">
        <f t="shared" si="32"/>
        <v>5418.7432411423833</v>
      </c>
      <c r="U121" s="203">
        <f t="shared" si="32"/>
        <v>5388.6978455951185</v>
      </c>
      <c r="V121" s="203">
        <f t="shared" si="32"/>
        <v>5357.8579241347988</v>
      </c>
      <c r="W121" s="203">
        <f t="shared" si="32"/>
        <v>5326.2101473278472</v>
      </c>
      <c r="X121" s="203">
        <f t="shared" si="32"/>
        <v>2496.9596410466374</v>
      </c>
      <c r="Y121" s="203">
        <f t="shared" si="32"/>
        <v>0</v>
      </c>
      <c r="AA121" s="606">
        <f t="shared" si="26"/>
        <v>99496.044388561349</v>
      </c>
      <c r="AB121" s="607">
        <f t="shared" si="18"/>
        <v>99496.044388561349</v>
      </c>
    </row>
    <row r="122" spans="1:28" s="199" customFormat="1">
      <c r="A122" s="199" t="s">
        <v>74</v>
      </c>
      <c r="F122" s="203">
        <f>-F115</f>
        <v>-17952.713028033384</v>
      </c>
      <c r="G122" s="203">
        <f t="shared" ref="G122:Y122" si="33">-G115</f>
        <v>-28724.340844853414</v>
      </c>
      <c r="H122" s="203">
        <f t="shared" si="33"/>
        <v>-17234.604506912048</v>
      </c>
      <c r="I122" s="203">
        <f t="shared" si="33"/>
        <v>-10340.762704147228</v>
      </c>
      <c r="J122" s="203">
        <f t="shared" si="33"/>
        <v>-10340.762704147228</v>
      </c>
      <c r="K122" s="203">
        <f t="shared" si="33"/>
        <v>-5170.3813520736139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-89763.565140166917</v>
      </c>
      <c r="AB122" s="607">
        <f t="shared" si="18"/>
        <v>-89763.565140166917</v>
      </c>
    </row>
    <row r="123" spans="1:28" s="199" customFormat="1">
      <c r="A123" s="199" t="s">
        <v>75</v>
      </c>
      <c r="F123" s="218">
        <f>-F46</f>
        <v>-3164.484375</v>
      </c>
      <c r="G123" s="218">
        <f t="shared" ref="G123:Y123" si="34">-G46</f>
        <v>-3010.0791666666664</v>
      </c>
      <c r="H123" s="218">
        <f t="shared" si="34"/>
        <v>-2848.0216666666665</v>
      </c>
      <c r="I123" s="218">
        <f t="shared" si="34"/>
        <v>-2679.4631250000002</v>
      </c>
      <c r="J123" s="218">
        <f t="shared" si="34"/>
        <v>-2491.4495833333331</v>
      </c>
      <c r="K123" s="218">
        <f t="shared" si="34"/>
        <v>-2291.5235416666665</v>
      </c>
      <c r="L123" s="218">
        <f t="shared" si="34"/>
        <v>-2072.6241666666665</v>
      </c>
      <c r="M123" s="218">
        <f t="shared" si="34"/>
        <v>-1837.2437500000001</v>
      </c>
      <c r="N123" s="218">
        <f t="shared" si="34"/>
        <v>-1584.3795833333331</v>
      </c>
      <c r="O123" s="218">
        <f t="shared" si="34"/>
        <v>-1384.3679166666666</v>
      </c>
      <c r="P123" s="218">
        <f t="shared" si="34"/>
        <v>-1198.1310416666665</v>
      </c>
      <c r="Q123" s="218">
        <f t="shared" si="34"/>
        <v>-998.64625000000001</v>
      </c>
      <c r="R123" s="218">
        <f t="shared" si="34"/>
        <v>-777.1810416666666</v>
      </c>
      <c r="S123" s="218">
        <f t="shared" si="34"/>
        <v>-543</v>
      </c>
      <c r="T123" s="218">
        <f t="shared" si="34"/>
        <v>-292.46916666666664</v>
      </c>
      <c r="U123" s="218">
        <f t="shared" si="34"/>
        <v>-47.008124999999993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-27220.072499999998</v>
      </c>
      <c r="AB123" s="607">
        <f t="shared" si="18"/>
        <v>-27220.072499999998</v>
      </c>
    </row>
    <row r="124" spans="1:28" s="199" customFormat="1">
      <c r="A124" s="199" t="s">
        <v>76</v>
      </c>
      <c r="F124" s="203">
        <f>SUM(F121:F123)</f>
        <v>-15627.547312297196</v>
      </c>
      <c r="G124" s="203">
        <f t="shared" ref="G124:Y124" si="35">SUM(G121:G123)</f>
        <v>-26334.790471567077</v>
      </c>
      <c r="H124" s="203">
        <f t="shared" si="35"/>
        <v>-14640.504140621884</v>
      </c>
      <c r="I124" s="203">
        <f t="shared" si="35"/>
        <v>-7847.7769445718423</v>
      </c>
      <c r="J124" s="203">
        <f t="shared" si="35"/>
        <v>-7611.3212957106698</v>
      </c>
      <c r="K124" s="203">
        <f t="shared" si="35"/>
        <v>-2169.7361479020283</v>
      </c>
      <c r="L124" s="203">
        <f t="shared" si="35"/>
        <v>3292.9668106473473</v>
      </c>
      <c r="M124" s="203">
        <f t="shared" si="35"/>
        <v>3606.1365355252233</v>
      </c>
      <c r="N124" s="203">
        <f t="shared" si="35"/>
        <v>3822.3843218559723</v>
      </c>
      <c r="O124" s="203">
        <f t="shared" si="35"/>
        <v>4082.9451823776803</v>
      </c>
      <c r="P124" s="203">
        <f t="shared" si="35"/>
        <v>4281.3493288034133</v>
      </c>
      <c r="Q124" s="203">
        <f t="shared" si="35"/>
        <v>4455.0832099310992</v>
      </c>
      <c r="R124" s="203">
        <f t="shared" si="35"/>
        <v>4649.2189854955504</v>
      </c>
      <c r="S124" s="203">
        <f t="shared" si="35"/>
        <v>4905.0071788487276</v>
      </c>
      <c r="T124" s="203">
        <f t="shared" si="35"/>
        <v>5126.2740744757166</v>
      </c>
      <c r="U124" s="203">
        <f t="shared" si="35"/>
        <v>5341.6897205951182</v>
      </c>
      <c r="V124" s="203">
        <f t="shared" si="35"/>
        <v>5357.8579241347988</v>
      </c>
      <c r="W124" s="203">
        <f t="shared" si="35"/>
        <v>5326.2101473278472</v>
      </c>
      <c r="X124" s="203">
        <f t="shared" si="35"/>
        <v>2496.9596410466374</v>
      </c>
      <c r="Y124" s="203">
        <f t="shared" si="35"/>
        <v>0</v>
      </c>
      <c r="AA124" s="606">
        <f t="shared" si="26"/>
        <v>-17487.593251605573</v>
      </c>
      <c r="AB124" s="607">
        <f t="shared" si="18"/>
        <v>-17487.593251605573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</v>
      </c>
      <c r="F126" s="203">
        <f>-F124*$C$126</f>
        <v>0</v>
      </c>
      <c r="G126" s="203">
        <f t="shared" ref="G126:Y126" si="36">-G124*$C$126</f>
        <v>0</v>
      </c>
      <c r="H126" s="203">
        <f t="shared" si="36"/>
        <v>0</v>
      </c>
      <c r="I126" s="203">
        <f t="shared" si="36"/>
        <v>0</v>
      </c>
      <c r="J126" s="203">
        <f t="shared" si="36"/>
        <v>0</v>
      </c>
      <c r="K126" s="203">
        <f t="shared" si="36"/>
        <v>0</v>
      </c>
      <c r="L126" s="203">
        <f t="shared" si="36"/>
        <v>0</v>
      </c>
      <c r="M126" s="203">
        <f t="shared" si="36"/>
        <v>0</v>
      </c>
      <c r="N126" s="203">
        <f t="shared" si="36"/>
        <v>0</v>
      </c>
      <c r="O126" s="203">
        <f t="shared" si="36"/>
        <v>0</v>
      </c>
      <c r="P126" s="203">
        <f t="shared" si="36"/>
        <v>0</v>
      </c>
      <c r="Q126" s="203">
        <f t="shared" si="36"/>
        <v>0</v>
      </c>
      <c r="R126" s="203">
        <f t="shared" si="36"/>
        <v>0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0</v>
      </c>
      <c r="AB126" s="607">
        <f t="shared" si="18"/>
        <v>0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5469.6415593040183</v>
      </c>
      <c r="G127" s="203">
        <f t="shared" ref="G127:Y127" si="37">-(G124+G126)*$C$127</f>
        <v>9217.1766650484769</v>
      </c>
      <c r="H127" s="203">
        <f t="shared" si="37"/>
        <v>5124.176449217659</v>
      </c>
      <c r="I127" s="203">
        <f t="shared" si="37"/>
        <v>2746.7219306001448</v>
      </c>
      <c r="J127" s="203">
        <f t="shared" si="37"/>
        <v>2663.9624534987342</v>
      </c>
      <c r="K127" s="203">
        <f t="shared" si="37"/>
        <v>759.40765176570983</v>
      </c>
      <c r="L127" s="203">
        <f t="shared" si="37"/>
        <v>-1152.5383837265715</v>
      </c>
      <c r="M127" s="203">
        <f t="shared" si="37"/>
        <v>-1262.1477874338282</v>
      </c>
      <c r="N127" s="203">
        <f t="shared" si="37"/>
        <v>-1337.8345126495901</v>
      </c>
      <c r="O127" s="203">
        <f t="shared" si="37"/>
        <v>-1429.030813832188</v>
      </c>
      <c r="P127" s="203">
        <f t="shared" si="37"/>
        <v>-1498.4722650811946</v>
      </c>
      <c r="Q127" s="203">
        <f t="shared" si="37"/>
        <v>-1559.2791234758847</v>
      </c>
      <c r="R127" s="203">
        <f t="shared" si="37"/>
        <v>-1627.2266449234426</v>
      </c>
      <c r="S127" s="203">
        <f t="shared" si="37"/>
        <v>-1716.7525125970546</v>
      </c>
      <c r="T127" s="203">
        <f t="shared" si="37"/>
        <v>-1794.1959260665008</v>
      </c>
      <c r="U127" s="203">
        <f t="shared" si="37"/>
        <v>-1869.5914022082911</v>
      </c>
      <c r="V127" s="203">
        <f t="shared" si="37"/>
        <v>-1875.2502734471796</v>
      </c>
      <c r="W127" s="203">
        <f t="shared" si="37"/>
        <v>-1864.1735515647463</v>
      </c>
      <c r="X127" s="203">
        <f t="shared" si="37"/>
        <v>-873.93587436632311</v>
      </c>
      <c r="Y127" s="203">
        <f t="shared" si="37"/>
        <v>0</v>
      </c>
      <c r="AA127" s="606">
        <f t="shared" si="26"/>
        <v>6120.6576380619454</v>
      </c>
      <c r="AB127" s="607">
        <f t="shared" si="18"/>
        <v>6120.6576380619454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3164.484375</v>
      </c>
      <c r="G137" s="354">
        <f t="shared" ref="G137:Y137" si="40">G46*$E$137</f>
        <v>3010.0791666666664</v>
      </c>
      <c r="H137" s="354">
        <f t="shared" si="40"/>
        <v>2848.0216666666665</v>
      </c>
      <c r="I137" s="354">
        <f t="shared" si="40"/>
        <v>2679.4631250000002</v>
      </c>
      <c r="J137" s="354">
        <f t="shared" si="40"/>
        <v>2491.4495833333331</v>
      </c>
      <c r="K137" s="354">
        <f t="shared" si="40"/>
        <v>2291.5235416666665</v>
      </c>
      <c r="L137" s="354">
        <f t="shared" si="40"/>
        <v>2072.6241666666665</v>
      </c>
      <c r="M137" s="354">
        <f t="shared" si="40"/>
        <v>1837.2437500000001</v>
      </c>
      <c r="N137" s="354">
        <f t="shared" si="40"/>
        <v>1584.3795833333331</v>
      </c>
      <c r="O137" s="354">
        <f t="shared" si="40"/>
        <v>1384.3679166666666</v>
      </c>
      <c r="P137" s="354">
        <f t="shared" si="40"/>
        <v>1198.1310416666665</v>
      </c>
      <c r="Q137" s="354">
        <f t="shared" si="40"/>
        <v>998.64625000000001</v>
      </c>
      <c r="R137" s="354">
        <f t="shared" si="40"/>
        <v>777.1810416666666</v>
      </c>
      <c r="S137" s="354">
        <f t="shared" si="40"/>
        <v>543</v>
      </c>
      <c r="T137" s="354">
        <f t="shared" si="40"/>
        <v>292.46916666666664</v>
      </c>
      <c r="U137" s="354">
        <f t="shared" si="40"/>
        <v>47.008124999999993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27220.072499999998</v>
      </c>
      <c r="AB137" s="607">
        <f t="shared" si="39"/>
        <v>27220.072499999998</v>
      </c>
    </row>
    <row r="138" spans="1:28" s="199" customFormat="1">
      <c r="A138" s="199" t="s">
        <v>78</v>
      </c>
      <c r="F138" s="218">
        <f t="shared" ref="F138:Y138" si="41">SUM(F33:F35)</f>
        <v>104.04</v>
      </c>
      <c r="G138" s="218">
        <f t="shared" si="41"/>
        <v>106.1208</v>
      </c>
      <c r="H138" s="218">
        <f t="shared" si="41"/>
        <v>108.243216</v>
      </c>
      <c r="I138" s="218">
        <f t="shared" si="41"/>
        <v>110.40808032000001</v>
      </c>
      <c r="J138" s="218">
        <f t="shared" si="41"/>
        <v>112.61624192640001</v>
      </c>
      <c r="K138" s="218">
        <f t="shared" si="41"/>
        <v>114.868566764928</v>
      </c>
      <c r="L138" s="218">
        <f t="shared" si="41"/>
        <v>117.16593810022657</v>
      </c>
      <c r="M138" s="218">
        <f t="shared" si="41"/>
        <v>119.5092568622311</v>
      </c>
      <c r="N138" s="218">
        <f t="shared" si="41"/>
        <v>121.89944199947573</v>
      </c>
      <c r="O138" s="218">
        <f t="shared" si="41"/>
        <v>124.33743083946524</v>
      </c>
      <c r="P138" s="218">
        <f t="shared" si="41"/>
        <v>126.82417945625456</v>
      </c>
      <c r="Q138" s="218">
        <f t="shared" si="41"/>
        <v>129.36066304537965</v>
      </c>
      <c r="R138" s="218">
        <f t="shared" si="41"/>
        <v>131.94787630628724</v>
      </c>
      <c r="S138" s="218">
        <f t="shared" si="41"/>
        <v>134.58683383241299</v>
      </c>
      <c r="T138" s="218">
        <f t="shared" si="41"/>
        <v>137.27857050906127</v>
      </c>
      <c r="U138" s="218">
        <f t="shared" si="41"/>
        <v>140.02414191924251</v>
      </c>
      <c r="V138" s="218">
        <f t="shared" si="41"/>
        <v>142.82462475762736</v>
      </c>
      <c r="W138" s="218">
        <f t="shared" si="41"/>
        <v>145.6811172527799</v>
      </c>
      <c r="X138" s="218">
        <f t="shared" si="41"/>
        <v>73.686706485501986</v>
      </c>
      <c r="Y138" s="218">
        <f t="shared" si="41"/>
        <v>0</v>
      </c>
      <c r="AA138" s="606">
        <f t="shared" si="26"/>
        <v>2301.423686377274</v>
      </c>
      <c r="AB138" s="607">
        <f t="shared" si="39"/>
        <v>2301.423686377274</v>
      </c>
    </row>
    <row r="139" spans="1:28" s="199" customFormat="1">
      <c r="A139" s="199" t="s">
        <v>79</v>
      </c>
      <c r="F139" s="203">
        <f>F137+F138</f>
        <v>3268.524375</v>
      </c>
      <c r="G139" s="203">
        <f t="shared" ref="G139:Y139" si="42">G137+G138</f>
        <v>3116.1999666666666</v>
      </c>
      <c r="H139" s="203">
        <f t="shared" si="42"/>
        <v>2956.2648826666664</v>
      </c>
      <c r="I139" s="203">
        <f t="shared" si="42"/>
        <v>2789.8712053200002</v>
      </c>
      <c r="J139" s="203">
        <f t="shared" si="42"/>
        <v>2604.0658252597332</v>
      </c>
      <c r="K139" s="203">
        <f t="shared" si="42"/>
        <v>2406.3921084315944</v>
      </c>
      <c r="L139" s="203">
        <f t="shared" si="42"/>
        <v>2189.7901047668929</v>
      </c>
      <c r="M139" s="203">
        <f t="shared" si="42"/>
        <v>1956.7530068622311</v>
      </c>
      <c r="N139" s="203">
        <f t="shared" si="42"/>
        <v>1706.2790253328089</v>
      </c>
      <c r="O139" s="203">
        <f t="shared" si="42"/>
        <v>1508.7053475061318</v>
      </c>
      <c r="P139" s="203">
        <f t="shared" si="42"/>
        <v>1324.9552211229211</v>
      </c>
      <c r="Q139" s="203">
        <f t="shared" si="42"/>
        <v>1128.0069130453796</v>
      </c>
      <c r="R139" s="203">
        <f t="shared" si="42"/>
        <v>909.12891797295379</v>
      </c>
      <c r="S139" s="203">
        <f t="shared" si="42"/>
        <v>677.58683383241305</v>
      </c>
      <c r="T139" s="203">
        <f t="shared" si="42"/>
        <v>429.74773717572793</v>
      </c>
      <c r="U139" s="203">
        <f t="shared" si="42"/>
        <v>187.03226691924249</v>
      </c>
      <c r="V139" s="203">
        <f t="shared" si="42"/>
        <v>142.82462475762736</v>
      </c>
      <c r="W139" s="203">
        <f t="shared" si="42"/>
        <v>145.6811172527799</v>
      </c>
      <c r="X139" s="203">
        <f t="shared" si="42"/>
        <v>73.686706485501986</v>
      </c>
      <c r="Y139" s="203">
        <f t="shared" si="42"/>
        <v>0</v>
      </c>
      <c r="AA139" s="606">
        <f t="shared" si="26"/>
        <v>29521.496186377281</v>
      </c>
      <c r="AB139" s="607">
        <f t="shared" si="39"/>
        <v>29521.496186377281</v>
      </c>
    </row>
    <row r="140" spans="1:28" s="199" customFormat="1">
      <c r="A140" s="199" t="s">
        <v>80</v>
      </c>
      <c r="C140" s="219">
        <f>C126</f>
        <v>0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1143.9835312499999</v>
      </c>
      <c r="G141" s="218">
        <f t="shared" ref="G141:Y141" si="44">(G139-G140)*$C$141</f>
        <v>1090.6699883333333</v>
      </c>
      <c r="H141" s="218">
        <f t="shared" si="44"/>
        <v>1034.6927089333333</v>
      </c>
      <c r="I141" s="218">
        <f t="shared" si="44"/>
        <v>976.45492186199999</v>
      </c>
      <c r="J141" s="218">
        <f t="shared" si="44"/>
        <v>911.42303884090654</v>
      </c>
      <c r="K141" s="218">
        <f t="shared" si="44"/>
        <v>842.23723795105798</v>
      </c>
      <c r="L141" s="218">
        <f t="shared" si="44"/>
        <v>766.4265366684125</v>
      </c>
      <c r="M141" s="218">
        <f t="shared" si="44"/>
        <v>684.86355240178091</v>
      </c>
      <c r="N141" s="218">
        <f t="shared" si="44"/>
        <v>597.19765886648304</v>
      </c>
      <c r="O141" s="218">
        <f t="shared" si="44"/>
        <v>528.04687162714606</v>
      </c>
      <c r="P141" s="218">
        <f t="shared" si="44"/>
        <v>463.73432739302234</v>
      </c>
      <c r="Q141" s="218">
        <f t="shared" si="44"/>
        <v>394.80241956588287</v>
      </c>
      <c r="R141" s="218">
        <f t="shared" si="44"/>
        <v>318.19512129053379</v>
      </c>
      <c r="S141" s="218">
        <f t="shared" si="44"/>
        <v>237.15539184134454</v>
      </c>
      <c r="T141" s="218">
        <f t="shared" si="44"/>
        <v>150.41170801150477</v>
      </c>
      <c r="U141" s="218">
        <f t="shared" si="44"/>
        <v>65.461293421734865</v>
      </c>
      <c r="V141" s="218">
        <f t="shared" si="44"/>
        <v>49.988618665169575</v>
      </c>
      <c r="W141" s="218">
        <f t="shared" si="44"/>
        <v>50.988391038472962</v>
      </c>
      <c r="X141" s="218">
        <f t="shared" si="44"/>
        <v>25.790347269925693</v>
      </c>
      <c r="Y141" s="218">
        <f t="shared" si="44"/>
        <v>0</v>
      </c>
      <c r="AA141" s="606">
        <f t="shared" si="26"/>
        <v>10332.523665232042</v>
      </c>
      <c r="AB141" s="607">
        <f t="shared" si="39"/>
        <v>10332.523665232042</v>
      </c>
    </row>
    <row r="142" spans="1:28" s="199" customFormat="1">
      <c r="A142" s="199" t="s">
        <v>82</v>
      </c>
      <c r="F142" s="203">
        <f>F139-F140-F141</f>
        <v>2124.54084375</v>
      </c>
      <c r="G142" s="203">
        <f t="shared" ref="G142:Y142" si="45">G139-G140-G141</f>
        <v>2025.5299783333332</v>
      </c>
      <c r="H142" s="203">
        <f t="shared" si="45"/>
        <v>1921.5721737333331</v>
      </c>
      <c r="I142" s="203">
        <f t="shared" si="45"/>
        <v>1813.4162834580002</v>
      </c>
      <c r="J142" s="203">
        <f t="shared" si="45"/>
        <v>1692.6427864188267</v>
      </c>
      <c r="K142" s="203">
        <f t="shared" si="45"/>
        <v>1564.1548704805364</v>
      </c>
      <c r="L142" s="203">
        <f t="shared" si="45"/>
        <v>1423.3635680984803</v>
      </c>
      <c r="M142" s="203">
        <f t="shared" si="45"/>
        <v>1271.8894544604502</v>
      </c>
      <c r="N142" s="203">
        <f t="shared" si="45"/>
        <v>1109.081366466326</v>
      </c>
      <c r="O142" s="203">
        <f t="shared" si="45"/>
        <v>980.65847587898577</v>
      </c>
      <c r="P142" s="203">
        <f t="shared" si="45"/>
        <v>861.22089372989876</v>
      </c>
      <c r="Q142" s="203">
        <f t="shared" si="45"/>
        <v>733.2044934794967</v>
      </c>
      <c r="R142" s="203">
        <f t="shared" si="45"/>
        <v>590.93379668242005</v>
      </c>
      <c r="S142" s="203">
        <f t="shared" si="45"/>
        <v>440.43144199106848</v>
      </c>
      <c r="T142" s="203">
        <f t="shared" si="45"/>
        <v>279.33602916422319</v>
      </c>
      <c r="U142" s="203">
        <f t="shared" si="45"/>
        <v>121.57097349750762</v>
      </c>
      <c r="V142" s="203">
        <f t="shared" si="45"/>
        <v>92.836006092457779</v>
      </c>
      <c r="W142" s="203">
        <f t="shared" si="45"/>
        <v>94.69272621430693</v>
      </c>
      <c r="X142" s="203">
        <f t="shared" si="45"/>
        <v>47.896359215576297</v>
      </c>
      <c r="Y142" s="203">
        <f t="shared" si="45"/>
        <v>0</v>
      </c>
      <c r="AA142" s="606">
        <f t="shared" si="26"/>
        <v>19188.972521145231</v>
      </c>
      <c r="AB142" s="607">
        <f t="shared" si="39"/>
        <v>19188.972521145231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4662.4126056175492</v>
      </c>
      <c r="G144" s="220">
        <f t="shared" ref="G144:Y144" si="46">G76</f>
        <v>4704.2626330251451</v>
      </c>
      <c r="H144" s="220">
        <f t="shared" si="46"/>
        <v>5120.323177943691</v>
      </c>
      <c r="I144" s="220">
        <f t="shared" si="46"/>
        <v>5054.5986835790845</v>
      </c>
      <c r="J144" s="220">
        <f t="shared" si="46"/>
        <v>5491.3979048049041</v>
      </c>
      <c r="K144" s="220">
        <f t="shared" si="46"/>
        <v>5667.6803720326716</v>
      </c>
      <c r="L144" s="220">
        <f t="shared" si="46"/>
        <v>5857.6894162419167</v>
      </c>
      <c r="M144" s="220">
        <f t="shared" si="46"/>
        <v>6344.3527868785932</v>
      </c>
      <c r="N144" s="220">
        <f t="shared" si="46"/>
        <v>1185.7918941259361</v>
      </c>
      <c r="O144" s="220">
        <f t="shared" si="46"/>
        <v>709.1143685454922</v>
      </c>
      <c r="P144" s="220">
        <f t="shared" si="46"/>
        <v>838.07706372221867</v>
      </c>
      <c r="Q144" s="220">
        <f t="shared" si="46"/>
        <v>951.00408645521441</v>
      </c>
      <c r="R144" s="220">
        <f t="shared" si="46"/>
        <v>1077.1923405721077</v>
      </c>
      <c r="S144" s="220">
        <f t="shared" si="46"/>
        <v>1243.454666251673</v>
      </c>
      <c r="T144" s="220">
        <f t="shared" si="46"/>
        <v>1387.2781484092159</v>
      </c>
      <c r="U144" s="220">
        <f t="shared" si="46"/>
        <v>1527.2983183868273</v>
      </c>
      <c r="V144" s="220">
        <f t="shared" si="46"/>
        <v>1537.8076506876193</v>
      </c>
      <c r="W144" s="220">
        <f t="shared" si="46"/>
        <v>1517.2365957631007</v>
      </c>
      <c r="X144" s="220">
        <f t="shared" si="46"/>
        <v>-321.77623331968567</v>
      </c>
      <c r="Y144" s="220">
        <f t="shared" si="46"/>
        <v>0</v>
      </c>
      <c r="AA144" s="606">
        <f t="shared" si="26"/>
        <v>54555.196479723272</v>
      </c>
      <c r="AB144" s="607">
        <f t="shared" si="39"/>
        <v>54555.196479723272</v>
      </c>
    </row>
    <row r="145" spans="1:28" s="199" customFormat="1">
      <c r="A145" s="124" t="s">
        <v>91</v>
      </c>
      <c r="F145" s="213">
        <f>F142+F144</f>
        <v>6786.9534493675492</v>
      </c>
      <c r="G145" s="213">
        <f t="shared" ref="G145:Y145" si="47">G142+G144</f>
        <v>6729.7926113584781</v>
      </c>
      <c r="H145" s="213">
        <f t="shared" si="47"/>
        <v>7041.8953516770243</v>
      </c>
      <c r="I145" s="213">
        <f t="shared" si="47"/>
        <v>6868.0149670370847</v>
      </c>
      <c r="J145" s="213">
        <f t="shared" si="47"/>
        <v>7184.0406912237304</v>
      </c>
      <c r="K145" s="213">
        <f t="shared" si="47"/>
        <v>7231.835242513208</v>
      </c>
      <c r="L145" s="213">
        <f t="shared" si="47"/>
        <v>7281.0529843403965</v>
      </c>
      <c r="M145" s="213">
        <f t="shared" si="47"/>
        <v>7616.2422413390432</v>
      </c>
      <c r="N145" s="213">
        <f t="shared" si="47"/>
        <v>2294.8732605922623</v>
      </c>
      <c r="O145" s="213">
        <f t="shared" si="47"/>
        <v>1689.7728444244781</v>
      </c>
      <c r="P145" s="213">
        <f t="shared" si="47"/>
        <v>1699.2979574521173</v>
      </c>
      <c r="Q145" s="213">
        <f t="shared" si="47"/>
        <v>1684.208579934711</v>
      </c>
      <c r="R145" s="213">
        <f t="shared" si="47"/>
        <v>1668.1261372545277</v>
      </c>
      <c r="S145" s="213">
        <f t="shared" si="47"/>
        <v>1683.8861082427416</v>
      </c>
      <c r="T145" s="213">
        <f t="shared" si="47"/>
        <v>1666.6141775734391</v>
      </c>
      <c r="U145" s="213">
        <f t="shared" si="47"/>
        <v>1648.8692918843349</v>
      </c>
      <c r="V145" s="213">
        <f t="shared" si="47"/>
        <v>1630.6436567800772</v>
      </c>
      <c r="W145" s="213">
        <f t="shared" si="47"/>
        <v>1611.9293219774077</v>
      </c>
      <c r="X145" s="213">
        <f t="shared" si="47"/>
        <v>-273.87987410410938</v>
      </c>
      <c r="Y145" s="213">
        <f t="shared" si="47"/>
        <v>0</v>
      </c>
      <c r="AA145" s="606">
        <f t="shared" si="26"/>
        <v>73744.169000868511</v>
      </c>
      <c r="AB145" s="607">
        <f t="shared" si="39"/>
        <v>73744.169000868511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67.626000000000005</v>
      </c>
      <c r="G150" s="200">
        <f t="shared" ref="G150:X150" si="48">(1-((G140+G141)/G139))*G138</f>
        <v>68.978519999999989</v>
      </c>
      <c r="H150" s="200">
        <f t="shared" si="48"/>
        <v>70.358090399999995</v>
      </c>
      <c r="I150" s="200">
        <f t="shared" si="48"/>
        <v>71.765252208000007</v>
      </c>
      <c r="J150" s="200">
        <f t="shared" si="48"/>
        <v>73.20055725216001</v>
      </c>
      <c r="K150" s="200">
        <f t="shared" si="48"/>
        <v>74.664568397203212</v>
      </c>
      <c r="L150" s="200">
        <f t="shared" si="48"/>
        <v>76.157859765147279</v>
      </c>
      <c r="M150" s="200">
        <f t="shared" si="48"/>
        <v>77.681016960450208</v>
      </c>
      <c r="N150" s="200">
        <f t="shared" si="48"/>
        <v>79.234637299659241</v>
      </c>
      <c r="O150" s="200">
        <f t="shared" si="48"/>
        <v>80.819330045652421</v>
      </c>
      <c r="P150" s="200">
        <f t="shared" si="48"/>
        <v>82.435716646565467</v>
      </c>
      <c r="Q150" s="200">
        <f t="shared" si="48"/>
        <v>84.084430979496773</v>
      </c>
      <c r="R150" s="200">
        <f t="shared" si="48"/>
        <v>85.766119599086707</v>
      </c>
      <c r="S150" s="200">
        <f t="shared" si="48"/>
        <v>87.481441991068451</v>
      </c>
      <c r="T150" s="200">
        <f t="shared" si="48"/>
        <v>89.231070830889834</v>
      </c>
      <c r="U150" s="200">
        <f t="shared" si="48"/>
        <v>91.01569224750763</v>
      </c>
      <c r="V150" s="200">
        <f t="shared" si="48"/>
        <v>92.836006092457794</v>
      </c>
      <c r="W150" s="200">
        <f t="shared" si="48"/>
        <v>94.692726214306944</v>
      </c>
      <c r="X150" s="200">
        <f t="shared" si="48"/>
        <v>47.89635921557629</v>
      </c>
      <c r="Y150" s="200"/>
      <c r="AA150" s="606">
        <f t="shared" si="26"/>
        <v>1495.9253961452282</v>
      </c>
      <c r="AB150" s="607">
        <f t="shared" si="39"/>
        <v>1495.9253961452282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67.626000000000005</v>
      </c>
      <c r="G152" s="200">
        <f t="shared" ref="G152:Y152" si="49">G150+G151</f>
        <v>68.978519999999989</v>
      </c>
      <c r="H152" s="200">
        <f t="shared" si="49"/>
        <v>70.358090399999995</v>
      </c>
      <c r="I152" s="200">
        <f t="shared" si="49"/>
        <v>71.765252208000007</v>
      </c>
      <c r="J152" s="200">
        <f t="shared" si="49"/>
        <v>73.20055725216001</v>
      </c>
      <c r="K152" s="200">
        <f t="shared" si="49"/>
        <v>74.664568397203212</v>
      </c>
      <c r="L152" s="200">
        <f t="shared" si="49"/>
        <v>76.157859765147279</v>
      </c>
      <c r="M152" s="200">
        <f t="shared" si="49"/>
        <v>77.681016960450208</v>
      </c>
      <c r="N152" s="200">
        <f t="shared" si="49"/>
        <v>79.234637299659241</v>
      </c>
      <c r="O152" s="200">
        <f t="shared" si="49"/>
        <v>80.819330045652421</v>
      </c>
      <c r="P152" s="200">
        <f t="shared" si="49"/>
        <v>82.435716646565467</v>
      </c>
      <c r="Q152" s="200">
        <f t="shared" si="49"/>
        <v>84.084430979496773</v>
      </c>
      <c r="R152" s="200">
        <f t="shared" si="49"/>
        <v>85.766119599086707</v>
      </c>
      <c r="S152" s="200">
        <f t="shared" si="49"/>
        <v>87.481441991068451</v>
      </c>
      <c r="T152" s="200">
        <f t="shared" si="49"/>
        <v>89.231070830889834</v>
      </c>
      <c r="U152" s="200">
        <f t="shared" si="49"/>
        <v>91.01569224750763</v>
      </c>
      <c r="V152" s="200">
        <f t="shared" si="49"/>
        <v>92.836006092457794</v>
      </c>
      <c r="W152" s="200">
        <f t="shared" si="49"/>
        <v>94.692726214306944</v>
      </c>
      <c r="X152" s="200">
        <f t="shared" si="49"/>
        <v>47.89635921557629</v>
      </c>
      <c r="Y152" s="200">
        <f t="shared" si="49"/>
        <v>0</v>
      </c>
      <c r="AA152" s="606">
        <f t="shared" si="26"/>
        <v>1495.9253961452282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682.89033996139835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57623.294600185458</v>
      </c>
    </row>
    <row r="161" spans="1:25" s="199" customFormat="1">
      <c r="A161" s="134" t="s">
        <v>85</v>
      </c>
      <c r="B161" s="135"/>
      <c r="C161" s="135"/>
      <c r="D161" s="356">
        <f>D101</f>
        <v>42114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682.89033996139835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100420.18494014685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144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[22]FINANCIALS!F$13</f>
        <v>3197.2978340962591</v>
      </c>
      <c r="F11" s="336">
        <f>[22]FINANCIALS!G$13</f>
        <v>3300.7019208362417</v>
      </c>
      <c r="G11" s="336">
        <f>[22]FINANCIALS!H$13</f>
        <v>3384.6204094740006</v>
      </c>
      <c r="H11" s="336">
        <f>[22]FINANCIALS!I$13</f>
        <v>3489.2109929116446</v>
      </c>
      <c r="I11" s="336">
        <f>[22]FINANCIALS!J$13</f>
        <v>3596.7481362676526</v>
      </c>
      <c r="J11" s="336">
        <f>[22]FINANCIALS!K$13</f>
        <v>3707.056061458441</v>
      </c>
      <c r="K11" s="336">
        <f>[22]FINANCIALS!L$13</f>
        <v>3820.3532600728986</v>
      </c>
      <c r="L11" s="336">
        <f>[22]FINANCIALS!M$13</f>
        <v>3936.7062620664465</v>
      </c>
      <c r="M11" s="336">
        <f>[22]FINANCIALS!N$13</f>
        <v>4056.1975176814053</v>
      </c>
      <c r="N11" s="336">
        <f>[22]FINANCIALS!O$13</f>
        <v>4178.911849066988</v>
      </c>
      <c r="O11" s="336">
        <f>[22]FINANCIALS!P$13</f>
        <v>4304.936220038493</v>
      </c>
      <c r="P11" s="336">
        <f>[22]FINANCIALS!Q$13</f>
        <v>4439.1897426553523</v>
      </c>
      <c r="Q11" s="336">
        <f>[22]FINANCIALS!R$13</f>
        <v>4577.181857526848</v>
      </c>
      <c r="R11" s="336">
        <f>[22]FINANCIALS!S$13</f>
        <v>4719.0167261237384</v>
      </c>
      <c r="S11" s="336">
        <f>[22]FINANCIALS!T$13</f>
        <v>4864.8014172636731</v>
      </c>
      <c r="T11" s="336">
        <f>[22]FINANCIALS!U$13</f>
        <v>5014.6639427856971</v>
      </c>
      <c r="U11" s="336">
        <f>[22]FINANCIALS!V$13</f>
        <v>5168.7184068341212</v>
      </c>
      <c r="V11" s="336">
        <f>[22]FINANCIALS!W$13</f>
        <v>5327.0821028883001</v>
      </c>
      <c r="W11" s="336">
        <f>[22]FINANCIALS!X$13</f>
        <v>5489.8756157206499</v>
      </c>
      <c r="X11" s="336">
        <f>[22]FINANCIALS!Y$13</f>
        <v>5657.2229008054101</v>
      </c>
      <c r="Y11" s="336">
        <f>[22]FINANCIALS!Z$13</f>
        <v>5829.2513829265354</v>
      </c>
      <c r="AA11" s="606">
        <f t="shared" si="1"/>
        <v>88862.446725404545</v>
      </c>
      <c r="AB11" s="607">
        <f t="shared" ref="AB11:AB74" si="2">AA11*$C$60</f>
        <v>88862.446725404545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3197.2978340962591</v>
      </c>
      <c r="F20" s="90">
        <f t="shared" si="3"/>
        <v>3300.7019208362417</v>
      </c>
      <c r="G20" s="90">
        <f t="shared" si="3"/>
        <v>3384.6204094740006</v>
      </c>
      <c r="H20" s="90">
        <f t="shared" si="3"/>
        <v>3489.2109929116446</v>
      </c>
      <c r="I20" s="90">
        <f t="shared" si="3"/>
        <v>3596.7481362676526</v>
      </c>
      <c r="J20" s="90">
        <f t="shared" si="3"/>
        <v>3707.056061458441</v>
      </c>
      <c r="K20" s="90">
        <f t="shared" si="3"/>
        <v>3820.3532600728986</v>
      </c>
      <c r="L20" s="90">
        <f t="shared" si="3"/>
        <v>3936.7062620664465</v>
      </c>
      <c r="M20" s="90">
        <f t="shared" si="3"/>
        <v>4056.1975176814053</v>
      </c>
      <c r="N20" s="90">
        <f t="shared" si="3"/>
        <v>4178.911849066988</v>
      </c>
      <c r="O20" s="90">
        <f t="shared" si="3"/>
        <v>4304.936220038493</v>
      </c>
      <c r="P20" s="90">
        <f t="shared" si="3"/>
        <v>4439.1897426553523</v>
      </c>
      <c r="Q20" s="90">
        <f t="shared" si="3"/>
        <v>4577.181857526848</v>
      </c>
      <c r="R20" s="90">
        <f t="shared" si="3"/>
        <v>4719.0167261237384</v>
      </c>
      <c r="S20" s="90">
        <f t="shared" si="3"/>
        <v>4864.8014172636731</v>
      </c>
      <c r="T20" s="90">
        <f t="shared" si="3"/>
        <v>5014.6639427856971</v>
      </c>
      <c r="U20" s="90">
        <f t="shared" si="3"/>
        <v>5168.7184068341212</v>
      </c>
      <c r="V20" s="90">
        <f t="shared" si="3"/>
        <v>5327.0821028883001</v>
      </c>
      <c r="W20" s="90">
        <f t="shared" si="3"/>
        <v>5489.8756157206499</v>
      </c>
      <c r="X20" s="90">
        <f t="shared" si="3"/>
        <v>5657.2229008054101</v>
      </c>
      <c r="Y20" s="90">
        <f t="shared" si="3"/>
        <v>5829.2513829265354</v>
      </c>
      <c r="AA20" s="606">
        <f t="shared" si="1"/>
        <v>88862.446725404545</v>
      </c>
      <c r="AB20" s="607">
        <f t="shared" si="2"/>
        <v>88862.446725404545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[22]FINANCIALS!F$16+[22]FINANCIALS!F$18+[22]FINANCIALS!F$19+[22]FINANCIALS!F$24</f>
        <v>340.52442228192518</v>
      </c>
      <c r="F25" s="336">
        <f>[22]FINANCIALS!G$16+[22]FINANCIALS!G$18+[22]FINANCIALS!G$19+[22]FINANCIALS!G$24</f>
        <v>350.33670105352485</v>
      </c>
      <c r="G25" s="336">
        <f>[22]FINANCIALS!H$16+[22]FINANCIALS!H$18+[22]FINANCIALS!H$19+[22]FINANCIALS!H$24</f>
        <v>576.89192570013608</v>
      </c>
      <c r="H25" s="336">
        <f>[22]FINANCIALS!I$16+[22]FINANCIALS!I$18+[22]FINANCIALS!I$19+[22]FINANCIALS!I$24</f>
        <v>592.73212434167658</v>
      </c>
      <c r="I25" s="336">
        <f>[22]FINANCIALS!J$16+[22]FINANCIALS!J$18+[22]FINANCIALS!J$19+[22]FINANCIALS!J$24</f>
        <v>609.00246062984968</v>
      </c>
      <c r="J25" s="336">
        <f>[22]FINANCIALS!K$16+[22]FINANCIALS!K$18+[22]FINANCIALS!K$19+[22]FINANCIALS!K$24</f>
        <v>625.70944157708675</v>
      </c>
      <c r="K25" s="336">
        <f>[22]FINANCIALS!L$16+[22]FINANCIALS!L$18+[22]FINANCIALS!L$19+[22]FINANCIALS!L$24</f>
        <v>642.86773019876955</v>
      </c>
      <c r="L25" s="336">
        <f>[22]FINANCIALS!M$16+[22]FINANCIALS!M$18+[22]FINANCIALS!M$19+[22]FINANCIALS!M$24</f>
        <v>660.4892281935679</v>
      </c>
      <c r="M25" s="336">
        <f>[22]FINANCIALS!N$16+[22]FINANCIALS!N$18+[22]FINANCIALS!N$19+[22]FINANCIALS!N$24</f>
        <v>719.14841626239161</v>
      </c>
      <c r="N25" s="336">
        <f>[22]FINANCIALS!O$16+[22]FINANCIALS!O$18+[22]FINANCIALS!O$19+[22]FINANCIALS!O$24</f>
        <v>738.96133345372164</v>
      </c>
      <c r="O25" s="336">
        <f>[22]FINANCIALS!P$16+[22]FINANCIALS!P$18+[22]FINANCIALS!P$19+[22]FINANCIALS!P$24</f>
        <v>759.30910198837296</v>
      </c>
      <c r="P25" s="336">
        <f>[22]FINANCIALS!Q$16+[22]FINANCIALS!Q$18+[22]FINANCIALS!Q$19+[22]FINANCIALS!Q$24</f>
        <v>780.9812160977209</v>
      </c>
      <c r="Q25" s="336">
        <f>[22]FINANCIALS!R$16+[22]FINANCIALS!R$18+[22]FINANCIALS!R$19+[22]FINANCIALS!R$24</f>
        <v>803.25953421077145</v>
      </c>
      <c r="R25" s="336">
        <f>[22]FINANCIALS!S$16+[22]FINANCIALS!S$18+[22]FINANCIALS!S$19+[22]FINANCIALS!S$24</f>
        <v>873.35118172749458</v>
      </c>
      <c r="S25" s="336">
        <f>[22]FINANCIALS!T$16+[22]FINANCIALS!T$18+[22]FINANCIALS!T$19+[22]FINANCIALS!T$24</f>
        <v>898.35110372820327</v>
      </c>
      <c r="T25" s="336">
        <f>[22]FINANCIALS!U$16+[22]FINANCIALS!U$18+[22]FINANCIALS!U$19+[22]FINANCIALS!U$24</f>
        <v>924.05085806613863</v>
      </c>
      <c r="U25" s="336">
        <f>[22]FINANCIALS!V$16+[22]FINANCIALS!V$18+[22]FINANCIALS!V$19+[22]FINANCIALS!V$24</f>
        <v>950.4700370380076</v>
      </c>
      <c r="V25" s="336">
        <f>[22]FINANCIALS!W$16+[22]FINANCIALS!W$18+[22]FINANCIALS!W$19+[22]FINANCIALS!W$24</f>
        <v>977.6287813015847</v>
      </c>
      <c r="W25" s="336">
        <f>[22]FINANCIALS!X$16+[22]FINANCIALS!X$18+[22]FINANCIALS!X$19+[22]FINANCIALS!X$24</f>
        <v>1005.5477957360881</v>
      </c>
      <c r="X25" s="336">
        <f>[22]FINANCIALS!Y$16+[22]FINANCIALS!Y$18+[22]FINANCIALS!Y$19+[22]FINANCIALS!Y$24</f>
        <v>1034.2483647304821</v>
      </c>
      <c r="Y25" s="336">
        <f>[22]FINANCIALS!Z$16+[22]FINANCIALS!Z$18+[22]FINANCIALS!Z$19+[22]FINANCIALS!Z$24</f>
        <v>1063.7523685788783</v>
      </c>
      <c r="AA25" s="606">
        <f t="shared" si="1"/>
        <v>15587.089704614467</v>
      </c>
      <c r="AB25" s="607">
        <f t="shared" si="2"/>
        <v>15587.089704614467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[22]FINANCIALS!F$20</f>
        <v>65.943116000000003</v>
      </c>
      <c r="F28" s="336">
        <f>[22]FINANCIALS!G$20</f>
        <v>67.789523248000009</v>
      </c>
      <c r="G28" s="336">
        <f>[22]FINANCIALS!H$20</f>
        <v>69.68762989894401</v>
      </c>
      <c r="H28" s="336">
        <f>[22]FINANCIALS!I$20</f>
        <v>71.569195906215498</v>
      </c>
      <c r="I28" s="336">
        <f>[22]FINANCIALS!J$20</f>
        <v>73.501564195683315</v>
      </c>
      <c r="J28" s="336">
        <f>[22]FINANCIALS!K$20</f>
        <v>75.486106428966764</v>
      </c>
      <c r="K28" s="336">
        <f>[22]FINANCIALS!L$20</f>
        <v>77.524231302548856</v>
      </c>
      <c r="L28" s="336">
        <f>[22]FINANCIALS!M$20</f>
        <v>79.617385547717674</v>
      </c>
      <c r="M28" s="336">
        <f>[22]FINANCIALS!N$20</f>
        <v>81.767054957506048</v>
      </c>
      <c r="N28" s="336">
        <f>[22]FINANCIALS!O$20</f>
        <v>83.974765441358699</v>
      </c>
      <c r="O28" s="336">
        <f>[22]FINANCIALS!P$20</f>
        <v>86.242084108275378</v>
      </c>
      <c r="P28" s="336">
        <f>[22]FINANCIALS!Q$20</f>
        <v>88.656862463307093</v>
      </c>
      <c r="Q28" s="336">
        <f>[22]FINANCIALS!R$20</f>
        <v>91.1392546122797</v>
      </c>
      <c r="R28" s="336">
        <f>[22]FINANCIALS!S$20</f>
        <v>93.691153741423534</v>
      </c>
      <c r="S28" s="336">
        <f>[22]FINANCIALS!T$20</f>
        <v>96.314506046183396</v>
      </c>
      <c r="T28" s="336">
        <f>[22]FINANCIALS!U$20</f>
        <v>99.011312215476536</v>
      </c>
      <c r="U28" s="336">
        <f>[22]FINANCIALS!V$20</f>
        <v>101.78362895750988</v>
      </c>
      <c r="V28" s="336">
        <f>[22]FINANCIALS!W$20</f>
        <v>104.63357056832015</v>
      </c>
      <c r="W28" s="336">
        <f>[22]FINANCIALS!X$20</f>
        <v>107.56331054423312</v>
      </c>
      <c r="X28" s="336">
        <f>[22]FINANCIALS!Y$20</f>
        <v>110.57508323947165</v>
      </c>
      <c r="Y28" s="336">
        <f>[22]FINANCIALS!Z$20</f>
        <v>113.67118557017686</v>
      </c>
      <c r="AA28" s="606">
        <f t="shared" si="1"/>
        <v>1774.1994089935984</v>
      </c>
      <c r="AB28" s="607">
        <f t="shared" si="2"/>
        <v>1774.1994089935984</v>
      </c>
    </row>
    <row r="29" spans="1:28">
      <c r="A29" s="4" t="s">
        <v>4</v>
      </c>
      <c r="D29" s="90">
        <v>0</v>
      </c>
      <c r="E29" s="336">
        <f>[22]FINANCIALS!F$21</f>
        <v>42.271360000000008</v>
      </c>
      <c r="F29" s="336">
        <f>[22]FINANCIALS!G$21</f>
        <v>43.454958080000011</v>
      </c>
      <c r="G29" s="336">
        <f>[22]FINANCIALS!H$21</f>
        <v>44.671696906240015</v>
      </c>
      <c r="H29" s="336">
        <f>[22]FINANCIALS!I$21</f>
        <v>45.87783272270849</v>
      </c>
      <c r="I29" s="336">
        <f>[22]FINANCIALS!J$21</f>
        <v>47.116534206221615</v>
      </c>
      <c r="J29" s="336">
        <f>[22]FINANCIALS!K$21</f>
        <v>48.388680629789597</v>
      </c>
      <c r="K29" s="336">
        <f>[22]FINANCIALS!L$21</f>
        <v>49.69517500679391</v>
      </c>
      <c r="L29" s="336">
        <f>[22]FINANCIALS!M$21</f>
        <v>51.036944731977343</v>
      </c>
      <c r="M29" s="336">
        <f>[22]FINANCIALS!N$21</f>
        <v>52.414942239740725</v>
      </c>
      <c r="N29" s="336">
        <f>[22]FINANCIALS!O$21</f>
        <v>53.830145680213718</v>
      </c>
      <c r="O29" s="336">
        <f>[22]FINANCIALS!P$21</f>
        <v>55.283559613579484</v>
      </c>
      <c r="P29" s="336">
        <f>[22]FINANCIALS!Q$21</f>
        <v>56.831499282759708</v>
      </c>
      <c r="Q29" s="336">
        <f>[22]FINANCIALS!R$21</f>
        <v>58.422781262676985</v>
      </c>
      <c r="R29" s="336">
        <f>[22]FINANCIALS!S$21</f>
        <v>60.058619138031943</v>
      </c>
      <c r="S29" s="336">
        <f>[22]FINANCIALS!T$21</f>
        <v>61.740260473896839</v>
      </c>
      <c r="T29" s="336">
        <f>[22]FINANCIALS!U$21</f>
        <v>63.468987767165949</v>
      </c>
      <c r="U29" s="336">
        <f>[22]FINANCIALS!V$21</f>
        <v>65.246119424646594</v>
      </c>
      <c r="V29" s="336">
        <f>[22]FINANCIALS!W$21</f>
        <v>67.073010768536705</v>
      </c>
      <c r="W29" s="336">
        <f>[22]FINANCIALS!X$21</f>
        <v>68.95105507005573</v>
      </c>
      <c r="X29" s="336">
        <f>[22]FINANCIALS!Y$21</f>
        <v>70.881684612017295</v>
      </c>
      <c r="Y29" s="336">
        <f>[22]FINANCIALS!Z$21</f>
        <v>72.866371781153788</v>
      </c>
      <c r="AA29" s="606">
        <f t="shared" si="1"/>
        <v>1137.3108593982065</v>
      </c>
      <c r="AB29" s="607">
        <f t="shared" si="2"/>
        <v>1137.3108593982065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[22]FINANCIALS!F$17</f>
        <v>319.45292808495759</v>
      </c>
      <c r="F31" s="336">
        <f>[22]FINANCIALS!G$17</f>
        <v>283.62000898507762</v>
      </c>
      <c r="G31" s="336">
        <f>[22]FINANCIALS!H$17</f>
        <v>247.78708988519759</v>
      </c>
      <c r="H31" s="336">
        <f>[22]FINANCIALS!I$17</f>
        <v>211.95417078531756</v>
      </c>
      <c r="I31" s="336">
        <f>[22]FINANCIALS!J$17</f>
        <v>176.12125168543758</v>
      </c>
      <c r="J31" s="336">
        <f>[22]FINANCIALS!K$17</f>
        <v>140.28833258555758</v>
      </c>
      <c r="K31" s="336">
        <f>[22]FINANCIALS!L$17</f>
        <v>104.45541348567757</v>
      </c>
      <c r="L31" s="336">
        <f>[22]FINANCIALS!M$17</f>
        <v>71.665838199760003</v>
      </c>
      <c r="M31" s="336">
        <f>[22]FINANCIALS!N$17</f>
        <v>71.665838199760003</v>
      </c>
      <c r="N31" s="336">
        <f>[22]FINANCIALS!O$17</f>
        <v>71.665838199760003</v>
      </c>
      <c r="O31" s="336">
        <f>[22]FINANCIALS!P$17</f>
        <v>71.665838199760003</v>
      </c>
      <c r="P31" s="336">
        <f>[22]FINANCIALS!Q$17</f>
        <v>71.665838199760003</v>
      </c>
      <c r="Q31" s="336">
        <f>[22]FINANCIALS!R$17</f>
        <v>71.665838199760003</v>
      </c>
      <c r="R31" s="336">
        <f>[22]FINANCIALS!S$17</f>
        <v>71.665838199760003</v>
      </c>
      <c r="S31" s="336">
        <f>[22]FINANCIALS!T$17</f>
        <v>71.665838199760003</v>
      </c>
      <c r="T31" s="336">
        <f>[22]FINANCIALS!U$17</f>
        <v>71.665838199760003</v>
      </c>
      <c r="U31" s="336">
        <f>[22]FINANCIALS!V$17</f>
        <v>71.665838199760003</v>
      </c>
      <c r="V31" s="336">
        <f>[22]FINANCIALS!W$17</f>
        <v>71.665838199760003</v>
      </c>
      <c r="W31" s="336">
        <f>[22]FINANCIALS!X$17</f>
        <v>71.665838199760003</v>
      </c>
      <c r="X31" s="336">
        <f>[22]FINANCIALS!Y$17</f>
        <v>71.665838199760003</v>
      </c>
      <c r="Y31" s="336">
        <f>[22]FINANCIALS!Z$17</f>
        <v>71.665838199760003</v>
      </c>
      <c r="AA31" s="606">
        <f t="shared" si="1"/>
        <v>2167.5480022089046</v>
      </c>
      <c r="AB31" s="607">
        <f t="shared" si="2"/>
        <v>2167.5480022089046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[22]FINANCIALS!F$23</f>
        <v>42.148000000000003</v>
      </c>
      <c r="F34" s="336">
        <f>[22]FINANCIALS!G$23</f>
        <v>43.328144000000002</v>
      </c>
      <c r="G34" s="336">
        <f>[22]FINANCIALS!H$23</f>
        <v>44.541332032</v>
      </c>
      <c r="H34" s="336">
        <f>[22]FINANCIALS!I$23</f>
        <v>45.788489328895999</v>
      </c>
      <c r="I34" s="336">
        <f>[22]FINANCIALS!J$23</f>
        <v>47.02477854077619</v>
      </c>
      <c r="J34" s="336">
        <f>[22]FINANCIALS!K$23</f>
        <v>48.29444756137714</v>
      </c>
      <c r="K34" s="336">
        <f>[22]FINANCIALS!L$23</f>
        <v>49.59839764553432</v>
      </c>
      <c r="L34" s="336">
        <f>[22]FINANCIALS!M$23</f>
        <v>50.937554381963743</v>
      </c>
      <c r="M34" s="336">
        <f>[22]FINANCIALS!N$23</f>
        <v>52.312868350276759</v>
      </c>
      <c r="N34" s="336">
        <f>[22]FINANCIALS!O$23</f>
        <v>53.725315795734225</v>
      </c>
      <c r="O34" s="336">
        <f>[22]FINANCIALS!P$23</f>
        <v>55.175899322219045</v>
      </c>
      <c r="P34" s="336">
        <f>[22]FINANCIALS!Q$23</f>
        <v>56.665648603918953</v>
      </c>
      <c r="Q34" s="336">
        <f>[22]FINANCIALS!R$23</f>
        <v>58.252286764828682</v>
      </c>
      <c r="R34" s="336">
        <f>[22]FINANCIALS!S$23</f>
        <v>59.883350794243889</v>
      </c>
      <c r="S34" s="336">
        <f>[22]FINANCIALS!T$23</f>
        <v>61.560084616482719</v>
      </c>
      <c r="T34" s="336">
        <f>[22]FINANCIALS!U$23</f>
        <v>63.283766985744236</v>
      </c>
      <c r="U34" s="336">
        <f>[22]FINANCIALS!V$23</f>
        <v>65.055712461345081</v>
      </c>
      <c r="V34" s="336">
        <f>[22]FINANCIALS!W$23</f>
        <v>66.877272410262748</v>
      </c>
      <c r="W34" s="336">
        <f>[22]FINANCIALS!X$23</f>
        <v>68.7498360377501</v>
      </c>
      <c r="X34" s="336">
        <f>[22]FINANCIALS!Y$23</f>
        <v>70.674831446807104</v>
      </c>
      <c r="Y34" s="336">
        <f>[22]FINANCIALS!Z$23</f>
        <v>72.653726727317704</v>
      </c>
      <c r="AA34" s="606">
        <f t="shared" si="1"/>
        <v>1134.3837438074788</v>
      </c>
      <c r="AB34" s="607">
        <f t="shared" si="2"/>
        <v>1134.3837438074788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810.33982636688279</v>
      </c>
      <c r="F36" s="90">
        <f t="shared" si="4"/>
        <v>788.52933536660237</v>
      </c>
      <c r="G36" s="90">
        <f t="shared" si="4"/>
        <v>983.57967442251766</v>
      </c>
      <c r="H36" s="90">
        <f t="shared" si="4"/>
        <v>967.92181308481418</v>
      </c>
      <c r="I36" s="90">
        <f t="shared" si="4"/>
        <v>952.76658925796823</v>
      </c>
      <c r="J36" s="90">
        <f t="shared" si="4"/>
        <v>938.16700878277788</v>
      </c>
      <c r="K36" s="90">
        <f t="shared" si="4"/>
        <v>924.14094763932417</v>
      </c>
      <c r="L36" s="90">
        <f t="shared" si="4"/>
        <v>913.74695105498677</v>
      </c>
      <c r="M36" s="90">
        <f t="shared" si="4"/>
        <v>977.30912000967521</v>
      </c>
      <c r="N36" s="90">
        <f t="shared" si="4"/>
        <v>1002.1573985707884</v>
      </c>
      <c r="O36" s="90">
        <f t="shared" si="4"/>
        <v>1027.6764832322067</v>
      </c>
      <c r="P36" s="90">
        <f t="shared" si="4"/>
        <v>1054.8010646474668</v>
      </c>
      <c r="Q36" s="90">
        <f t="shared" si="4"/>
        <v>1082.7396950503166</v>
      </c>
      <c r="R36" s="90">
        <f t="shared" si="4"/>
        <v>1158.6501436009537</v>
      </c>
      <c r="S36" s="90">
        <f t="shared" si="4"/>
        <v>1189.6317930645262</v>
      </c>
      <c r="T36" s="90">
        <f t="shared" si="4"/>
        <v>1221.4807632342854</v>
      </c>
      <c r="U36" s="90">
        <f t="shared" si="4"/>
        <v>1254.2213360812691</v>
      </c>
      <c r="V36" s="90">
        <f t="shared" si="4"/>
        <v>1287.8784732484644</v>
      </c>
      <c r="W36" s="90">
        <f t="shared" si="4"/>
        <v>1322.4778355878871</v>
      </c>
      <c r="X36" s="90">
        <f t="shared" si="4"/>
        <v>1358.0458022285382</v>
      </c>
      <c r="Y36" s="90">
        <f t="shared" si="4"/>
        <v>1394.6094908572866</v>
      </c>
      <c r="AA36" s="606">
        <f t="shared" si="1"/>
        <v>21800.531719022652</v>
      </c>
      <c r="AB36" s="607">
        <f t="shared" si="2"/>
        <v>21800.531719022652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2386.9580077293763</v>
      </c>
      <c r="F39" s="93">
        <f t="shared" si="5"/>
        <v>2512.1725854696392</v>
      </c>
      <c r="G39" s="93">
        <f t="shared" si="5"/>
        <v>2401.0407350514829</v>
      </c>
      <c r="H39" s="93">
        <f t="shared" si="5"/>
        <v>2521.2891798268301</v>
      </c>
      <c r="I39" s="93">
        <f t="shared" si="5"/>
        <v>2643.9815470096846</v>
      </c>
      <c r="J39" s="93">
        <f t="shared" si="5"/>
        <v>2768.8890526756632</v>
      </c>
      <c r="K39" s="93">
        <f t="shared" si="5"/>
        <v>2896.2123124335744</v>
      </c>
      <c r="L39" s="93">
        <f t="shared" si="5"/>
        <v>3022.9593110114597</v>
      </c>
      <c r="M39" s="93">
        <f t="shared" si="5"/>
        <v>3078.8883976717302</v>
      </c>
      <c r="N39" s="93">
        <f t="shared" si="5"/>
        <v>3176.7544504961998</v>
      </c>
      <c r="O39" s="93">
        <f t="shared" si="5"/>
        <v>3277.2597368062861</v>
      </c>
      <c r="P39" s="93">
        <f t="shared" si="5"/>
        <v>3384.3886780078856</v>
      </c>
      <c r="Q39" s="93">
        <f t="shared" si="5"/>
        <v>3494.4421624765314</v>
      </c>
      <c r="R39" s="93">
        <f t="shared" si="5"/>
        <v>3560.3665825227845</v>
      </c>
      <c r="S39" s="93">
        <f t="shared" si="5"/>
        <v>3675.1696241991467</v>
      </c>
      <c r="T39" s="93">
        <f t="shared" si="5"/>
        <v>3793.1831795514117</v>
      </c>
      <c r="U39" s="93">
        <f t="shared" si="5"/>
        <v>3914.4970707528519</v>
      </c>
      <c r="V39" s="93">
        <f t="shared" si="5"/>
        <v>4039.2036296398355</v>
      </c>
      <c r="W39" s="93">
        <f t="shared" si="5"/>
        <v>4167.3977801327628</v>
      </c>
      <c r="X39" s="93">
        <f t="shared" si="5"/>
        <v>4299.1770985768717</v>
      </c>
      <c r="Y39" s="93">
        <f t="shared" si="5"/>
        <v>4434.6418920692486</v>
      </c>
      <c r="AA39" s="606">
        <f>SUM(F39:Y39)</f>
        <v>67061.915006381882</v>
      </c>
      <c r="AB39" s="607">
        <f t="shared" si="2"/>
        <v>67061.915006381882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1320</v>
      </c>
      <c r="G41" s="90">
        <f t="shared" ref="G41:Y41" si="7">+G109</f>
        <v>1320</v>
      </c>
      <c r="H41" s="90">
        <f t="shared" si="7"/>
        <v>1320</v>
      </c>
      <c r="I41" s="90">
        <f t="shared" si="7"/>
        <v>1320</v>
      </c>
      <c r="J41" s="90">
        <f t="shared" si="7"/>
        <v>1320</v>
      </c>
      <c r="K41" s="90">
        <f t="shared" si="7"/>
        <v>1320</v>
      </c>
      <c r="L41" s="90">
        <f t="shared" si="7"/>
        <v>1320</v>
      </c>
      <c r="M41" s="90">
        <f t="shared" si="7"/>
        <v>1320</v>
      </c>
      <c r="N41" s="90">
        <f t="shared" si="7"/>
        <v>1320</v>
      </c>
      <c r="O41" s="90">
        <f t="shared" si="7"/>
        <v>1320</v>
      </c>
      <c r="P41" s="90">
        <f t="shared" si="7"/>
        <v>1320</v>
      </c>
      <c r="Q41" s="90">
        <f t="shared" si="7"/>
        <v>1320</v>
      </c>
      <c r="R41" s="90">
        <f t="shared" si="7"/>
        <v>1320</v>
      </c>
      <c r="S41" s="90">
        <f t="shared" si="7"/>
        <v>1320</v>
      </c>
      <c r="T41" s="90">
        <f t="shared" si="7"/>
        <v>1320</v>
      </c>
      <c r="U41" s="90">
        <f t="shared" si="7"/>
        <v>1320</v>
      </c>
      <c r="V41" s="90">
        <f t="shared" si="7"/>
        <v>1320</v>
      </c>
      <c r="W41" s="90">
        <f t="shared" si="7"/>
        <v>1320</v>
      </c>
      <c r="X41" s="90">
        <f t="shared" si="7"/>
        <v>1320</v>
      </c>
      <c r="Y41" s="90">
        <f t="shared" si="7"/>
        <v>1320</v>
      </c>
      <c r="AA41" s="606">
        <f t="shared" si="6"/>
        <v>26400</v>
      </c>
      <c r="AB41" s="607">
        <f t="shared" si="2"/>
        <v>26400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2386.9580077293763</v>
      </c>
      <c r="F44" s="93">
        <f t="shared" si="8"/>
        <v>1192.1725854696392</v>
      </c>
      <c r="G44" s="93">
        <f t="shared" si="8"/>
        <v>1081.0407350514829</v>
      </c>
      <c r="H44" s="93">
        <f t="shared" si="8"/>
        <v>1201.2891798268301</v>
      </c>
      <c r="I44" s="93">
        <f t="shared" si="8"/>
        <v>1323.9815470096846</v>
      </c>
      <c r="J44" s="93">
        <f t="shared" si="8"/>
        <v>1448.8890526756632</v>
      </c>
      <c r="K44" s="93">
        <f t="shared" si="8"/>
        <v>1576.2123124335744</v>
      </c>
      <c r="L44" s="93">
        <f t="shared" si="8"/>
        <v>1702.9593110114597</v>
      </c>
      <c r="M44" s="93">
        <f t="shared" si="8"/>
        <v>1758.8883976717302</v>
      </c>
      <c r="N44" s="93">
        <f t="shared" si="8"/>
        <v>1856.7544504961998</v>
      </c>
      <c r="O44" s="93">
        <f t="shared" si="8"/>
        <v>1957.2597368062861</v>
      </c>
      <c r="P44" s="93">
        <f t="shared" si="8"/>
        <v>2064.3886780078856</v>
      </c>
      <c r="Q44" s="93">
        <f t="shared" si="8"/>
        <v>2174.4421624765314</v>
      </c>
      <c r="R44" s="93">
        <f t="shared" si="8"/>
        <v>2240.3665825227845</v>
      </c>
      <c r="S44" s="93">
        <f t="shared" si="8"/>
        <v>2355.1696241991467</v>
      </c>
      <c r="T44" s="93">
        <f t="shared" si="8"/>
        <v>2473.1831795514117</v>
      </c>
      <c r="U44" s="93">
        <f t="shared" si="8"/>
        <v>2594.4970707528519</v>
      </c>
      <c r="V44" s="93">
        <f t="shared" si="8"/>
        <v>2719.2036296398355</v>
      </c>
      <c r="W44" s="93">
        <f t="shared" si="8"/>
        <v>2847.3977801327628</v>
      </c>
      <c r="X44" s="93">
        <f t="shared" si="8"/>
        <v>2979.1770985768717</v>
      </c>
      <c r="Y44" s="93">
        <f t="shared" si="8"/>
        <v>3114.6418920692486</v>
      </c>
      <c r="AA44" s="606">
        <f t="shared" si="6"/>
        <v>40661.915006381882</v>
      </c>
      <c r="AB44" s="607">
        <f t="shared" si="2"/>
        <v>40661.915006381882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2386.9580077293763</v>
      </c>
      <c r="F49" s="93">
        <f t="shared" si="9"/>
        <v>1192.1725854696392</v>
      </c>
      <c r="G49" s="93">
        <f t="shared" si="9"/>
        <v>1081.0407350514829</v>
      </c>
      <c r="H49" s="93">
        <f t="shared" si="9"/>
        <v>1201.2891798268301</v>
      </c>
      <c r="I49" s="93">
        <f t="shared" si="9"/>
        <v>1323.9815470096846</v>
      </c>
      <c r="J49" s="93">
        <f t="shared" si="9"/>
        <v>1448.8890526756632</v>
      </c>
      <c r="K49" s="93">
        <f t="shared" si="9"/>
        <v>1576.2123124335744</v>
      </c>
      <c r="L49" s="93">
        <f t="shared" si="9"/>
        <v>1702.9593110114597</v>
      </c>
      <c r="M49" s="93">
        <f t="shared" si="9"/>
        <v>1758.8883976717302</v>
      </c>
      <c r="N49" s="93">
        <f t="shared" si="9"/>
        <v>1856.7544504961998</v>
      </c>
      <c r="O49" s="93">
        <f t="shared" si="9"/>
        <v>1957.2597368062861</v>
      </c>
      <c r="P49" s="93">
        <f t="shared" si="9"/>
        <v>2064.3886780078856</v>
      </c>
      <c r="Q49" s="93">
        <f t="shared" si="9"/>
        <v>2174.4421624765314</v>
      </c>
      <c r="R49" s="93">
        <f t="shared" si="9"/>
        <v>2240.3665825227845</v>
      </c>
      <c r="S49" s="93">
        <f t="shared" si="9"/>
        <v>2355.1696241991467</v>
      </c>
      <c r="T49" s="93">
        <f t="shared" si="9"/>
        <v>2473.1831795514117</v>
      </c>
      <c r="U49" s="93">
        <f t="shared" si="9"/>
        <v>2594.4970707528519</v>
      </c>
      <c r="V49" s="93">
        <f t="shared" si="9"/>
        <v>2719.2036296398355</v>
      </c>
      <c r="W49" s="93">
        <f t="shared" si="9"/>
        <v>2847.3977801327628</v>
      </c>
      <c r="X49" s="93">
        <f t="shared" si="9"/>
        <v>2979.1770985768717</v>
      </c>
      <c r="Y49" s="93">
        <f t="shared" si="9"/>
        <v>3114.6418920692486</v>
      </c>
      <c r="AA49" s="606">
        <f t="shared" si="6"/>
        <v>40661.915006381882</v>
      </c>
      <c r="AB49" s="607">
        <f t="shared" si="2"/>
        <v>40661.915006381882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-119.34790038646882</v>
      </c>
      <c r="F51" s="90">
        <f t="shared" si="10"/>
        <v>-59.608629273481966</v>
      </c>
      <c r="G51" s="55">
        <f t="shared" si="10"/>
        <v>-54.052036752574146</v>
      </c>
      <c r="H51" s="90">
        <f t="shared" si="10"/>
        <v>-60.06445899134151</v>
      </c>
      <c r="I51" s="90">
        <f t="shared" si="10"/>
        <v>-66.199077350484231</v>
      </c>
      <c r="J51" s="90">
        <f t="shared" si="10"/>
        <v>-72.444452633783158</v>
      </c>
      <c r="K51" s="90">
        <f t="shared" si="10"/>
        <v>-78.810615621678721</v>
      </c>
      <c r="L51" s="90">
        <f t="shared" si="10"/>
        <v>-85.147965550572991</v>
      </c>
      <c r="M51" s="90">
        <f t="shared" si="10"/>
        <v>-87.944419883586519</v>
      </c>
      <c r="N51" s="90">
        <f t="shared" si="10"/>
        <v>-92.83772252480999</v>
      </c>
      <c r="O51" s="90">
        <f t="shared" si="10"/>
        <v>-97.862986840314306</v>
      </c>
      <c r="P51" s="90">
        <f t="shared" si="10"/>
        <v>-103.21943390039428</v>
      </c>
      <c r="Q51" s="90">
        <f t="shared" si="10"/>
        <v>-108.72210812382657</v>
      </c>
      <c r="R51" s="90">
        <f t="shared" si="10"/>
        <v>-112.01832912613924</v>
      </c>
      <c r="S51" s="90">
        <f t="shared" si="10"/>
        <v>-117.75848120995734</v>
      </c>
      <c r="T51" s="90">
        <f t="shared" si="10"/>
        <v>-123.6591589775706</v>
      </c>
      <c r="U51" s="90">
        <f t="shared" si="10"/>
        <v>-129.72485353764259</v>
      </c>
      <c r="V51" s="90">
        <f t="shared" si="10"/>
        <v>-135.96018148199178</v>
      </c>
      <c r="W51" s="90">
        <f t="shared" si="10"/>
        <v>-142.36988900663815</v>
      </c>
      <c r="X51" s="90">
        <f t="shared" si="10"/>
        <v>-148.95885492884358</v>
      </c>
      <c r="Y51" s="90">
        <f t="shared" si="10"/>
        <v>-155.73209460346243</v>
      </c>
      <c r="AA51" s="606">
        <f t="shared" si="6"/>
        <v>-2033.0957503190941</v>
      </c>
      <c r="AB51" s="607">
        <f t="shared" si="2"/>
        <v>-2033.0957503190941</v>
      </c>
    </row>
    <row r="52" spans="1:28">
      <c r="A52" s="4" t="s">
        <v>29</v>
      </c>
      <c r="C52" s="341">
        <v>0.35</v>
      </c>
      <c r="D52" s="89"/>
      <c r="E52" s="89">
        <f>((E49+E51)*-$C$52)+E56</f>
        <v>575.41646243095977</v>
      </c>
      <c r="F52" s="89">
        <f t="shared" ref="F52:Y52" si="11">((F49+F51)*-$C$52)+F56</f>
        <v>1048.7426153323768</v>
      </c>
      <c r="G52" s="89">
        <f t="shared" si="11"/>
        <v>1085.6939555964138</v>
      </c>
      <c r="H52" s="89">
        <f t="shared" si="11"/>
        <v>1121.7713477086652</v>
      </c>
      <c r="I52" s="89">
        <f t="shared" si="11"/>
        <v>1080.9761356203662</v>
      </c>
      <c r="J52" s="89">
        <f t="shared" si="11"/>
        <v>1115.5043899864825</v>
      </c>
      <c r="K52" s="89">
        <f t="shared" si="11"/>
        <v>1149.2294061170314</v>
      </c>
      <c r="L52" s="89">
        <f t="shared" si="11"/>
        <v>1107.0860290898845</v>
      </c>
      <c r="M52" s="89">
        <f t="shared" si="11"/>
        <v>694.77291670020156</v>
      </c>
      <c r="N52" s="89">
        <f t="shared" si="11"/>
        <v>-617.37085478998631</v>
      </c>
      <c r="O52" s="89">
        <f t="shared" si="11"/>
        <v>-650.7888624880901</v>
      </c>
      <c r="P52" s="89">
        <f t="shared" si="11"/>
        <v>-686.40923543762187</v>
      </c>
      <c r="Q52" s="89">
        <f t="shared" si="11"/>
        <v>-723.00201902344656</v>
      </c>
      <c r="R52" s="89">
        <f t="shared" si="11"/>
        <v>-744.92188868882579</v>
      </c>
      <c r="S52" s="89">
        <f t="shared" si="11"/>
        <v>-783.09390004621628</v>
      </c>
      <c r="T52" s="89">
        <f t="shared" si="11"/>
        <v>-822.33340720084425</v>
      </c>
      <c r="U52" s="89">
        <f t="shared" si="11"/>
        <v>-862.67027602532323</v>
      </c>
      <c r="V52" s="89">
        <f t="shared" si="11"/>
        <v>-904.13520685524531</v>
      </c>
      <c r="W52" s="89">
        <f t="shared" si="11"/>
        <v>-946.75976189414359</v>
      </c>
      <c r="X52" s="89">
        <f t="shared" si="11"/>
        <v>-990.57638527680967</v>
      </c>
      <c r="Y52" s="89">
        <f t="shared" si="11"/>
        <v>-1035.6184291130251</v>
      </c>
      <c r="AA52" s="606">
        <f t="shared" si="6"/>
        <v>-1363.9034306881545</v>
      </c>
      <c r="AB52" s="607">
        <f t="shared" si="2"/>
        <v>-1363.9034306881545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2843.0265697738673</v>
      </c>
      <c r="F54" s="93">
        <f t="shared" si="12"/>
        <v>2181.3065715285338</v>
      </c>
      <c r="G54" s="93">
        <f t="shared" si="12"/>
        <v>2112.6826538953228</v>
      </c>
      <c r="H54" s="93">
        <f t="shared" si="12"/>
        <v>2262.9960685441538</v>
      </c>
      <c r="I54" s="93">
        <f t="shared" si="12"/>
        <v>2338.7586052795668</v>
      </c>
      <c r="J54" s="93">
        <f t="shared" si="12"/>
        <v>2491.9489900283625</v>
      </c>
      <c r="K54" s="93">
        <f t="shared" si="12"/>
        <v>2646.6311029289272</v>
      </c>
      <c r="L54" s="93">
        <f t="shared" si="12"/>
        <v>2724.897374550771</v>
      </c>
      <c r="M54" s="93">
        <f t="shared" si="12"/>
        <v>2365.7168944883451</v>
      </c>
      <c r="N54" s="93">
        <f t="shared" si="12"/>
        <v>1146.5458731814033</v>
      </c>
      <c r="O54" s="93">
        <f t="shared" si="12"/>
        <v>1208.6078874778818</v>
      </c>
      <c r="P54" s="93">
        <f t="shared" si="12"/>
        <v>1274.7600086698694</v>
      </c>
      <c r="Q54" s="93">
        <f t="shared" si="12"/>
        <v>1342.7180353292581</v>
      </c>
      <c r="R54" s="93">
        <f t="shared" si="12"/>
        <v>1383.4263647078196</v>
      </c>
      <c r="S54" s="93">
        <f t="shared" si="12"/>
        <v>1454.3172429429733</v>
      </c>
      <c r="T54" s="93">
        <f t="shared" si="12"/>
        <v>1527.1906133729967</v>
      </c>
      <c r="U54" s="93">
        <f t="shared" si="12"/>
        <v>1602.101941189886</v>
      </c>
      <c r="V54" s="93">
        <f t="shared" si="12"/>
        <v>1679.1082413025986</v>
      </c>
      <c r="W54" s="93">
        <f t="shared" si="12"/>
        <v>1758.2681292319812</v>
      </c>
      <c r="X54" s="93">
        <f t="shared" si="12"/>
        <v>1839.6418583712184</v>
      </c>
      <c r="Y54" s="93">
        <f t="shared" si="12"/>
        <v>1923.2913683527611</v>
      </c>
      <c r="AA54" s="606">
        <f t="shared" si="6"/>
        <v>37264.915825374628</v>
      </c>
      <c r="AB54" s="607">
        <f t="shared" si="2"/>
        <v>37264.915825374628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[22]TAX!F$46</f>
        <v>1369.0800000009774</v>
      </c>
      <c r="F56" s="342">
        <f>[22]TAX!G$46</f>
        <v>1445.1400000010319</v>
      </c>
      <c r="G56" s="342">
        <f>[22]TAX!H$46</f>
        <v>1445.1400000010319</v>
      </c>
      <c r="H56" s="342">
        <f>[22]TAX!I$46</f>
        <v>1521.2000000010862</v>
      </c>
      <c r="I56" s="342">
        <f>[22]TAX!J$46</f>
        <v>1521.2000000010862</v>
      </c>
      <c r="J56" s="342">
        <f>[22]TAX!K$46</f>
        <v>1597.2600000011405</v>
      </c>
      <c r="K56" s="342">
        <f>[22]TAX!L$46</f>
        <v>1673.3200000011948</v>
      </c>
      <c r="L56" s="342">
        <f>[22]TAX!M$46</f>
        <v>1673.3200000011948</v>
      </c>
      <c r="M56" s="342">
        <f>[22]TAX!N$46</f>
        <v>1279.6033089260518</v>
      </c>
      <c r="N56" s="342">
        <f>[22]TAX!O$46</f>
        <v>0</v>
      </c>
      <c r="O56" s="342">
        <f>[22]TAX!P$46</f>
        <v>0</v>
      </c>
      <c r="P56" s="342">
        <f>[22]TAX!Q$46</f>
        <v>0</v>
      </c>
      <c r="Q56" s="342">
        <f>[22]TAX!R$46</f>
        <v>0</v>
      </c>
      <c r="R56" s="342">
        <f>[22]TAX!S$46</f>
        <v>0</v>
      </c>
      <c r="S56" s="342">
        <f>[22]TAX!T$46</f>
        <v>0</v>
      </c>
      <c r="T56" s="342">
        <f>[22]TAX!U$46</f>
        <v>0</v>
      </c>
      <c r="U56" s="342">
        <f>[22]TAX!V$46</f>
        <v>0</v>
      </c>
      <c r="V56" s="342">
        <f>[22]TAX!W$46</f>
        <v>0</v>
      </c>
      <c r="W56" s="342">
        <f>[22]TAX!X$46</f>
        <v>0</v>
      </c>
      <c r="X56" s="342">
        <f>[22]TAX!Y$46</f>
        <v>0</v>
      </c>
      <c r="Y56" s="342">
        <f>[22]TAX!Z$46</f>
        <v>0</v>
      </c>
      <c r="AA56" s="606">
        <f t="shared" si="6"/>
        <v>12156.183308933818</v>
      </c>
      <c r="AB56" s="607">
        <f t="shared" si="2"/>
        <v>12156.183308933818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2386.9580077293763</v>
      </c>
      <c r="F64" s="20">
        <f t="shared" si="14"/>
        <v>2512.1725854696392</v>
      </c>
      <c r="G64" s="24">
        <f t="shared" si="14"/>
        <v>2401.0407350514829</v>
      </c>
      <c r="H64" s="20">
        <f t="shared" si="14"/>
        <v>2521.2891798268301</v>
      </c>
      <c r="I64" s="20">
        <f t="shared" si="14"/>
        <v>2643.9815470096846</v>
      </c>
      <c r="J64" s="20">
        <f t="shared" si="14"/>
        <v>2768.8890526756632</v>
      </c>
      <c r="K64" s="20">
        <f t="shared" si="14"/>
        <v>2896.2123124335744</v>
      </c>
      <c r="L64" s="20">
        <f t="shared" si="14"/>
        <v>3022.9593110114597</v>
      </c>
      <c r="M64" s="20">
        <f t="shared" si="14"/>
        <v>3078.8883976717302</v>
      </c>
      <c r="N64" s="20">
        <f t="shared" si="14"/>
        <v>3176.7544504961998</v>
      </c>
      <c r="O64" s="20">
        <f t="shared" si="14"/>
        <v>3277.2597368062861</v>
      </c>
      <c r="P64" s="20">
        <f t="shared" si="14"/>
        <v>3384.3886780078856</v>
      </c>
      <c r="Q64" s="20">
        <f t="shared" si="14"/>
        <v>3494.4421624765314</v>
      </c>
      <c r="R64" s="20">
        <f t="shared" si="14"/>
        <v>3560.3665825227845</v>
      </c>
      <c r="S64" s="20">
        <f t="shared" si="14"/>
        <v>3675.1696241991467</v>
      </c>
      <c r="T64" s="20">
        <f t="shared" si="14"/>
        <v>3793.1831795514117</v>
      </c>
      <c r="U64" s="20">
        <f t="shared" si="14"/>
        <v>3914.4970707528519</v>
      </c>
      <c r="V64" s="20">
        <f t="shared" si="14"/>
        <v>4039.2036296398355</v>
      </c>
      <c r="W64" s="20">
        <f t="shared" si="14"/>
        <v>4167.3977801327628</v>
      </c>
      <c r="X64" s="20">
        <f t="shared" si="14"/>
        <v>4299.1770985768717</v>
      </c>
      <c r="Y64" s="20">
        <f t="shared" si="14"/>
        <v>4434.6418920692486</v>
      </c>
      <c r="AA64" s="606">
        <f t="shared" si="6"/>
        <v>67061.915006381882</v>
      </c>
      <c r="AB64" s="607">
        <f t="shared" si="2"/>
        <v>67061.915006381882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2386.9580077293763</v>
      </c>
      <c r="F69" s="95">
        <f t="shared" si="15"/>
        <v>2512.1725854696392</v>
      </c>
      <c r="G69" s="95">
        <f t="shared" si="15"/>
        <v>2401.0407350514829</v>
      </c>
      <c r="H69" s="95">
        <f t="shared" si="15"/>
        <v>2521.2891798268301</v>
      </c>
      <c r="I69" s="95">
        <f t="shared" si="15"/>
        <v>2643.9815470096846</v>
      </c>
      <c r="J69" s="95">
        <f t="shared" si="15"/>
        <v>2768.8890526756632</v>
      </c>
      <c r="K69" s="95">
        <f t="shared" si="15"/>
        <v>2896.2123124335744</v>
      </c>
      <c r="L69" s="95">
        <f t="shared" si="15"/>
        <v>3022.9593110114597</v>
      </c>
      <c r="M69" s="95">
        <f t="shared" si="15"/>
        <v>3078.8883976717302</v>
      </c>
      <c r="N69" s="95">
        <f t="shared" si="15"/>
        <v>3176.7544504961998</v>
      </c>
      <c r="O69" s="95">
        <f t="shared" si="15"/>
        <v>3277.2597368062861</v>
      </c>
      <c r="P69" s="95">
        <f t="shared" si="15"/>
        <v>3384.3886780078856</v>
      </c>
      <c r="Q69" s="95">
        <f t="shared" si="15"/>
        <v>3494.4421624765314</v>
      </c>
      <c r="R69" s="95">
        <f t="shared" si="15"/>
        <v>3560.3665825227845</v>
      </c>
      <c r="S69" s="95">
        <f t="shared" si="15"/>
        <v>3675.1696241991467</v>
      </c>
      <c r="T69" s="95">
        <f t="shared" si="15"/>
        <v>3793.1831795514117</v>
      </c>
      <c r="U69" s="95">
        <f t="shared" si="15"/>
        <v>3914.4970707528519</v>
      </c>
      <c r="V69" s="95">
        <f t="shared" si="15"/>
        <v>4039.2036296398355</v>
      </c>
      <c r="W69" s="95">
        <f t="shared" si="15"/>
        <v>4167.3977801327628</v>
      </c>
      <c r="X69" s="95">
        <f t="shared" si="15"/>
        <v>4299.1770985768717</v>
      </c>
      <c r="Y69" s="95">
        <f t="shared" si="15"/>
        <v>4434.6418920692486</v>
      </c>
      <c r="AA69" s="606">
        <f t="shared" si="6"/>
        <v>67061.915006381882</v>
      </c>
      <c r="AB69" s="607">
        <f t="shared" si="2"/>
        <v>67061.915006381882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2069.0617843256555</v>
      </c>
      <c r="G71" s="100">
        <f t="shared" si="16"/>
        <v>3929.5503960712758</v>
      </c>
      <c r="H71" s="100">
        <f t="shared" si="16"/>
        <v>1944.3759750533181</v>
      </c>
      <c r="I71" s="100">
        <f t="shared" si="16"/>
        <v>733.93851007104377</v>
      </c>
      <c r="J71" s="100">
        <f t="shared" si="16"/>
        <v>686.16138915380702</v>
      </c>
      <c r="K71" s="100">
        <f t="shared" si="16"/>
        <v>-235.17048360471807</v>
      </c>
      <c r="L71" s="100">
        <f t="shared" si="16"/>
        <v>-1156.2819364618833</v>
      </c>
      <c r="M71" s="100">
        <f t="shared" si="16"/>
        <v>-1177.6748121094365</v>
      </c>
      <c r="N71" s="100">
        <f t="shared" si="16"/>
        <v>-1215.1085773147963</v>
      </c>
      <c r="O71" s="100">
        <f t="shared" si="16"/>
        <v>-1253.5518493284044</v>
      </c>
      <c r="P71" s="100">
        <f t="shared" si="16"/>
        <v>-1294.528669338016</v>
      </c>
      <c r="Q71" s="100">
        <f t="shared" si="16"/>
        <v>-1336.6241271472732</v>
      </c>
      <c r="R71" s="100">
        <f t="shared" si="16"/>
        <v>-1361.8402178149649</v>
      </c>
      <c r="S71" s="100">
        <f t="shared" si="16"/>
        <v>-1405.7523812561737</v>
      </c>
      <c r="T71" s="100">
        <f t="shared" si="16"/>
        <v>-1450.8925661784149</v>
      </c>
      <c r="U71" s="100">
        <f t="shared" si="16"/>
        <v>-1497.2951295629659</v>
      </c>
      <c r="V71" s="100">
        <f t="shared" si="16"/>
        <v>-1544.995388337237</v>
      </c>
      <c r="W71" s="100">
        <f t="shared" si="16"/>
        <v>-1594.0296509007819</v>
      </c>
      <c r="X71" s="100">
        <f t="shared" si="16"/>
        <v>-1644.4352402056534</v>
      </c>
      <c r="Y71" s="100">
        <f t="shared" si="16"/>
        <v>-1696.2505237164876</v>
      </c>
      <c r="AA71" s="606">
        <f t="shared" si="6"/>
        <v>-10501.343498602108</v>
      </c>
      <c r="AB71" s="607">
        <f t="shared" si="2"/>
        <v>-10501.343498602108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2386.9580077293763</v>
      </c>
      <c r="F73" s="28">
        <f t="shared" si="17"/>
        <v>4581.2343697952947</v>
      </c>
      <c r="G73" s="28">
        <f t="shared" si="17"/>
        <v>6330.5911311227592</v>
      </c>
      <c r="H73" s="28">
        <f t="shared" si="17"/>
        <v>4465.6651548801483</v>
      </c>
      <c r="I73" s="28">
        <f t="shared" si="17"/>
        <v>3377.9200570807284</v>
      </c>
      <c r="J73" s="28">
        <f t="shared" si="17"/>
        <v>3455.0504418294704</v>
      </c>
      <c r="K73" s="28">
        <f t="shared" si="17"/>
        <v>2661.0418288288565</v>
      </c>
      <c r="L73" s="28">
        <f t="shared" si="17"/>
        <v>1866.6773745495764</v>
      </c>
      <c r="M73" s="28">
        <f t="shared" si="17"/>
        <v>1901.2135855622937</v>
      </c>
      <c r="N73" s="28">
        <f t="shared" si="17"/>
        <v>1961.6458731814034</v>
      </c>
      <c r="O73" s="28">
        <f t="shared" si="17"/>
        <v>2023.7078874778817</v>
      </c>
      <c r="P73" s="28">
        <f t="shared" si="17"/>
        <v>2089.8600086698698</v>
      </c>
      <c r="Q73" s="28">
        <f t="shared" si="17"/>
        <v>2157.8180353292582</v>
      </c>
      <c r="R73" s="28">
        <f t="shared" si="17"/>
        <v>2198.5263647078195</v>
      </c>
      <c r="S73" s="28">
        <f t="shared" si="17"/>
        <v>2269.4172429429727</v>
      </c>
      <c r="T73" s="28">
        <f t="shared" si="17"/>
        <v>2342.2906133729966</v>
      </c>
      <c r="U73" s="28">
        <f t="shared" si="17"/>
        <v>2417.2019411898859</v>
      </c>
      <c r="V73" s="28">
        <f t="shared" si="17"/>
        <v>2494.2082413025983</v>
      </c>
      <c r="W73" s="28">
        <f t="shared" si="17"/>
        <v>2573.3681292319807</v>
      </c>
      <c r="X73" s="28">
        <f t="shared" si="17"/>
        <v>2654.7418583712183</v>
      </c>
      <c r="Y73" s="28">
        <f t="shared" si="17"/>
        <v>2738.3913683527608</v>
      </c>
      <c r="AA73" s="606">
        <f t="shared" si="6"/>
        <v>56560.571507779779</v>
      </c>
      <c r="AB73" s="607">
        <f t="shared" si="2"/>
        <v>56560.571507779779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2843.0265697738673</v>
      </c>
      <c r="F76" s="28">
        <f t="shared" si="19"/>
        <v>2181.3065715285338</v>
      </c>
      <c r="G76" s="95">
        <f t="shared" si="19"/>
        <v>2112.6826538953228</v>
      </c>
      <c r="H76" s="28">
        <f t="shared" si="19"/>
        <v>2262.9960685441538</v>
      </c>
      <c r="I76" s="28">
        <f t="shared" si="19"/>
        <v>2338.7586052795668</v>
      </c>
      <c r="J76" s="28">
        <f t="shared" si="19"/>
        <v>2491.9489900283625</v>
      </c>
      <c r="K76" s="28">
        <f t="shared" si="19"/>
        <v>2646.6311029289272</v>
      </c>
      <c r="L76" s="28">
        <f t="shared" si="19"/>
        <v>2724.897374550771</v>
      </c>
      <c r="M76" s="28">
        <f t="shared" si="19"/>
        <v>2365.7168944883451</v>
      </c>
      <c r="N76" s="28">
        <f t="shared" si="19"/>
        <v>1146.5458731814033</v>
      </c>
      <c r="O76" s="28">
        <f t="shared" si="19"/>
        <v>1208.6078874778818</v>
      </c>
      <c r="P76" s="28">
        <f t="shared" si="19"/>
        <v>1274.7600086698694</v>
      </c>
      <c r="Q76" s="28">
        <f t="shared" si="19"/>
        <v>1342.7180353292581</v>
      </c>
      <c r="R76" s="28">
        <f t="shared" si="19"/>
        <v>1383.4263647078196</v>
      </c>
      <c r="S76" s="28">
        <f t="shared" si="19"/>
        <v>1454.3172429429733</v>
      </c>
      <c r="T76" s="28">
        <f t="shared" si="19"/>
        <v>1527.1906133729967</v>
      </c>
      <c r="U76" s="28">
        <f t="shared" si="19"/>
        <v>1602.101941189886</v>
      </c>
      <c r="V76" s="28">
        <f t="shared" si="19"/>
        <v>1679.1082413025986</v>
      </c>
      <c r="W76" s="28">
        <f t="shared" si="19"/>
        <v>1758.2681292319812</v>
      </c>
      <c r="X76" s="28">
        <f t="shared" si="19"/>
        <v>1839.6418583712184</v>
      </c>
      <c r="Y76" s="28">
        <f t="shared" si="19"/>
        <v>1923.2913683527611</v>
      </c>
      <c r="AA76" s="606">
        <f t="shared" si="6"/>
        <v>37264.915825374628</v>
      </c>
      <c r="AB76" s="607">
        <f>AA76</f>
        <v>37264.915825374628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2386.9580077293763</v>
      </c>
      <c r="F77" s="28">
        <f t="shared" si="20"/>
        <v>4581.2343697952947</v>
      </c>
      <c r="G77" s="95">
        <f t="shared" si="20"/>
        <v>6330.5911311227592</v>
      </c>
      <c r="H77" s="28">
        <f t="shared" si="20"/>
        <v>4465.6651548801483</v>
      </c>
      <c r="I77" s="28">
        <f t="shared" si="20"/>
        <v>3377.9200570807284</v>
      </c>
      <c r="J77" s="28">
        <f t="shared" si="20"/>
        <v>3455.0504418294704</v>
      </c>
      <c r="K77" s="28">
        <f t="shared" si="20"/>
        <v>2661.0418288288565</v>
      </c>
      <c r="L77" s="28">
        <f t="shared" si="20"/>
        <v>1866.6773745495764</v>
      </c>
      <c r="M77" s="28">
        <f t="shared" si="20"/>
        <v>1901.2135855622937</v>
      </c>
      <c r="N77" s="28">
        <f t="shared" si="20"/>
        <v>1961.6458731814034</v>
      </c>
      <c r="O77" s="28">
        <f t="shared" si="20"/>
        <v>2023.7078874778817</v>
      </c>
      <c r="P77" s="28">
        <f t="shared" si="20"/>
        <v>2089.8600086698698</v>
      </c>
      <c r="Q77" s="28">
        <f t="shared" si="20"/>
        <v>2157.8180353292582</v>
      </c>
      <c r="R77" s="28">
        <f t="shared" si="20"/>
        <v>2198.5263647078195</v>
      </c>
      <c r="S77" s="28">
        <f t="shared" si="20"/>
        <v>2269.4172429429727</v>
      </c>
      <c r="T77" s="28">
        <f t="shared" si="20"/>
        <v>2342.2906133729966</v>
      </c>
      <c r="U77" s="28">
        <f t="shared" si="20"/>
        <v>2417.2019411898859</v>
      </c>
      <c r="V77" s="28">
        <f t="shared" si="20"/>
        <v>2494.2082413025983</v>
      </c>
      <c r="W77" s="28">
        <f t="shared" si="20"/>
        <v>2573.3681292319807</v>
      </c>
      <c r="X77" s="28">
        <f t="shared" si="20"/>
        <v>2654.7418583712183</v>
      </c>
      <c r="Y77" s="28">
        <f t="shared" si="20"/>
        <v>2738.3913683527608</v>
      </c>
      <c r="AA77" s="606">
        <f t="shared" si="6"/>
        <v>56560.571507779779</v>
      </c>
      <c r="AB77" s="607">
        <f>AA77</f>
        <v>56560.571507779779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2512.1725854696392</v>
      </c>
      <c r="G88" s="200">
        <f t="shared" ref="G88:Y88" si="22">G69</f>
        <v>2401.0407350514829</v>
      </c>
      <c r="H88" s="200">
        <f t="shared" si="22"/>
        <v>2521.2891798268301</v>
      </c>
      <c r="I88" s="200">
        <f t="shared" si="22"/>
        <v>2643.9815470096846</v>
      </c>
      <c r="J88" s="200">
        <f t="shared" si="22"/>
        <v>2768.8890526756632</v>
      </c>
      <c r="K88" s="200">
        <f t="shared" si="22"/>
        <v>2896.2123124335744</v>
      </c>
      <c r="L88" s="200">
        <f t="shared" si="22"/>
        <v>3022.9593110114597</v>
      </c>
      <c r="M88" s="200">
        <f t="shared" si="22"/>
        <v>3078.8883976717302</v>
      </c>
      <c r="N88" s="200">
        <f t="shared" si="22"/>
        <v>3176.7544504961998</v>
      </c>
      <c r="O88" s="200">
        <f t="shared" si="22"/>
        <v>3277.2597368062861</v>
      </c>
      <c r="P88" s="200">
        <f t="shared" si="22"/>
        <v>3384.3886780078856</v>
      </c>
      <c r="Q88" s="200">
        <f t="shared" si="22"/>
        <v>3494.4421624765314</v>
      </c>
      <c r="R88" s="200">
        <f t="shared" si="22"/>
        <v>3560.3665825227845</v>
      </c>
      <c r="S88" s="200">
        <f t="shared" si="22"/>
        <v>3675.1696241991467</v>
      </c>
      <c r="T88" s="200">
        <f t="shared" si="22"/>
        <v>3793.1831795514117</v>
      </c>
      <c r="U88" s="200">
        <f t="shared" si="22"/>
        <v>3914.4970707528519</v>
      </c>
      <c r="V88" s="200">
        <f t="shared" si="22"/>
        <v>4039.2036296398355</v>
      </c>
      <c r="W88" s="200">
        <f t="shared" si="22"/>
        <v>4167.3977801327628</v>
      </c>
      <c r="X88" s="200">
        <f t="shared" si="22"/>
        <v>4299.1770985768717</v>
      </c>
      <c r="Y88" s="200">
        <f t="shared" si="22"/>
        <v>4434.6418920692486</v>
      </c>
      <c r="AA88" s="606">
        <f t="shared" si="6"/>
        <v>67061.915006381882</v>
      </c>
      <c r="AB88" s="607">
        <f t="shared" si="18"/>
        <v>67061.915006381882</v>
      </c>
    </row>
    <row r="89" spans="1:30" s="199" customFormat="1">
      <c r="A89" s="199" t="s">
        <v>53</v>
      </c>
      <c r="F89" s="110">
        <f>F126+F127</f>
        <v>2069.0617843256555</v>
      </c>
      <c r="G89" s="110">
        <f t="shared" ref="G89:Y89" si="23">G126+G127</f>
        <v>3929.5503960712758</v>
      </c>
      <c r="H89" s="110">
        <f t="shared" si="23"/>
        <v>1944.3759750533181</v>
      </c>
      <c r="I89" s="110">
        <f t="shared" si="23"/>
        <v>733.93851007104377</v>
      </c>
      <c r="J89" s="110">
        <f t="shared" si="23"/>
        <v>686.16138915380702</v>
      </c>
      <c r="K89" s="110">
        <f t="shared" si="23"/>
        <v>-235.17048360471807</v>
      </c>
      <c r="L89" s="110">
        <f t="shared" si="23"/>
        <v>-1156.2819364618833</v>
      </c>
      <c r="M89" s="110">
        <f t="shared" si="23"/>
        <v>-1177.6748121094365</v>
      </c>
      <c r="N89" s="110">
        <f t="shared" si="23"/>
        <v>-1215.1085773147963</v>
      </c>
      <c r="O89" s="110">
        <f t="shared" si="23"/>
        <v>-1253.5518493284044</v>
      </c>
      <c r="P89" s="110">
        <f t="shared" si="23"/>
        <v>-1294.528669338016</v>
      </c>
      <c r="Q89" s="110">
        <f t="shared" si="23"/>
        <v>-1336.6241271472732</v>
      </c>
      <c r="R89" s="110">
        <f t="shared" si="23"/>
        <v>-1361.8402178149649</v>
      </c>
      <c r="S89" s="110">
        <f t="shared" si="23"/>
        <v>-1405.7523812561737</v>
      </c>
      <c r="T89" s="110">
        <f t="shared" si="23"/>
        <v>-1450.8925661784149</v>
      </c>
      <c r="U89" s="110">
        <f t="shared" si="23"/>
        <v>-1497.2951295629659</v>
      </c>
      <c r="V89" s="110">
        <f t="shared" si="23"/>
        <v>-1544.995388337237</v>
      </c>
      <c r="W89" s="110">
        <f t="shared" si="23"/>
        <v>-1594.0296509007819</v>
      </c>
      <c r="X89" s="110">
        <f t="shared" si="23"/>
        <v>-1644.4352402056534</v>
      </c>
      <c r="Y89" s="110">
        <f t="shared" si="23"/>
        <v>-1696.2505237164876</v>
      </c>
      <c r="AA89" s="606">
        <f t="shared" si="6"/>
        <v>-10501.343498602108</v>
      </c>
      <c r="AB89" s="607">
        <f t="shared" si="18"/>
        <v>-10501.343498602108</v>
      </c>
    </row>
    <row r="90" spans="1:30" s="199" customFormat="1">
      <c r="A90" s="199" t="s">
        <v>238</v>
      </c>
      <c r="F90" s="110">
        <f>F56</f>
        <v>1445.1400000010319</v>
      </c>
      <c r="G90" s="110">
        <f t="shared" ref="G90:Y90" si="24">G56</f>
        <v>1445.1400000010319</v>
      </c>
      <c r="H90" s="110">
        <f t="shared" si="24"/>
        <v>1521.2000000010862</v>
      </c>
      <c r="I90" s="110">
        <f t="shared" si="24"/>
        <v>1521.2000000010862</v>
      </c>
      <c r="J90" s="110">
        <f t="shared" si="24"/>
        <v>1597.2600000011405</v>
      </c>
      <c r="K90" s="110">
        <f t="shared" si="24"/>
        <v>1673.3200000011948</v>
      </c>
      <c r="L90" s="110">
        <f t="shared" si="24"/>
        <v>1673.3200000011948</v>
      </c>
      <c r="M90" s="110">
        <f t="shared" si="24"/>
        <v>1279.6033089260518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12156.183308933818</v>
      </c>
      <c r="AB90" s="607">
        <f t="shared" si="18"/>
        <v>12156.183308933818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35477.135136553989</v>
      </c>
      <c r="AA91" s="606">
        <f t="shared" si="6"/>
        <v>35477.135136553989</v>
      </c>
      <c r="AB91" s="607">
        <f t="shared" si="18"/>
        <v>35477.135136553989</v>
      </c>
    </row>
    <row r="92" spans="1:30" s="199" customFormat="1">
      <c r="A92" s="199" t="s">
        <v>55</v>
      </c>
      <c r="E92" s="346">
        <v>-44008.24688842109</v>
      </c>
      <c r="F92" s="200">
        <f>SUM(F88:F91)</f>
        <v>6026.3743697963264</v>
      </c>
      <c r="G92" s="200">
        <f t="shared" ref="G92:Y92" si="25">SUM(G88:G91)</f>
        <v>7775.7311311237909</v>
      </c>
      <c r="H92" s="200">
        <f t="shared" si="25"/>
        <v>5986.865154881234</v>
      </c>
      <c r="I92" s="200">
        <f t="shared" si="25"/>
        <v>4899.1200570818146</v>
      </c>
      <c r="J92" s="200">
        <f t="shared" si="25"/>
        <v>5052.3104418306111</v>
      </c>
      <c r="K92" s="200">
        <f t="shared" si="25"/>
        <v>4334.3618288300513</v>
      </c>
      <c r="L92" s="200">
        <f t="shared" si="25"/>
        <v>3539.9973745507714</v>
      </c>
      <c r="M92" s="200">
        <f t="shared" si="25"/>
        <v>3180.8168944883455</v>
      </c>
      <c r="N92" s="200">
        <f t="shared" si="25"/>
        <v>1961.6458731814034</v>
      </c>
      <c r="O92" s="200">
        <f t="shared" si="25"/>
        <v>2023.7078874778817</v>
      </c>
      <c r="P92" s="200">
        <f t="shared" si="25"/>
        <v>2089.8600086698698</v>
      </c>
      <c r="Q92" s="200">
        <f t="shared" si="25"/>
        <v>2157.8180353292582</v>
      </c>
      <c r="R92" s="200">
        <f t="shared" si="25"/>
        <v>2198.5263647078195</v>
      </c>
      <c r="S92" s="200">
        <f t="shared" si="25"/>
        <v>2269.4172429429727</v>
      </c>
      <c r="T92" s="200">
        <f t="shared" si="25"/>
        <v>2342.2906133729966</v>
      </c>
      <c r="U92" s="200">
        <f t="shared" si="25"/>
        <v>2417.2019411898859</v>
      </c>
      <c r="V92" s="200">
        <f t="shared" si="25"/>
        <v>2494.2082413025983</v>
      </c>
      <c r="W92" s="200">
        <f t="shared" si="25"/>
        <v>2573.3681292319807</v>
      </c>
      <c r="X92" s="200">
        <f t="shared" si="25"/>
        <v>2654.7418583712183</v>
      </c>
      <c r="Y92" s="200">
        <f t="shared" si="25"/>
        <v>38215.526504906753</v>
      </c>
      <c r="AA92" s="606">
        <f t="shared" si="6"/>
        <v>104193.88995326759</v>
      </c>
      <c r="AB92" s="607">
        <f t="shared" si="18"/>
        <v>104193.88995326759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-7.5095892806939023E-12</v>
      </c>
      <c r="R95" s="204"/>
      <c r="U95" s="205" t="s">
        <v>58</v>
      </c>
      <c r="V95" s="206"/>
      <c r="W95" s="206"/>
      <c r="X95" s="206"/>
      <c r="Y95" s="207">
        <f>Y39</f>
        <v>4434.6418920692486</v>
      </c>
      <c r="AA95" s="606">
        <f t="shared" si="6"/>
        <v>4434.6418920692486</v>
      </c>
      <c r="AB95" s="607">
        <f t="shared" si="18"/>
        <v>4434.6418920692486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4434.6418920692486</v>
      </c>
      <c r="AA97" s="606">
        <f t="shared" si="6"/>
        <v>4434.6418920692486</v>
      </c>
      <c r="AB97" s="607">
        <f t="shared" si="18"/>
        <v>4434.6418920692486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35477.135136553989</v>
      </c>
      <c r="AA99" s="606">
        <f t="shared" si="6"/>
        <v>35477.135136553989</v>
      </c>
      <c r="AB99" s="607">
        <f t="shared" si="18"/>
        <v>35477.135136553989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44008.24688842109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44008.24688842109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39607.422199578985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39607.422199578985</v>
      </c>
      <c r="F109" s="203">
        <f>ROUND(D109/$B$109,0)</f>
        <v>1320</v>
      </c>
      <c r="G109" s="203">
        <f>F109</f>
        <v>1320</v>
      </c>
      <c r="H109" s="203">
        <f t="shared" ref="H109:Y110" si="28">G109</f>
        <v>1320</v>
      </c>
      <c r="I109" s="203">
        <f t="shared" si="28"/>
        <v>1320</v>
      </c>
      <c r="J109" s="203">
        <f t="shared" si="28"/>
        <v>1320</v>
      </c>
      <c r="K109" s="203">
        <f t="shared" si="28"/>
        <v>1320</v>
      </c>
      <c r="L109" s="203">
        <f t="shared" si="28"/>
        <v>1320</v>
      </c>
      <c r="M109" s="203">
        <f t="shared" si="28"/>
        <v>1320</v>
      </c>
      <c r="N109" s="203">
        <f t="shared" si="28"/>
        <v>1320</v>
      </c>
      <c r="O109" s="203">
        <f t="shared" si="28"/>
        <v>1320</v>
      </c>
      <c r="P109" s="203">
        <f t="shared" si="28"/>
        <v>1320</v>
      </c>
      <c r="Q109" s="203">
        <f t="shared" si="28"/>
        <v>1320</v>
      </c>
      <c r="R109" s="203">
        <f t="shared" si="28"/>
        <v>1320</v>
      </c>
      <c r="S109" s="203">
        <f t="shared" si="28"/>
        <v>1320</v>
      </c>
      <c r="T109" s="203">
        <f t="shared" si="28"/>
        <v>1320</v>
      </c>
      <c r="U109" s="203">
        <f t="shared" si="28"/>
        <v>1320</v>
      </c>
      <c r="V109" s="203">
        <f t="shared" si="28"/>
        <v>1320</v>
      </c>
      <c r="W109" s="203">
        <f t="shared" si="28"/>
        <v>1320</v>
      </c>
      <c r="X109" s="203">
        <f t="shared" si="28"/>
        <v>1320</v>
      </c>
      <c r="Y109" s="203">
        <f t="shared" si="28"/>
        <v>1320</v>
      </c>
      <c r="AA109" s="606">
        <f t="shared" si="26"/>
        <v>26400</v>
      </c>
      <c r="AB109" s="607">
        <f t="shared" si="18"/>
        <v>26400</v>
      </c>
    </row>
    <row r="110" spans="1:28" s="199" customFormat="1">
      <c r="A110" s="199" t="s">
        <v>571</v>
      </c>
      <c r="D110" s="214">
        <f>D104*'FPLE_Wind Summary'!V12</f>
        <v>6012.2871726984849</v>
      </c>
      <c r="F110" s="203">
        <f>ROUND(D110/$B$109,0)</f>
        <v>200</v>
      </c>
      <c r="G110" s="203">
        <f>F110</f>
        <v>200</v>
      </c>
      <c r="H110" s="203">
        <f t="shared" si="28"/>
        <v>200</v>
      </c>
      <c r="I110" s="203">
        <f t="shared" si="28"/>
        <v>200</v>
      </c>
      <c r="J110" s="203">
        <f t="shared" si="28"/>
        <v>200</v>
      </c>
      <c r="K110" s="203">
        <f t="shared" si="28"/>
        <v>200</v>
      </c>
      <c r="L110" s="203">
        <f t="shared" si="28"/>
        <v>200</v>
      </c>
      <c r="M110" s="203">
        <f t="shared" si="28"/>
        <v>200</v>
      </c>
      <c r="N110" s="203">
        <f t="shared" si="28"/>
        <v>200</v>
      </c>
      <c r="O110" s="203">
        <f t="shared" si="28"/>
        <v>200</v>
      </c>
      <c r="P110" s="203">
        <f t="shared" si="28"/>
        <v>200</v>
      </c>
      <c r="Q110" s="203">
        <f t="shared" si="28"/>
        <v>200</v>
      </c>
      <c r="R110" s="203">
        <f t="shared" si="28"/>
        <v>200</v>
      </c>
      <c r="S110" s="203">
        <f t="shared" si="28"/>
        <v>200</v>
      </c>
      <c r="T110" s="203">
        <f t="shared" si="28"/>
        <v>200</v>
      </c>
      <c r="U110" s="203">
        <f t="shared" si="28"/>
        <v>200</v>
      </c>
      <c r="V110" s="203">
        <f t="shared" si="28"/>
        <v>200</v>
      </c>
      <c r="W110" s="203">
        <f t="shared" si="28"/>
        <v>200</v>
      </c>
      <c r="X110" s="203">
        <f t="shared" si="28"/>
        <v>200</v>
      </c>
      <c r="Y110" s="203">
        <f t="shared" si="28"/>
        <v>200</v>
      </c>
      <c r="AA110" s="606">
        <f t="shared" si="26"/>
        <v>4000</v>
      </c>
      <c r="AB110" s="607">
        <f t="shared" si="18"/>
        <v>4000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39607.422199578985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7921.4844399157973</v>
      </c>
      <c r="G115" s="203">
        <f t="shared" si="29"/>
        <v>12674.375103865275</v>
      </c>
      <c r="H115" s="203">
        <f t="shared" si="29"/>
        <v>7604.6250623191654</v>
      </c>
      <c r="I115" s="203">
        <f t="shared" si="29"/>
        <v>4562.7750373914987</v>
      </c>
      <c r="J115" s="203">
        <f t="shared" si="29"/>
        <v>4562.7750373914987</v>
      </c>
      <c r="K115" s="203">
        <f t="shared" si="29"/>
        <v>2281.3875186957493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39607.422199578985</v>
      </c>
      <c r="AB115" s="607">
        <f t="shared" si="18"/>
        <v>39607.422199578985</v>
      </c>
    </row>
    <row r="116" spans="1:28" s="199" customFormat="1">
      <c r="A116" s="199" t="s">
        <v>571</v>
      </c>
      <c r="D116" s="214">
        <f>D110</f>
        <v>6012.2871726984849</v>
      </c>
      <c r="F116" s="203">
        <f>$D$116*F114</f>
        <v>1202.457434539697</v>
      </c>
      <c r="G116" s="203">
        <f t="shared" ref="G116:Y116" si="30">$D$116*G114</f>
        <v>1923.9318952635151</v>
      </c>
      <c r="H116" s="203">
        <f t="shared" si="30"/>
        <v>1154.3591371581092</v>
      </c>
      <c r="I116" s="203">
        <f t="shared" si="30"/>
        <v>692.6154822948655</v>
      </c>
      <c r="J116" s="203">
        <f t="shared" si="30"/>
        <v>692.6154822948655</v>
      </c>
      <c r="K116" s="203">
        <f t="shared" si="30"/>
        <v>346.30774114743275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6012.2871726984849</v>
      </c>
      <c r="AB116" s="607">
        <f t="shared" si="18"/>
        <v>6012.2871726984849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2512.1725854696392</v>
      </c>
      <c r="G121" s="203">
        <f t="shared" ref="G121:Y121" si="32">G39</f>
        <v>2401.0407350514829</v>
      </c>
      <c r="H121" s="203">
        <f t="shared" si="32"/>
        <v>2521.2891798268301</v>
      </c>
      <c r="I121" s="203">
        <f t="shared" si="32"/>
        <v>2643.9815470096846</v>
      </c>
      <c r="J121" s="203">
        <f>J39</f>
        <v>2768.8890526756632</v>
      </c>
      <c r="K121" s="203">
        <f t="shared" si="32"/>
        <v>2896.2123124335744</v>
      </c>
      <c r="L121" s="203">
        <f t="shared" si="32"/>
        <v>3022.9593110114597</v>
      </c>
      <c r="M121" s="203">
        <f t="shared" si="32"/>
        <v>3078.8883976717302</v>
      </c>
      <c r="N121" s="203">
        <f t="shared" si="32"/>
        <v>3176.7544504961998</v>
      </c>
      <c r="O121" s="203">
        <f t="shared" si="32"/>
        <v>3277.2597368062861</v>
      </c>
      <c r="P121" s="203">
        <f t="shared" si="32"/>
        <v>3384.3886780078856</v>
      </c>
      <c r="Q121" s="203">
        <f t="shared" si="32"/>
        <v>3494.4421624765314</v>
      </c>
      <c r="R121" s="203">
        <f t="shared" si="32"/>
        <v>3560.3665825227845</v>
      </c>
      <c r="S121" s="203">
        <f t="shared" si="32"/>
        <v>3675.1696241991467</v>
      </c>
      <c r="T121" s="203">
        <f t="shared" si="32"/>
        <v>3793.1831795514117</v>
      </c>
      <c r="U121" s="203">
        <f t="shared" si="32"/>
        <v>3914.4970707528519</v>
      </c>
      <c r="V121" s="203">
        <f t="shared" si="32"/>
        <v>4039.2036296398355</v>
      </c>
      <c r="W121" s="203">
        <f t="shared" si="32"/>
        <v>4167.3977801327628</v>
      </c>
      <c r="X121" s="203">
        <f t="shared" si="32"/>
        <v>4299.1770985768717</v>
      </c>
      <c r="Y121" s="203">
        <f t="shared" si="32"/>
        <v>4434.6418920692486</v>
      </c>
      <c r="AA121" s="606">
        <f t="shared" si="26"/>
        <v>67061.915006381882</v>
      </c>
      <c r="AB121" s="607">
        <f t="shared" si="18"/>
        <v>67061.915006381882</v>
      </c>
    </row>
    <row r="122" spans="1:28" s="199" customFormat="1">
      <c r="A122" s="199" t="s">
        <v>74</v>
      </c>
      <c r="F122" s="203">
        <f>-F115</f>
        <v>-7921.4844399157973</v>
      </c>
      <c r="G122" s="203">
        <f t="shared" ref="G122:Y122" si="33">-G115</f>
        <v>-12674.375103865275</v>
      </c>
      <c r="H122" s="203">
        <f t="shared" si="33"/>
        <v>-7604.6250623191654</v>
      </c>
      <c r="I122" s="203">
        <f t="shared" si="33"/>
        <v>-4562.7750373914987</v>
      </c>
      <c r="J122" s="203">
        <f t="shared" si="33"/>
        <v>-4562.7750373914987</v>
      </c>
      <c r="K122" s="203">
        <f t="shared" si="33"/>
        <v>-2281.3875186957493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-39607.422199578985</v>
      </c>
      <c r="AB122" s="607">
        <f t="shared" si="18"/>
        <v>-39607.422199578985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-5409.3118544461577</v>
      </c>
      <c r="G124" s="203">
        <f t="shared" ref="G124:Y124" si="35">SUM(G121:G123)</f>
        <v>-10273.334368813792</v>
      </c>
      <c r="H124" s="203">
        <f t="shared" si="35"/>
        <v>-5083.3358824923353</v>
      </c>
      <c r="I124" s="203">
        <f t="shared" si="35"/>
        <v>-1918.7934903818141</v>
      </c>
      <c r="J124" s="203">
        <f t="shared" si="35"/>
        <v>-1793.8859847158355</v>
      </c>
      <c r="K124" s="203">
        <f t="shared" si="35"/>
        <v>614.82479373782508</v>
      </c>
      <c r="L124" s="203">
        <f t="shared" si="35"/>
        <v>3022.9593110114597</v>
      </c>
      <c r="M124" s="203">
        <f t="shared" si="35"/>
        <v>3078.8883976717302</v>
      </c>
      <c r="N124" s="203">
        <f t="shared" si="35"/>
        <v>3176.7544504961998</v>
      </c>
      <c r="O124" s="203">
        <f t="shared" si="35"/>
        <v>3277.2597368062861</v>
      </c>
      <c r="P124" s="203">
        <f t="shared" si="35"/>
        <v>3384.3886780078856</v>
      </c>
      <c r="Q124" s="203">
        <f t="shared" si="35"/>
        <v>3494.4421624765314</v>
      </c>
      <c r="R124" s="203">
        <f t="shared" si="35"/>
        <v>3560.3665825227845</v>
      </c>
      <c r="S124" s="203">
        <f t="shared" si="35"/>
        <v>3675.1696241991467</v>
      </c>
      <c r="T124" s="203">
        <f t="shared" si="35"/>
        <v>3793.1831795514117</v>
      </c>
      <c r="U124" s="203">
        <f t="shared" si="35"/>
        <v>3914.4970707528519</v>
      </c>
      <c r="V124" s="203">
        <f t="shared" si="35"/>
        <v>4039.2036296398355</v>
      </c>
      <c r="W124" s="203">
        <f t="shared" si="35"/>
        <v>4167.3977801327628</v>
      </c>
      <c r="X124" s="203">
        <f t="shared" si="35"/>
        <v>4299.1770985768717</v>
      </c>
      <c r="Y124" s="203">
        <f t="shared" si="35"/>
        <v>4434.6418920692486</v>
      </c>
      <c r="AA124" s="606">
        <f t="shared" si="26"/>
        <v>27454.492806802897</v>
      </c>
      <c r="AB124" s="607">
        <f t="shared" si="18"/>
        <v>27454.492806802897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270.46559272230792</v>
      </c>
      <c r="G126" s="203">
        <f t="shared" ref="G126:Y126" si="36">-G124*$C$126</f>
        <v>513.66671844068958</v>
      </c>
      <c r="H126" s="203">
        <f t="shared" si="36"/>
        <v>254.16679412461679</v>
      </c>
      <c r="I126" s="203">
        <f t="shared" si="36"/>
        <v>95.939674519090715</v>
      </c>
      <c r="J126" s="203">
        <f t="shared" si="36"/>
        <v>89.694299235791789</v>
      </c>
      <c r="K126" s="203">
        <f t="shared" si="36"/>
        <v>-30.741239686891255</v>
      </c>
      <c r="L126" s="203">
        <f t="shared" si="36"/>
        <v>-151.14796555057299</v>
      </c>
      <c r="M126" s="203">
        <f t="shared" si="36"/>
        <v>-153.94441988358653</v>
      </c>
      <c r="N126" s="203">
        <f t="shared" si="36"/>
        <v>-158.83772252481</v>
      </c>
      <c r="O126" s="203">
        <f t="shared" si="36"/>
        <v>-163.86298684031431</v>
      </c>
      <c r="P126" s="203">
        <f t="shared" si="36"/>
        <v>-169.21943390039428</v>
      </c>
      <c r="Q126" s="203">
        <f t="shared" si="36"/>
        <v>-174.72210812382659</v>
      </c>
      <c r="R126" s="203">
        <f t="shared" si="36"/>
        <v>-178.01832912613924</v>
      </c>
      <c r="S126" s="203">
        <f t="shared" si="36"/>
        <v>-183.75848120995735</v>
      </c>
      <c r="T126" s="203">
        <f t="shared" si="36"/>
        <v>-189.6591589775706</v>
      </c>
      <c r="U126" s="203">
        <f t="shared" si="36"/>
        <v>-195.72485353764262</v>
      </c>
      <c r="V126" s="203">
        <f t="shared" si="36"/>
        <v>-201.96018148199178</v>
      </c>
      <c r="W126" s="203">
        <f t="shared" si="36"/>
        <v>-208.36988900663815</v>
      </c>
      <c r="X126" s="203">
        <f t="shared" si="36"/>
        <v>-214.95885492884361</v>
      </c>
      <c r="Y126" s="203">
        <f t="shared" si="36"/>
        <v>-221.73209460346243</v>
      </c>
      <c r="AA126" s="606">
        <f t="shared" si="26"/>
        <v>-1372.724640340145</v>
      </c>
      <c r="AB126" s="607">
        <f t="shared" si="18"/>
        <v>-1372.724640340145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1798.5961916033475</v>
      </c>
      <c r="G127" s="203">
        <f t="shared" ref="G127:Y127" si="37">-(G124+G126)*$C$127</f>
        <v>3415.8836776305861</v>
      </c>
      <c r="H127" s="203">
        <f t="shared" si="37"/>
        <v>1690.2091809287012</v>
      </c>
      <c r="I127" s="203">
        <f t="shared" si="37"/>
        <v>637.99883555195311</v>
      </c>
      <c r="J127" s="203">
        <f t="shared" si="37"/>
        <v>596.46708991801529</v>
      </c>
      <c r="K127" s="203">
        <f t="shared" si="37"/>
        <v>-204.42924391782682</v>
      </c>
      <c r="L127" s="203">
        <f t="shared" si="37"/>
        <v>-1005.1339709113103</v>
      </c>
      <c r="M127" s="203">
        <f t="shared" si="37"/>
        <v>-1023.7303922258501</v>
      </c>
      <c r="N127" s="203">
        <f t="shared" si="37"/>
        <v>-1056.2708547899863</v>
      </c>
      <c r="O127" s="203">
        <f t="shared" si="37"/>
        <v>-1089.6888624880901</v>
      </c>
      <c r="P127" s="203">
        <f t="shared" si="37"/>
        <v>-1125.3092354376217</v>
      </c>
      <c r="Q127" s="203">
        <f t="shared" si="37"/>
        <v>-1161.9020190234467</v>
      </c>
      <c r="R127" s="203">
        <f t="shared" si="37"/>
        <v>-1183.8218886888258</v>
      </c>
      <c r="S127" s="203">
        <f t="shared" si="37"/>
        <v>-1221.9939000462164</v>
      </c>
      <c r="T127" s="203">
        <f t="shared" si="37"/>
        <v>-1261.2334072008443</v>
      </c>
      <c r="U127" s="203">
        <f t="shared" si="37"/>
        <v>-1301.5702760253232</v>
      </c>
      <c r="V127" s="203">
        <f t="shared" si="37"/>
        <v>-1343.0352068552452</v>
      </c>
      <c r="W127" s="203">
        <f t="shared" si="37"/>
        <v>-1385.6597618941437</v>
      </c>
      <c r="X127" s="203">
        <f t="shared" si="37"/>
        <v>-1429.4763852768097</v>
      </c>
      <c r="Y127" s="203">
        <f t="shared" si="37"/>
        <v>-1474.5184291130251</v>
      </c>
      <c r="AA127" s="606">
        <f t="shared" si="26"/>
        <v>-9128.6188582619616</v>
      </c>
      <c r="AB127" s="607">
        <f t="shared" si="18"/>
        <v>-9128.6188582619616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43.328144000000002</v>
      </c>
      <c r="G138" s="218">
        <f t="shared" si="41"/>
        <v>44.541332032</v>
      </c>
      <c r="H138" s="218">
        <f t="shared" si="41"/>
        <v>45.788489328895999</v>
      </c>
      <c r="I138" s="218">
        <f t="shared" si="41"/>
        <v>47.02477854077619</v>
      </c>
      <c r="J138" s="218">
        <f t="shared" si="41"/>
        <v>48.29444756137714</v>
      </c>
      <c r="K138" s="218">
        <f t="shared" si="41"/>
        <v>49.59839764553432</v>
      </c>
      <c r="L138" s="218">
        <f t="shared" si="41"/>
        <v>50.937554381963743</v>
      </c>
      <c r="M138" s="218">
        <f t="shared" si="41"/>
        <v>52.312868350276759</v>
      </c>
      <c r="N138" s="218">
        <f t="shared" si="41"/>
        <v>53.725315795734225</v>
      </c>
      <c r="O138" s="218">
        <f t="shared" si="41"/>
        <v>55.175899322219045</v>
      </c>
      <c r="P138" s="218">
        <f t="shared" si="41"/>
        <v>56.665648603918953</v>
      </c>
      <c r="Q138" s="218">
        <f t="shared" si="41"/>
        <v>58.252286764828682</v>
      </c>
      <c r="R138" s="218">
        <f t="shared" si="41"/>
        <v>59.883350794243889</v>
      </c>
      <c r="S138" s="218">
        <f t="shared" si="41"/>
        <v>61.560084616482719</v>
      </c>
      <c r="T138" s="218">
        <f t="shared" si="41"/>
        <v>63.283766985744236</v>
      </c>
      <c r="U138" s="218">
        <f t="shared" si="41"/>
        <v>65.055712461345081</v>
      </c>
      <c r="V138" s="218">
        <f t="shared" si="41"/>
        <v>66.877272410262748</v>
      </c>
      <c r="W138" s="218">
        <f t="shared" si="41"/>
        <v>68.7498360377501</v>
      </c>
      <c r="X138" s="218">
        <f t="shared" si="41"/>
        <v>70.674831446807104</v>
      </c>
      <c r="Y138" s="218">
        <f t="shared" si="41"/>
        <v>72.653726727317704</v>
      </c>
      <c r="AA138" s="606">
        <f t="shared" si="26"/>
        <v>1134.3837438074788</v>
      </c>
      <c r="AB138" s="607">
        <f t="shared" si="39"/>
        <v>1134.3837438074788</v>
      </c>
    </row>
    <row r="139" spans="1:28" s="199" customFormat="1">
      <c r="A139" s="199" t="s">
        <v>79</v>
      </c>
      <c r="F139" s="203">
        <f>F137+F138</f>
        <v>43.328144000000002</v>
      </c>
      <c r="G139" s="203">
        <f t="shared" ref="G139:Y139" si="42">G137+G138</f>
        <v>44.541332032</v>
      </c>
      <c r="H139" s="203">
        <f t="shared" si="42"/>
        <v>45.788489328895999</v>
      </c>
      <c r="I139" s="203">
        <f t="shared" si="42"/>
        <v>47.02477854077619</v>
      </c>
      <c r="J139" s="203">
        <f t="shared" si="42"/>
        <v>48.29444756137714</v>
      </c>
      <c r="K139" s="203">
        <f t="shared" si="42"/>
        <v>49.59839764553432</v>
      </c>
      <c r="L139" s="203">
        <f t="shared" si="42"/>
        <v>50.937554381963743</v>
      </c>
      <c r="M139" s="203">
        <f t="shared" si="42"/>
        <v>52.312868350276759</v>
      </c>
      <c r="N139" s="203">
        <f t="shared" si="42"/>
        <v>53.725315795734225</v>
      </c>
      <c r="O139" s="203">
        <f t="shared" si="42"/>
        <v>55.175899322219045</v>
      </c>
      <c r="P139" s="203">
        <f t="shared" si="42"/>
        <v>56.665648603918953</v>
      </c>
      <c r="Q139" s="203">
        <f t="shared" si="42"/>
        <v>58.252286764828682</v>
      </c>
      <c r="R139" s="203">
        <f t="shared" si="42"/>
        <v>59.883350794243889</v>
      </c>
      <c r="S139" s="203">
        <f t="shared" si="42"/>
        <v>61.560084616482719</v>
      </c>
      <c r="T139" s="203">
        <f t="shared" si="42"/>
        <v>63.283766985744236</v>
      </c>
      <c r="U139" s="203">
        <f t="shared" si="42"/>
        <v>65.055712461345081</v>
      </c>
      <c r="V139" s="203">
        <f t="shared" si="42"/>
        <v>66.877272410262748</v>
      </c>
      <c r="W139" s="203">
        <f t="shared" si="42"/>
        <v>68.7498360377501</v>
      </c>
      <c r="X139" s="203">
        <f t="shared" si="42"/>
        <v>70.674831446807104</v>
      </c>
      <c r="Y139" s="203">
        <f t="shared" si="42"/>
        <v>72.653726727317704</v>
      </c>
      <c r="AA139" s="606">
        <f t="shared" si="26"/>
        <v>1134.3837438074788</v>
      </c>
      <c r="AB139" s="607">
        <f t="shared" si="39"/>
        <v>1134.3837438074788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2.1664072000000001</v>
      </c>
      <c r="G140" s="203">
        <f t="shared" ref="G140:Y140" si="43">G139*$C$140</f>
        <v>2.2270666016000003</v>
      </c>
      <c r="H140" s="203">
        <f t="shared" si="43"/>
        <v>2.2894244664448</v>
      </c>
      <c r="I140" s="203">
        <f t="shared" si="43"/>
        <v>2.3512389270388097</v>
      </c>
      <c r="J140" s="203">
        <f t="shared" si="43"/>
        <v>2.4147223780688574</v>
      </c>
      <c r="K140" s="203">
        <f t="shared" si="43"/>
        <v>2.4799198822767163</v>
      </c>
      <c r="L140" s="203">
        <f t="shared" si="43"/>
        <v>2.5468777190981875</v>
      </c>
      <c r="M140" s="203">
        <f t="shared" si="43"/>
        <v>2.6156434175138381</v>
      </c>
      <c r="N140" s="203">
        <f t="shared" si="43"/>
        <v>2.6862657897867113</v>
      </c>
      <c r="O140" s="203">
        <f t="shared" si="43"/>
        <v>2.7587949661109525</v>
      </c>
      <c r="P140" s="203">
        <f t="shared" si="43"/>
        <v>2.8332824301959478</v>
      </c>
      <c r="Q140" s="203">
        <f t="shared" si="43"/>
        <v>2.9126143382414345</v>
      </c>
      <c r="R140" s="203">
        <f t="shared" si="43"/>
        <v>2.9941675397121945</v>
      </c>
      <c r="S140" s="203">
        <f t="shared" si="43"/>
        <v>3.0780042308241362</v>
      </c>
      <c r="T140" s="203">
        <f t="shared" si="43"/>
        <v>3.1641883492872118</v>
      </c>
      <c r="U140" s="203">
        <f t="shared" si="43"/>
        <v>3.2527856230672541</v>
      </c>
      <c r="V140" s="203">
        <f t="shared" si="43"/>
        <v>3.3438636205131376</v>
      </c>
      <c r="W140" s="203">
        <f t="shared" si="43"/>
        <v>3.4374918018875054</v>
      </c>
      <c r="X140" s="203">
        <f t="shared" si="43"/>
        <v>3.5337415723403556</v>
      </c>
      <c r="Y140" s="203">
        <f t="shared" si="43"/>
        <v>3.6326863363658854</v>
      </c>
      <c r="AA140" s="606">
        <f t="shared" si="26"/>
        <v>56.719187190373923</v>
      </c>
      <c r="AB140" s="607">
        <f t="shared" si="39"/>
        <v>56.719187190373923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14.406607879999999</v>
      </c>
      <c r="G141" s="218">
        <f t="shared" ref="G141:Y141" si="44">(G139-G140)*$C$141</f>
        <v>14.809992900639999</v>
      </c>
      <c r="H141" s="218">
        <f t="shared" si="44"/>
        <v>15.224672701857919</v>
      </c>
      <c r="I141" s="218">
        <f t="shared" si="44"/>
        <v>15.635738864808083</v>
      </c>
      <c r="J141" s="218">
        <f t="shared" si="44"/>
        <v>16.057903814157896</v>
      </c>
      <c r="K141" s="218">
        <f t="shared" si="44"/>
        <v>16.491467217140158</v>
      </c>
      <c r="L141" s="218">
        <f t="shared" si="44"/>
        <v>16.936736832002943</v>
      </c>
      <c r="M141" s="218">
        <f t="shared" si="44"/>
        <v>17.39402872646702</v>
      </c>
      <c r="N141" s="218">
        <f t="shared" si="44"/>
        <v>17.863667502081629</v>
      </c>
      <c r="O141" s="218">
        <f t="shared" si="44"/>
        <v>18.34598652463783</v>
      </c>
      <c r="P141" s="218">
        <f t="shared" si="44"/>
        <v>18.841328160803048</v>
      </c>
      <c r="Q141" s="218">
        <f t="shared" si="44"/>
        <v>19.368885349305536</v>
      </c>
      <c r="R141" s="218">
        <f t="shared" si="44"/>
        <v>19.911214139086091</v>
      </c>
      <c r="S141" s="218">
        <f t="shared" si="44"/>
        <v>20.468728134980502</v>
      </c>
      <c r="T141" s="218">
        <f t="shared" si="44"/>
        <v>21.041852522759957</v>
      </c>
      <c r="U141" s="218">
        <f t="shared" si="44"/>
        <v>21.631024393397237</v>
      </c>
      <c r="V141" s="218">
        <f t="shared" si="44"/>
        <v>22.236693076412362</v>
      </c>
      <c r="W141" s="218">
        <f t="shared" si="44"/>
        <v>22.859320482551908</v>
      </c>
      <c r="X141" s="218">
        <f t="shared" si="44"/>
        <v>23.499381456063357</v>
      </c>
      <c r="Y141" s="218">
        <f t="shared" si="44"/>
        <v>24.157364136833138</v>
      </c>
      <c r="AA141" s="606">
        <f t="shared" si="26"/>
        <v>377.18259481598659</v>
      </c>
      <c r="AB141" s="607">
        <f t="shared" si="39"/>
        <v>377.18259481598659</v>
      </c>
    </row>
    <row r="142" spans="1:28" s="199" customFormat="1">
      <c r="A142" s="199" t="s">
        <v>82</v>
      </c>
      <c r="F142" s="203">
        <f>F139-F140-F141</f>
        <v>26.755128920000001</v>
      </c>
      <c r="G142" s="203">
        <f t="shared" ref="G142:Y142" si="45">G139-G140-G141</f>
        <v>27.504272529760001</v>
      </c>
      <c r="H142" s="203">
        <f t="shared" si="45"/>
        <v>28.27439216059328</v>
      </c>
      <c r="I142" s="203">
        <f t="shared" si="45"/>
        <v>29.0378007489293</v>
      </c>
      <c r="J142" s="203">
        <f t="shared" si="45"/>
        <v>29.821821369150385</v>
      </c>
      <c r="K142" s="203">
        <f t="shared" si="45"/>
        <v>30.627010546117443</v>
      </c>
      <c r="L142" s="203">
        <f t="shared" si="45"/>
        <v>31.453939830862616</v>
      </c>
      <c r="M142" s="203">
        <f t="shared" si="45"/>
        <v>32.303196206295901</v>
      </c>
      <c r="N142" s="203">
        <f t="shared" si="45"/>
        <v>33.17538250386589</v>
      </c>
      <c r="O142" s="203">
        <f t="shared" si="45"/>
        <v>34.071117831470261</v>
      </c>
      <c r="P142" s="203">
        <f t="shared" si="45"/>
        <v>34.991038012919958</v>
      </c>
      <c r="Q142" s="203">
        <f t="shared" si="45"/>
        <v>35.970787077281713</v>
      </c>
      <c r="R142" s="203">
        <f t="shared" si="45"/>
        <v>36.977969115445603</v>
      </c>
      <c r="S142" s="203">
        <f t="shared" si="45"/>
        <v>38.013352250678082</v>
      </c>
      <c r="T142" s="203">
        <f t="shared" si="45"/>
        <v>39.077726113697068</v>
      </c>
      <c r="U142" s="203">
        <f t="shared" si="45"/>
        <v>40.171902444880587</v>
      </c>
      <c r="V142" s="203">
        <f t="shared" si="45"/>
        <v>41.29671571333725</v>
      </c>
      <c r="W142" s="203">
        <f t="shared" si="45"/>
        <v>42.453023753310688</v>
      </c>
      <c r="X142" s="203">
        <f t="shared" si="45"/>
        <v>43.641708418403383</v>
      </c>
      <c r="Y142" s="203">
        <f t="shared" si="45"/>
        <v>44.863676254118687</v>
      </c>
      <c r="AA142" s="606">
        <f t="shared" si="26"/>
        <v>700.48196180111813</v>
      </c>
      <c r="AB142" s="607">
        <f t="shared" si="39"/>
        <v>700.48196180111813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2181.3065715285338</v>
      </c>
      <c r="G144" s="220">
        <f t="shared" ref="G144:Y144" si="46">G76</f>
        <v>2112.6826538953228</v>
      </c>
      <c r="H144" s="220">
        <f t="shared" si="46"/>
        <v>2262.9960685441538</v>
      </c>
      <c r="I144" s="220">
        <f t="shared" si="46"/>
        <v>2338.7586052795668</v>
      </c>
      <c r="J144" s="220">
        <f t="shared" si="46"/>
        <v>2491.9489900283625</v>
      </c>
      <c r="K144" s="220">
        <f t="shared" si="46"/>
        <v>2646.6311029289272</v>
      </c>
      <c r="L144" s="220">
        <f t="shared" si="46"/>
        <v>2724.897374550771</v>
      </c>
      <c r="M144" s="220">
        <f t="shared" si="46"/>
        <v>2365.7168944883451</v>
      </c>
      <c r="N144" s="220">
        <f t="shared" si="46"/>
        <v>1146.5458731814033</v>
      </c>
      <c r="O144" s="220">
        <f t="shared" si="46"/>
        <v>1208.6078874778818</v>
      </c>
      <c r="P144" s="220">
        <f t="shared" si="46"/>
        <v>1274.7600086698694</v>
      </c>
      <c r="Q144" s="220">
        <f t="shared" si="46"/>
        <v>1342.7180353292581</v>
      </c>
      <c r="R144" s="220">
        <f t="shared" si="46"/>
        <v>1383.4263647078196</v>
      </c>
      <c r="S144" s="220">
        <f t="shared" si="46"/>
        <v>1454.3172429429733</v>
      </c>
      <c r="T144" s="220">
        <f t="shared" si="46"/>
        <v>1527.1906133729967</v>
      </c>
      <c r="U144" s="220">
        <f t="shared" si="46"/>
        <v>1602.101941189886</v>
      </c>
      <c r="V144" s="220">
        <f t="shared" si="46"/>
        <v>1679.1082413025986</v>
      </c>
      <c r="W144" s="220">
        <f t="shared" si="46"/>
        <v>1758.2681292319812</v>
      </c>
      <c r="X144" s="220">
        <f t="shared" si="46"/>
        <v>1839.6418583712184</v>
      </c>
      <c r="Y144" s="220">
        <f t="shared" si="46"/>
        <v>1923.2913683527611</v>
      </c>
      <c r="AA144" s="606">
        <f t="shared" si="26"/>
        <v>37264.915825374628</v>
      </c>
      <c r="AB144" s="607">
        <f t="shared" si="39"/>
        <v>37264.915825374628</v>
      </c>
    </row>
    <row r="145" spans="1:28" s="199" customFormat="1">
      <c r="A145" s="124" t="s">
        <v>91</v>
      </c>
      <c r="F145" s="213">
        <f>F142+F144</f>
        <v>2208.0617004485339</v>
      </c>
      <c r="G145" s="213">
        <f t="shared" ref="G145:Y145" si="47">G142+G144</f>
        <v>2140.1869264250827</v>
      </c>
      <c r="H145" s="213">
        <f t="shared" si="47"/>
        <v>2291.2704607047472</v>
      </c>
      <c r="I145" s="213">
        <f t="shared" si="47"/>
        <v>2367.7964060284962</v>
      </c>
      <c r="J145" s="213">
        <f t="shared" si="47"/>
        <v>2521.7708113975127</v>
      </c>
      <c r="K145" s="213">
        <f t="shared" si="47"/>
        <v>2677.2581134750449</v>
      </c>
      <c r="L145" s="213">
        <f t="shared" si="47"/>
        <v>2756.3513143816335</v>
      </c>
      <c r="M145" s="213">
        <f t="shared" si="47"/>
        <v>2398.0200906946411</v>
      </c>
      <c r="N145" s="213">
        <f t="shared" si="47"/>
        <v>1179.7212556852692</v>
      </c>
      <c r="O145" s="213">
        <f t="shared" si="47"/>
        <v>1242.6790053093521</v>
      </c>
      <c r="P145" s="213">
        <f t="shared" si="47"/>
        <v>1309.7510466827894</v>
      </c>
      <c r="Q145" s="213">
        <f t="shared" si="47"/>
        <v>1378.6888224065399</v>
      </c>
      <c r="R145" s="213">
        <f t="shared" si="47"/>
        <v>1420.4043338232652</v>
      </c>
      <c r="S145" s="213">
        <f t="shared" si="47"/>
        <v>1492.3305951936513</v>
      </c>
      <c r="T145" s="213">
        <f t="shared" si="47"/>
        <v>1566.2683394866938</v>
      </c>
      <c r="U145" s="213">
        <f t="shared" si="47"/>
        <v>1642.2738436347665</v>
      </c>
      <c r="V145" s="213">
        <f t="shared" si="47"/>
        <v>1720.4049570159359</v>
      </c>
      <c r="W145" s="213">
        <f t="shared" si="47"/>
        <v>1800.7211529852918</v>
      </c>
      <c r="X145" s="213">
        <f t="shared" si="47"/>
        <v>1883.2835667896218</v>
      </c>
      <c r="Y145" s="213">
        <f t="shared" si="47"/>
        <v>1968.1550446068798</v>
      </c>
      <c r="AA145" s="606">
        <f t="shared" si="26"/>
        <v>37965.397787175752</v>
      </c>
      <c r="AB145" s="607">
        <f t="shared" si="39"/>
        <v>37965.397787175752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26.755128920000001</v>
      </c>
      <c r="G150" s="200">
        <f t="shared" ref="G150:Y150" si="48">G142</f>
        <v>27.504272529760001</v>
      </c>
      <c r="H150" s="200">
        <f t="shared" si="48"/>
        <v>28.27439216059328</v>
      </c>
      <c r="I150" s="200">
        <f t="shared" si="48"/>
        <v>29.0378007489293</v>
      </c>
      <c r="J150" s="200">
        <f t="shared" si="48"/>
        <v>29.821821369150385</v>
      </c>
      <c r="K150" s="200">
        <f t="shared" si="48"/>
        <v>30.627010546117443</v>
      </c>
      <c r="L150" s="200">
        <f t="shared" si="48"/>
        <v>31.453939830862616</v>
      </c>
      <c r="M150" s="200">
        <f t="shared" si="48"/>
        <v>32.303196206295901</v>
      </c>
      <c r="N150" s="200">
        <f t="shared" si="48"/>
        <v>33.17538250386589</v>
      </c>
      <c r="O150" s="200">
        <f t="shared" si="48"/>
        <v>34.071117831470261</v>
      </c>
      <c r="P150" s="200">
        <f t="shared" si="48"/>
        <v>34.991038012919958</v>
      </c>
      <c r="Q150" s="200">
        <f t="shared" si="48"/>
        <v>35.970787077281713</v>
      </c>
      <c r="R150" s="200">
        <f t="shared" si="48"/>
        <v>36.977969115445603</v>
      </c>
      <c r="S150" s="200">
        <f t="shared" si="48"/>
        <v>38.013352250678082</v>
      </c>
      <c r="T150" s="200">
        <f t="shared" si="48"/>
        <v>39.077726113697068</v>
      </c>
      <c r="U150" s="200">
        <f t="shared" si="48"/>
        <v>40.171902444880587</v>
      </c>
      <c r="V150" s="200">
        <f t="shared" si="48"/>
        <v>41.29671571333725</v>
      </c>
      <c r="W150" s="200">
        <f t="shared" si="48"/>
        <v>42.453023753310688</v>
      </c>
      <c r="X150" s="200">
        <f t="shared" si="48"/>
        <v>43.641708418403383</v>
      </c>
      <c r="Y150" s="200">
        <f t="shared" si="48"/>
        <v>44.863676254118687</v>
      </c>
      <c r="AA150" s="606">
        <f t="shared" si="26"/>
        <v>700.48196180111813</v>
      </c>
      <c r="AB150" s="607">
        <f t="shared" si="39"/>
        <v>700.48196180111813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26.755128920000001</v>
      </c>
      <c r="G152" s="200">
        <f t="shared" ref="G152:Y152" si="49">G150+G151</f>
        <v>27.504272529760001</v>
      </c>
      <c r="H152" s="200">
        <f t="shared" si="49"/>
        <v>28.27439216059328</v>
      </c>
      <c r="I152" s="200">
        <f t="shared" si="49"/>
        <v>29.0378007489293</v>
      </c>
      <c r="J152" s="200">
        <f t="shared" si="49"/>
        <v>29.821821369150385</v>
      </c>
      <c r="K152" s="200">
        <f t="shared" si="49"/>
        <v>30.627010546117443</v>
      </c>
      <c r="L152" s="200">
        <f t="shared" si="49"/>
        <v>31.453939830862616</v>
      </c>
      <c r="M152" s="200">
        <f t="shared" si="49"/>
        <v>32.303196206295901</v>
      </c>
      <c r="N152" s="200">
        <f t="shared" si="49"/>
        <v>33.17538250386589</v>
      </c>
      <c r="O152" s="200">
        <f t="shared" si="49"/>
        <v>34.071117831470261</v>
      </c>
      <c r="P152" s="200">
        <f t="shared" si="49"/>
        <v>34.991038012919958</v>
      </c>
      <c r="Q152" s="200">
        <f t="shared" si="49"/>
        <v>35.970787077281713</v>
      </c>
      <c r="R152" s="200">
        <f t="shared" si="49"/>
        <v>36.977969115445603</v>
      </c>
      <c r="S152" s="200">
        <f t="shared" si="49"/>
        <v>38.013352250678082</v>
      </c>
      <c r="T152" s="200">
        <f t="shared" si="49"/>
        <v>39.077726113697068</v>
      </c>
      <c r="U152" s="200">
        <f t="shared" si="49"/>
        <v>40.171902444880587</v>
      </c>
      <c r="V152" s="200">
        <f t="shared" si="49"/>
        <v>41.29671571333725</v>
      </c>
      <c r="W152" s="200">
        <f t="shared" si="49"/>
        <v>42.453023753310688</v>
      </c>
      <c r="X152" s="200">
        <f t="shared" si="49"/>
        <v>43.641708418403383</v>
      </c>
      <c r="Y152" s="200">
        <f t="shared" si="49"/>
        <v>44.863676254118687</v>
      </c>
      <c r="AA152" s="606">
        <f t="shared" si="26"/>
        <v>700.48196180111813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296.49658246708447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44008.24688842109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296.49658246708447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44304.743470888177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[15]ASSUME2!F$35</f>
        <v>3670.9667854619702</v>
      </c>
      <c r="F10" s="336">
        <f>[15]ASSUME2!G$35</f>
        <v>3670.9667854619702</v>
      </c>
      <c r="G10" s="336">
        <f>[15]ASSUME2!H$35</f>
        <v>3670.9667854619702</v>
      </c>
      <c r="H10" s="336">
        <f>[15]ASSUME2!I$35</f>
        <v>3670.9667854619702</v>
      </c>
      <c r="I10" s="336">
        <f>[15]ASSUME2!J$35</f>
        <v>3670.9667854619702</v>
      </c>
      <c r="J10" s="336">
        <f>[15]ASSUME2!K$35</f>
        <v>3670.9667854619702</v>
      </c>
      <c r="K10" s="336">
        <f>[15]ASSUME2!L$35</f>
        <v>3670.9667854619702</v>
      </c>
      <c r="L10" s="336">
        <f>[15]ASSUME2!M$35</f>
        <v>3670.9667854619702</v>
      </c>
      <c r="M10" s="336">
        <f>[15]ASSUME2!N$35</f>
        <v>3670.9667854619702</v>
      </c>
      <c r="N10" s="336">
        <f>[15]ASSUME2!O$35</f>
        <v>3670.9667854619702</v>
      </c>
      <c r="O10" s="336">
        <f>[15]ASSUME2!P$35</f>
        <v>3670.9667854619702</v>
      </c>
      <c r="P10" s="336">
        <f>[15]ASSUME2!Q$35</f>
        <v>3670.9667854619702</v>
      </c>
      <c r="Q10" s="336">
        <f>[15]ASSUME2!R$35</f>
        <v>3670.9667854619702</v>
      </c>
      <c r="R10" s="336">
        <f>[15]ASSUME2!S$35</f>
        <v>3670.9667854619702</v>
      </c>
      <c r="S10" s="336">
        <f>[15]ASSUME2!T$35</f>
        <v>3670.9667854619702</v>
      </c>
      <c r="T10" s="336">
        <f>[15]ASSUME2!U$35</f>
        <v>3145.4366894851851</v>
      </c>
      <c r="U10" s="336">
        <f>[15]ASSUME2!V$35</f>
        <v>61.326747271944015</v>
      </c>
      <c r="V10" s="336">
        <f>[15]ASSUME2!W$35</f>
        <v>0</v>
      </c>
      <c r="W10" s="336">
        <f>[15]ASSUME2!X$35</f>
        <v>0</v>
      </c>
      <c r="X10" s="336">
        <f>[15]ASSUME2!Y$35</f>
        <v>0</v>
      </c>
      <c r="Y10" s="336">
        <f>[15]ASSUME2!Z$35</f>
        <v>0</v>
      </c>
      <c r="AA10" s="606">
        <f t="shared" ref="AA10:AA38" si="1">SUM(F10:Y10)</f>
        <v>54600.298433224707</v>
      </c>
      <c r="AB10" s="607">
        <f>AA10*$C$60</f>
        <v>27300.149216612353</v>
      </c>
    </row>
    <row r="11" spans="1:28">
      <c r="A11" s="4" t="s">
        <v>9</v>
      </c>
      <c r="B11" s="12"/>
      <c r="C11" s="12"/>
      <c r="D11" s="90">
        <v>1</v>
      </c>
      <c r="E11" s="336">
        <f>[15]ASSUME2!F$36</f>
        <v>5897.1771012570371</v>
      </c>
      <c r="F11" s="336">
        <f>[15]ASSUME2!G$36</f>
        <v>5716.3961435057472</v>
      </c>
      <c r="G11" s="336">
        <f>[15]ASSUME2!H$36</f>
        <v>5539.4873773973986</v>
      </c>
      <c r="H11" s="336">
        <f>[15]ASSUME2!I$36</f>
        <v>5733.6275785143134</v>
      </c>
      <c r="I11" s="336">
        <f>[15]ASSUME2!J$36</f>
        <v>5934.0126100762009</v>
      </c>
      <c r="J11" s="336">
        <f>[15]ASSUME2!K$36</f>
        <v>6140.8333759796124</v>
      </c>
      <c r="K11" s="336">
        <f>[15]ASSUME2!L$36</f>
        <v>6354.2864222968956</v>
      </c>
      <c r="L11" s="336">
        <f>[15]ASSUME2!M$36</f>
        <v>6399.1116936862609</v>
      </c>
      <c r="M11" s="336">
        <f>[15]ASSUME2!N$36</f>
        <v>6442.206799631158</v>
      </c>
      <c r="N11" s="336">
        <f>[15]ASSUME2!O$36</f>
        <v>6483.4572160647449</v>
      </c>
      <c r="O11" s="336">
        <f>[15]ASSUME2!P$36</f>
        <v>6522.7437740702435</v>
      </c>
      <c r="P11" s="336">
        <f>[15]ASSUME2!Q$36</f>
        <v>6659.2024722344167</v>
      </c>
      <c r="Q11" s="336">
        <f>[15]ASSUME2!R$36</f>
        <v>6798.4073904480074</v>
      </c>
      <c r="R11" s="336">
        <f>[15]ASSUME2!S$36</f>
        <v>6940.4105530271327</v>
      </c>
      <c r="S11" s="336">
        <f>[15]ASSUME2!T$36</f>
        <v>7085.2648691161812</v>
      </c>
      <c r="T11" s="336">
        <f>[15]ASSUME2!U$36</f>
        <v>7144.8328686362729</v>
      </c>
      <c r="U11" s="336">
        <f>[15]ASSUME2!V$36</f>
        <v>7202.9509775891702</v>
      </c>
      <c r="V11" s="336">
        <f>[15]ASSUME2!W$36</f>
        <v>7202.9509775891702</v>
      </c>
      <c r="W11" s="336">
        <f>[15]ASSUME2!X$36</f>
        <v>7314.3940456363507</v>
      </c>
      <c r="X11" s="336">
        <f>[15]ASSUME2!Y$36</f>
        <v>7497.2538967772571</v>
      </c>
      <c r="Y11" s="336">
        <f>[15]ASSUME2!Z$36</f>
        <v>7684.6852441966885</v>
      </c>
      <c r="AA11" s="606">
        <f t="shared" si="1"/>
        <v>132796.5162864732</v>
      </c>
      <c r="AB11" s="607">
        <f t="shared" ref="AB11:AB74" si="2">AA11*$C$60</f>
        <v>66398.258143236599</v>
      </c>
    </row>
    <row r="12" spans="1:28">
      <c r="A12" s="4" t="s">
        <v>10</v>
      </c>
      <c r="B12" s="12"/>
      <c r="C12" s="12"/>
      <c r="D12" s="90">
        <v>1</v>
      </c>
      <c r="E12" s="336">
        <v>0</v>
      </c>
      <c r="F12" s="336">
        <v>0</v>
      </c>
      <c r="G12" s="336">
        <v>0</v>
      </c>
      <c r="H12" s="336">
        <v>0</v>
      </c>
      <c r="I12" s="336">
        <v>0</v>
      </c>
      <c r="J12" s="336">
        <v>0</v>
      </c>
      <c r="K12" s="336">
        <v>0</v>
      </c>
      <c r="L12" s="336">
        <v>0</v>
      </c>
      <c r="M12" s="336">
        <v>0</v>
      </c>
      <c r="N12" s="336">
        <v>0</v>
      </c>
      <c r="O12" s="336">
        <v>0</v>
      </c>
      <c r="P12" s="336">
        <v>0</v>
      </c>
      <c r="Q12" s="336">
        <v>0</v>
      </c>
      <c r="R12" s="336">
        <v>0</v>
      </c>
      <c r="S12" s="336">
        <v>0</v>
      </c>
      <c r="T12" s="336">
        <v>0</v>
      </c>
      <c r="U12" s="336">
        <v>0</v>
      </c>
      <c r="V12" s="336">
        <v>0</v>
      </c>
      <c r="W12" s="336">
        <v>0</v>
      </c>
      <c r="X12" s="336">
        <v>0</v>
      </c>
      <c r="Y12" s="336"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>
        <v>0</v>
      </c>
      <c r="F15" s="336">
        <v>0</v>
      </c>
      <c r="G15" s="336">
        <v>0</v>
      </c>
      <c r="H15" s="336">
        <v>0</v>
      </c>
      <c r="I15" s="336">
        <v>0</v>
      </c>
      <c r="J15" s="336">
        <v>0</v>
      </c>
      <c r="K15" s="336">
        <v>0</v>
      </c>
      <c r="L15" s="336">
        <v>0</v>
      </c>
      <c r="M15" s="336">
        <v>0</v>
      </c>
      <c r="N15" s="336">
        <v>0</v>
      </c>
      <c r="O15" s="336">
        <v>0</v>
      </c>
      <c r="P15" s="336">
        <v>0</v>
      </c>
      <c r="Q15" s="336">
        <v>0</v>
      </c>
      <c r="R15" s="336">
        <v>0</v>
      </c>
      <c r="S15" s="336">
        <v>0</v>
      </c>
      <c r="T15" s="336">
        <v>0</v>
      </c>
      <c r="U15" s="336">
        <v>0</v>
      </c>
      <c r="V15" s="336">
        <v>0</v>
      </c>
      <c r="W15" s="336">
        <v>0</v>
      </c>
      <c r="X15" s="336">
        <v>0</v>
      </c>
      <c r="Y15" s="336">
        <v>0</v>
      </c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>
        <v>0</v>
      </c>
      <c r="F16" s="336">
        <v>0</v>
      </c>
      <c r="G16" s="336">
        <v>0</v>
      </c>
      <c r="H16" s="336">
        <v>0</v>
      </c>
      <c r="I16" s="336">
        <v>0</v>
      </c>
      <c r="J16" s="336">
        <v>0</v>
      </c>
      <c r="K16" s="336">
        <v>0</v>
      </c>
      <c r="L16" s="336">
        <v>0</v>
      </c>
      <c r="M16" s="336">
        <v>0</v>
      </c>
      <c r="N16" s="336">
        <v>0</v>
      </c>
      <c r="O16" s="336">
        <v>0</v>
      </c>
      <c r="P16" s="336">
        <v>0</v>
      </c>
      <c r="Q16" s="336">
        <v>0</v>
      </c>
      <c r="R16" s="336">
        <v>0</v>
      </c>
      <c r="S16" s="336">
        <v>0</v>
      </c>
      <c r="T16" s="336">
        <v>0</v>
      </c>
      <c r="U16" s="336">
        <v>0</v>
      </c>
      <c r="V16" s="336">
        <v>0</v>
      </c>
      <c r="W16" s="336">
        <v>0</v>
      </c>
      <c r="X16" s="336">
        <v>0</v>
      </c>
      <c r="Y16" s="336">
        <v>0</v>
      </c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>
        <v>0</v>
      </c>
      <c r="F17" s="336">
        <v>0</v>
      </c>
      <c r="G17" s="336">
        <v>0</v>
      </c>
      <c r="H17" s="336">
        <v>0</v>
      </c>
      <c r="I17" s="336">
        <v>0</v>
      </c>
      <c r="J17" s="336">
        <v>0</v>
      </c>
      <c r="K17" s="336">
        <v>0</v>
      </c>
      <c r="L17" s="336">
        <v>0</v>
      </c>
      <c r="M17" s="336">
        <v>0</v>
      </c>
      <c r="N17" s="336">
        <v>0</v>
      </c>
      <c r="O17" s="336">
        <v>0</v>
      </c>
      <c r="P17" s="336">
        <v>0</v>
      </c>
      <c r="Q17" s="336">
        <v>0</v>
      </c>
      <c r="R17" s="336">
        <v>0</v>
      </c>
      <c r="S17" s="336">
        <v>0</v>
      </c>
      <c r="T17" s="336">
        <v>0</v>
      </c>
      <c r="U17" s="336">
        <v>0</v>
      </c>
      <c r="V17" s="336">
        <v>0</v>
      </c>
      <c r="W17" s="336">
        <v>0</v>
      </c>
      <c r="X17" s="336">
        <v>0</v>
      </c>
      <c r="Y17" s="336">
        <v>0</v>
      </c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9568.1438867190082</v>
      </c>
      <c r="F20" s="90">
        <f t="shared" si="3"/>
        <v>9387.3629289677174</v>
      </c>
      <c r="G20" s="90">
        <f t="shared" si="3"/>
        <v>9210.4541628593688</v>
      </c>
      <c r="H20" s="90">
        <f t="shared" si="3"/>
        <v>9404.5943639762845</v>
      </c>
      <c r="I20" s="90">
        <f t="shared" si="3"/>
        <v>9604.979395538172</v>
      </c>
      <c r="J20" s="90">
        <f t="shared" si="3"/>
        <v>9811.8001614415825</v>
      </c>
      <c r="K20" s="90">
        <f t="shared" si="3"/>
        <v>10025.253207758866</v>
      </c>
      <c r="L20" s="90">
        <f t="shared" si="3"/>
        <v>10070.078479148231</v>
      </c>
      <c r="M20" s="90">
        <f t="shared" si="3"/>
        <v>10113.173585093129</v>
      </c>
      <c r="N20" s="90">
        <f t="shared" si="3"/>
        <v>10154.424001526715</v>
      </c>
      <c r="O20" s="90">
        <f t="shared" si="3"/>
        <v>10193.710559532214</v>
      </c>
      <c r="P20" s="90">
        <f t="shared" si="3"/>
        <v>10330.169257696387</v>
      </c>
      <c r="Q20" s="90">
        <f t="shared" si="3"/>
        <v>10469.374175909978</v>
      </c>
      <c r="R20" s="90">
        <f t="shared" si="3"/>
        <v>10611.377338489103</v>
      </c>
      <c r="S20" s="90">
        <f t="shared" si="3"/>
        <v>10756.23165457815</v>
      </c>
      <c r="T20" s="90">
        <f t="shared" si="3"/>
        <v>10290.269558121458</v>
      </c>
      <c r="U20" s="90">
        <f t="shared" si="3"/>
        <v>7264.2777248611146</v>
      </c>
      <c r="V20" s="90">
        <f t="shared" si="3"/>
        <v>7202.9509775891702</v>
      </c>
      <c r="W20" s="90">
        <f t="shared" si="3"/>
        <v>7314.3940456363507</v>
      </c>
      <c r="X20" s="90">
        <f t="shared" si="3"/>
        <v>7497.2538967772571</v>
      </c>
      <c r="Y20" s="90">
        <f t="shared" si="3"/>
        <v>7684.6852441966885</v>
      </c>
      <c r="AA20" s="606">
        <f t="shared" si="1"/>
        <v>187396.81471969793</v>
      </c>
      <c r="AB20" s="607">
        <f t="shared" si="2"/>
        <v>93698.407359848963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>
        <v>0</v>
      </c>
      <c r="F24" s="336">
        <v>0</v>
      </c>
      <c r="G24" s="336">
        <v>0</v>
      </c>
      <c r="H24" s="336">
        <v>0</v>
      </c>
      <c r="I24" s="336">
        <v>0</v>
      </c>
      <c r="J24" s="336">
        <v>0</v>
      </c>
      <c r="K24" s="336">
        <v>0</v>
      </c>
      <c r="L24" s="336">
        <v>0</v>
      </c>
      <c r="M24" s="336">
        <v>0</v>
      </c>
      <c r="N24" s="336">
        <v>0</v>
      </c>
      <c r="O24" s="336">
        <v>0</v>
      </c>
      <c r="P24" s="336">
        <v>0</v>
      </c>
      <c r="Q24" s="336">
        <v>0</v>
      </c>
      <c r="R24" s="336">
        <v>0</v>
      </c>
      <c r="S24" s="336">
        <v>0</v>
      </c>
      <c r="T24" s="336">
        <v>0</v>
      </c>
      <c r="U24" s="336">
        <v>0</v>
      </c>
      <c r="V24" s="336">
        <v>0</v>
      </c>
      <c r="W24" s="336">
        <v>0</v>
      </c>
      <c r="X24" s="336">
        <v>0</v>
      </c>
      <c r="Y24" s="336">
        <v>0</v>
      </c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[15]FINANCIALS!F$14+[15]FINANCIALS!F$17</f>
        <v>1215.2702157845742</v>
      </c>
      <c r="F25" s="336">
        <f>[15]FINANCIALS!G$14+[15]FINANCIALS!G$17</f>
        <v>1321.312677791632</v>
      </c>
      <c r="G25" s="336">
        <f>[15]FINANCIALS!H$14+[15]FINANCIALS!H$17</f>
        <v>1353.402622336959</v>
      </c>
      <c r="H25" s="336">
        <f>[15]FINANCIALS!I$14+[15]FINANCIALS!I$17</f>
        <v>1382.1101451477114</v>
      </c>
      <c r="I25" s="336">
        <f>[15]FINANCIALS!J$14+[15]FINANCIALS!J$17</f>
        <v>1430.6990091665625</v>
      </c>
      <c r="J25" s="336">
        <f>[15]FINANCIALS!K$14+[15]FINANCIALS!K$17</f>
        <v>1441.6593939396607</v>
      </c>
      <c r="K25" s="336">
        <f>[15]FINANCIALS!L$14+[15]FINANCIALS!L$17</f>
        <v>1553.084359222519</v>
      </c>
      <c r="L25" s="336">
        <f>[15]FINANCIALS!M$14+[15]FINANCIALS!M$17</f>
        <v>1516.4518535127713</v>
      </c>
      <c r="M25" s="336">
        <f>[15]FINANCIALS!N$14+[15]FINANCIALS!N$17</f>
        <v>1521.8539577055985</v>
      </c>
      <c r="N25" s="336">
        <f>[15]FINANCIALS!O$14+[15]FINANCIALS!O$17</f>
        <v>1547.4257621933748</v>
      </c>
      <c r="O25" s="336">
        <f>[15]FINANCIALS!P$14+[15]FINANCIALS!P$17</f>
        <v>1592.6338446705267</v>
      </c>
      <c r="P25" s="336">
        <f>[15]FINANCIALS!Q$14+[15]FINANCIALS!Q$17</f>
        <v>1684.4441877865797</v>
      </c>
      <c r="Q25" s="336">
        <f>[15]FINANCIALS!R$14+[15]FINANCIALS!R$17</f>
        <v>1636.7364428329831</v>
      </c>
      <c r="R25" s="336">
        <f>[15]FINANCIALS!S$14+[15]FINANCIALS!S$17</f>
        <v>1688.9599411316603</v>
      </c>
      <c r="S25" s="336">
        <f>[15]FINANCIALS!T$14+[15]FINANCIALS!T$17</f>
        <v>1703.5205090213876</v>
      </c>
      <c r="T25" s="336">
        <f>[15]FINANCIALS!U$14+[15]FINANCIALS!U$17</f>
        <v>1740.6050285311492</v>
      </c>
      <c r="U25" s="336">
        <f>[15]FINANCIALS!V$14+[15]FINANCIALS!V$17</f>
        <v>1700.4578303503122</v>
      </c>
      <c r="V25" s="336">
        <f>[15]FINANCIALS!W$14+[15]FINANCIALS!W$17</f>
        <v>1628.2088796435469</v>
      </c>
      <c r="W25" s="336">
        <f>[15]FINANCIALS!X$14+[15]FINANCIALS!X$17</f>
        <v>1664.457103175999</v>
      </c>
      <c r="X25" s="336">
        <f>[15]FINANCIALS!Y$14+[15]FINANCIALS!Y$17</f>
        <v>1723.9592799321629</v>
      </c>
      <c r="Y25" s="336">
        <f>[15]FINANCIALS!Z$14+[15]FINANCIALS!Z$17</f>
        <v>1746.0030430436425</v>
      </c>
      <c r="AA25" s="606">
        <f t="shared" si="1"/>
        <v>31577.985871136731</v>
      </c>
      <c r="AB25" s="607">
        <f t="shared" si="2"/>
        <v>15788.992935568365</v>
      </c>
    </row>
    <row r="26" spans="1:28">
      <c r="A26" s="4" t="s">
        <v>18</v>
      </c>
      <c r="D26" s="90">
        <v>0</v>
      </c>
      <c r="E26" s="336">
        <v>0</v>
      </c>
      <c r="F26" s="336">
        <v>0</v>
      </c>
      <c r="G26" s="336">
        <v>0</v>
      </c>
      <c r="H26" s="336">
        <v>0</v>
      </c>
      <c r="I26" s="336">
        <v>0</v>
      </c>
      <c r="J26" s="336">
        <v>0</v>
      </c>
      <c r="K26" s="336">
        <v>0</v>
      </c>
      <c r="L26" s="336">
        <v>0</v>
      </c>
      <c r="M26" s="336">
        <v>0</v>
      </c>
      <c r="N26" s="336">
        <v>0</v>
      </c>
      <c r="O26" s="336">
        <v>0</v>
      </c>
      <c r="P26" s="336">
        <v>0</v>
      </c>
      <c r="Q26" s="336">
        <v>0</v>
      </c>
      <c r="R26" s="336">
        <v>0</v>
      </c>
      <c r="S26" s="336">
        <v>0</v>
      </c>
      <c r="T26" s="336">
        <v>0</v>
      </c>
      <c r="U26" s="336">
        <v>0</v>
      </c>
      <c r="V26" s="336">
        <v>0</v>
      </c>
      <c r="W26" s="336">
        <v>0</v>
      </c>
      <c r="X26" s="336">
        <v>0</v>
      </c>
      <c r="Y26" s="336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>
        <v>0</v>
      </c>
      <c r="F27" s="336">
        <v>0</v>
      </c>
      <c r="G27" s="336">
        <v>0</v>
      </c>
      <c r="H27" s="336">
        <v>0</v>
      </c>
      <c r="I27" s="336">
        <v>0</v>
      </c>
      <c r="J27" s="336">
        <v>0</v>
      </c>
      <c r="K27" s="336">
        <v>0</v>
      </c>
      <c r="L27" s="336">
        <v>0</v>
      </c>
      <c r="M27" s="336">
        <v>0</v>
      </c>
      <c r="N27" s="336">
        <v>0</v>
      </c>
      <c r="O27" s="336">
        <v>0</v>
      </c>
      <c r="P27" s="336">
        <v>0</v>
      </c>
      <c r="Q27" s="336">
        <v>0</v>
      </c>
      <c r="R27" s="336">
        <v>0</v>
      </c>
      <c r="S27" s="336">
        <v>0</v>
      </c>
      <c r="T27" s="336">
        <v>0</v>
      </c>
      <c r="U27" s="336">
        <v>0</v>
      </c>
      <c r="V27" s="336">
        <v>0</v>
      </c>
      <c r="W27" s="336">
        <v>0</v>
      </c>
      <c r="X27" s="336">
        <v>0</v>
      </c>
      <c r="Y27" s="336">
        <v>0</v>
      </c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[15]FINANCIALS!F$19</f>
        <v>103.3815</v>
      </c>
      <c r="F28" s="336">
        <f>[15]FINANCIALS!G$19</f>
        <v>105.9660375</v>
      </c>
      <c r="G28" s="336">
        <f>[15]FINANCIALS!H$19</f>
        <v>108.61518843749998</v>
      </c>
      <c r="H28" s="336">
        <f>[15]FINANCIALS!I$19</f>
        <v>111.33056814843748</v>
      </c>
      <c r="I28" s="336">
        <f>[15]FINANCIALS!J$19</f>
        <v>114.11383235214841</v>
      </c>
      <c r="J28" s="336">
        <f>[15]FINANCIALS!K$19</f>
        <v>116.9666781609521</v>
      </c>
      <c r="K28" s="336">
        <f>[15]FINANCIALS!L$19</f>
        <v>119.89084511497589</v>
      </c>
      <c r="L28" s="336">
        <f>[15]FINANCIALS!M$19</f>
        <v>122.88811624285026</v>
      </c>
      <c r="M28" s="336">
        <f>[15]FINANCIALS!N$19</f>
        <v>125.9603191489215</v>
      </c>
      <c r="N28" s="336">
        <f>[15]FINANCIALS!O$19</f>
        <v>129.10932712764455</v>
      </c>
      <c r="O28" s="336">
        <f>[15]FINANCIALS!P$19</f>
        <v>132.33706030583565</v>
      </c>
      <c r="P28" s="336">
        <f>[15]FINANCIALS!Q$19</f>
        <v>135.64548681348154</v>
      </c>
      <c r="Q28" s="336">
        <f>[15]FINANCIALS!R$19</f>
        <v>139.03662398381854</v>
      </c>
      <c r="R28" s="336">
        <f>[15]FINANCIALS!S$19</f>
        <v>142.512539583414</v>
      </c>
      <c r="S28" s="336">
        <f>[15]FINANCIALS!T$19</f>
        <v>146.07535307299932</v>
      </c>
      <c r="T28" s="336">
        <f>[15]FINANCIALS!U$19</f>
        <v>149.72723689982431</v>
      </c>
      <c r="U28" s="336">
        <f>[15]FINANCIALS!V$19</f>
        <v>153.47041782231989</v>
      </c>
      <c r="V28" s="336">
        <f>[15]FINANCIALS!W$19</f>
        <v>157.30717826787787</v>
      </c>
      <c r="W28" s="336">
        <f>[15]FINANCIALS!X$19</f>
        <v>161.23985772457479</v>
      </c>
      <c r="X28" s="336">
        <f>[15]FINANCIALS!Y$19</f>
        <v>165.27085416768915</v>
      </c>
      <c r="Y28" s="336">
        <f>[15]FINANCIALS!Z$19</f>
        <v>169.40262552188136</v>
      </c>
      <c r="AA28" s="606">
        <f t="shared" si="1"/>
        <v>2706.8661463971471</v>
      </c>
      <c r="AB28" s="607">
        <f t="shared" si="2"/>
        <v>1353.4330731985735</v>
      </c>
    </row>
    <row r="29" spans="1:28">
      <c r="A29" s="4" t="s">
        <v>4</v>
      </c>
      <c r="D29" s="90">
        <v>0</v>
      </c>
      <c r="E29" s="336">
        <f>[15]FINANCIALS!F$20+[15]FINANCIALS!F$22</f>
        <v>78.796874999999986</v>
      </c>
      <c r="F29" s="336">
        <f>[15]FINANCIALS!G$20+[15]FINANCIALS!G$22</f>
        <v>80.766796874999997</v>
      </c>
      <c r="G29" s="336">
        <f>[15]FINANCIALS!H$20+[15]FINANCIALS!H$22</f>
        <v>82.785966796874987</v>
      </c>
      <c r="H29" s="336">
        <f>[15]FINANCIALS!I$20+[15]FINANCIALS!I$22</f>
        <v>84.855615966796847</v>
      </c>
      <c r="I29" s="336">
        <f>[15]FINANCIALS!J$20+[15]FINANCIALS!J$22</f>
        <v>86.977006365966758</v>
      </c>
      <c r="J29" s="336">
        <f>[15]FINANCIALS!K$20+[15]FINANCIALS!K$22</f>
        <v>89.151431525115925</v>
      </c>
      <c r="K29" s="336">
        <f>[15]FINANCIALS!L$20+[15]FINANCIALS!L$22</f>
        <v>91.380217313243804</v>
      </c>
      <c r="L29" s="336">
        <f>[15]FINANCIALS!M$20+[15]FINANCIALS!M$22</f>
        <v>93.664722746074887</v>
      </c>
      <c r="M29" s="336">
        <f>[15]FINANCIALS!N$20+[15]FINANCIALS!N$22</f>
        <v>96.006340814726741</v>
      </c>
      <c r="N29" s="336">
        <f>[15]FINANCIALS!O$20+[15]FINANCIALS!O$22</f>
        <v>98.406499335094907</v>
      </c>
      <c r="O29" s="336">
        <f>[15]FINANCIALS!P$20+[15]FINANCIALS!P$22</f>
        <v>100.86666181847228</v>
      </c>
      <c r="P29" s="336">
        <f>[15]FINANCIALS!Q$20+[15]FINANCIALS!Q$22</f>
        <v>103.38832836393409</v>
      </c>
      <c r="Q29" s="336">
        <f>[15]FINANCIALS!R$20+[15]FINANCIALS!R$22</f>
        <v>105.97303657303242</v>
      </c>
      <c r="R29" s="336">
        <f>[15]FINANCIALS!S$20+[15]FINANCIALS!S$22</f>
        <v>108.62236248735823</v>
      </c>
      <c r="S29" s="336">
        <f>[15]FINANCIALS!T$20+[15]FINANCIALS!T$22</f>
        <v>37.112640516514055</v>
      </c>
      <c r="T29" s="336">
        <f>[15]FINANCIALS!U$20+[15]FINANCIALS!U$22</f>
        <v>38.040456529426905</v>
      </c>
      <c r="U29" s="336">
        <f>[15]FINANCIALS!V$20+[15]FINANCIALS!V$22</f>
        <v>38.991467942662574</v>
      </c>
      <c r="V29" s="336">
        <f>[15]FINANCIALS!W$20+[15]FINANCIALS!W$22</f>
        <v>39.966254641229135</v>
      </c>
      <c r="W29" s="336">
        <f>[15]FINANCIALS!X$20+[15]FINANCIALS!X$22</f>
        <v>40.965411007259853</v>
      </c>
      <c r="X29" s="336">
        <f>[15]FINANCIALS!Y$20+[15]FINANCIALS!Y$22</f>
        <v>41.989546282441346</v>
      </c>
      <c r="Y29" s="336">
        <f>[15]FINANCIALS!Z$20+[15]FINANCIALS!Z$22</f>
        <v>43.039284939502373</v>
      </c>
      <c r="AA29" s="606">
        <f t="shared" si="1"/>
        <v>1502.9500488407282</v>
      </c>
      <c r="AB29" s="607">
        <f t="shared" si="2"/>
        <v>751.47502442036409</v>
      </c>
    </row>
    <row r="30" spans="1:28">
      <c r="A30" s="4" t="s">
        <v>47</v>
      </c>
      <c r="D30" s="90">
        <v>0</v>
      </c>
      <c r="E30" s="336">
        <f>[15]FINANCIALS!F$18</f>
        <v>16.053549999999998</v>
      </c>
      <c r="F30" s="336">
        <f>[15]FINANCIALS!G$18</f>
        <v>16.454888749999999</v>
      </c>
      <c r="G30" s="336">
        <f>[15]FINANCIALS!H$18</f>
        <v>16.866260968749994</v>
      </c>
      <c r="H30" s="336">
        <f>[15]FINANCIALS!I$18</f>
        <v>17.287917492968745</v>
      </c>
      <c r="I30" s="336">
        <f>[15]FINANCIALS!J$18</f>
        <v>17.72011543029296</v>
      </c>
      <c r="J30" s="336">
        <f>[15]FINANCIALS!K$18</f>
        <v>18.163118316050284</v>
      </c>
      <c r="K30" s="336">
        <f>[15]FINANCIALS!L$18</f>
        <v>18.617196273951539</v>
      </c>
      <c r="L30" s="336">
        <f>[15]FINANCIALS!M$18</f>
        <v>19.082626180800325</v>
      </c>
      <c r="M30" s="336">
        <f>[15]FINANCIALS!N$18</f>
        <v>19.559691835320329</v>
      </c>
      <c r="N30" s="336">
        <f>[15]FINANCIALS!O$18</f>
        <v>20.048684131203338</v>
      </c>
      <c r="O30" s="336">
        <f>[15]FINANCIALS!P$18</f>
        <v>20.549901234483418</v>
      </c>
      <c r="P30" s="336">
        <f>[15]FINANCIALS!Q$18</f>
        <v>21.063648765345505</v>
      </c>
      <c r="Q30" s="336">
        <f>[15]FINANCIALS!R$18</f>
        <v>21.590239984479137</v>
      </c>
      <c r="R30" s="336">
        <f>[15]FINANCIALS!S$18</f>
        <v>22.129995984091114</v>
      </c>
      <c r="S30" s="336">
        <f>[15]FINANCIALS!T$18</f>
        <v>22.683245883693392</v>
      </c>
      <c r="T30" s="336">
        <f>[15]FINANCIALS!U$18</f>
        <v>23.250327030785723</v>
      </c>
      <c r="U30" s="336">
        <f>[15]FINANCIALS!V$18</f>
        <v>23.831585206555363</v>
      </c>
      <c r="V30" s="336">
        <f>[15]FINANCIALS!W$18</f>
        <v>24.427374836719245</v>
      </c>
      <c r="W30" s="336">
        <f>[15]FINANCIALS!X$18</f>
        <v>25.038059207637222</v>
      </c>
      <c r="X30" s="336">
        <f>[15]FINANCIALS!Y$18</f>
        <v>25.664010687828149</v>
      </c>
      <c r="Y30" s="336">
        <f>[15]FINANCIALS!Z$18</f>
        <v>26.305610955023852</v>
      </c>
      <c r="AA30" s="606">
        <f t="shared" si="1"/>
        <v>420.33449915597964</v>
      </c>
      <c r="AB30" s="607">
        <f t="shared" si="2"/>
        <v>210.16724957798982</v>
      </c>
    </row>
    <row r="31" spans="1:28">
      <c r="A31" s="4" t="s">
        <v>37</v>
      </c>
      <c r="D31" s="90">
        <v>0</v>
      </c>
      <c r="E31" s="336">
        <f>[15]FINANCIALS!F$15+[15]FINANCIALS!F$16</f>
        <v>460.29556585828755</v>
      </c>
      <c r="F31" s="336">
        <f>[15]FINANCIALS!G$15+[15]FINANCIALS!G$16</f>
        <v>406.67182707552416</v>
      </c>
      <c r="G31" s="336">
        <f>[15]FINANCIALS!H$15+[15]FINANCIALS!H$16</f>
        <v>358.51752774399682</v>
      </c>
      <c r="H31" s="336">
        <f>[15]FINANCIALS!I$15+[15]FINANCIALS!I$16</f>
        <v>310.38104004725477</v>
      </c>
      <c r="I31" s="336">
        <f>[15]FINANCIALS!J$15+[15]FINANCIALS!J$16</f>
        <v>267.71467981217626</v>
      </c>
      <c r="J31" s="336">
        <f>[15]FINANCIALS!K$15+[15]FINANCIALS!K$16</f>
        <v>241.42273813851367</v>
      </c>
      <c r="K31" s="336">
        <f>[15]FINANCIALS!L$15+[15]FINANCIALS!L$16</f>
        <v>220.60163903096472</v>
      </c>
      <c r="L31" s="336">
        <f>[15]FINANCIALS!M$15+[15]FINANCIALS!M$16</f>
        <v>216.15568753381851</v>
      </c>
      <c r="M31" s="336">
        <f>[15]FINANCIALS!N$15+[15]FINANCIALS!N$16</f>
        <v>217.18132186822797</v>
      </c>
      <c r="N31" s="336">
        <f>[15]FINANCIALS!O$15+[15]FINANCIALS!O$16</f>
        <v>218.22695607215843</v>
      </c>
      <c r="O31" s="336">
        <f>[15]FINANCIALS!P$15+[15]FINANCIALS!P$16</f>
        <v>219.29298014306551</v>
      </c>
      <c r="P31" s="336">
        <f>[15]FINANCIALS!Q$15+[15]FINANCIALS!Q$16</f>
        <v>220.37979168335528</v>
      </c>
      <c r="Q31" s="336">
        <f>[15]FINANCIALS!R$15+[15]FINANCIALS!R$16</f>
        <v>221.48779604868074</v>
      </c>
      <c r="R31" s="336">
        <f>[15]FINANCIALS!S$15+[15]FINANCIALS!S$16</f>
        <v>222.61740649913</v>
      </c>
      <c r="S31" s="336">
        <f>[15]FINANCIALS!T$15+[15]FINANCIALS!T$16</f>
        <v>223.76904435336303</v>
      </c>
      <c r="T31" s="336">
        <f>[15]FINANCIALS!U$15+[15]FINANCIALS!U$16</f>
        <v>224.94313914575361</v>
      </c>
      <c r="U31" s="336">
        <f>[15]FINANCIALS!V$15+[15]FINANCIALS!V$16</f>
        <v>226.14012878659582</v>
      </c>
      <c r="V31" s="336">
        <f>[15]FINANCIALS!W$15+[15]FINANCIALS!W$16</f>
        <v>227.36045972543445</v>
      </c>
      <c r="W31" s="336">
        <f>[15]FINANCIALS!X$15+[15]FINANCIALS!X$16</f>
        <v>228.60458711758042</v>
      </c>
      <c r="X31" s="336">
        <f>[15]FINANCIALS!Y$15+[15]FINANCIALS!Y$16</f>
        <v>229.87297499387324</v>
      </c>
      <c r="Y31" s="336">
        <f>[15]FINANCIALS!Z$15+[15]FINANCIALS!Z$16</f>
        <v>231.16609643375378</v>
      </c>
      <c r="AA31" s="606">
        <f t="shared" si="1"/>
        <v>4932.5078222532202</v>
      </c>
      <c r="AB31" s="607">
        <f t="shared" si="2"/>
        <v>2466.2539111266101</v>
      </c>
    </row>
    <row r="32" spans="1:28">
      <c r="A32" s="4" t="s">
        <v>38</v>
      </c>
      <c r="D32" s="90">
        <v>0</v>
      </c>
      <c r="E32" s="336">
        <v>0</v>
      </c>
      <c r="F32" s="336">
        <v>0</v>
      </c>
      <c r="G32" s="336">
        <v>0</v>
      </c>
      <c r="H32" s="336">
        <v>0</v>
      </c>
      <c r="I32" s="336">
        <v>0</v>
      </c>
      <c r="J32" s="336">
        <v>0</v>
      </c>
      <c r="K32" s="336">
        <v>0</v>
      </c>
      <c r="L32" s="336">
        <v>0</v>
      </c>
      <c r="M32" s="336">
        <v>0</v>
      </c>
      <c r="N32" s="336">
        <v>0</v>
      </c>
      <c r="O32" s="336">
        <v>0</v>
      </c>
      <c r="P32" s="336">
        <v>0</v>
      </c>
      <c r="Q32" s="336">
        <v>0</v>
      </c>
      <c r="R32" s="336">
        <v>0</v>
      </c>
      <c r="S32" s="336">
        <v>0</v>
      </c>
      <c r="T32" s="336">
        <v>0</v>
      </c>
      <c r="U32" s="336">
        <v>0</v>
      </c>
      <c r="V32" s="336">
        <v>0</v>
      </c>
      <c r="W32" s="336">
        <v>0</v>
      </c>
      <c r="X32" s="336">
        <v>0</v>
      </c>
      <c r="Y32" s="336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>
        <v>0</v>
      </c>
      <c r="F33" s="336">
        <v>0</v>
      </c>
      <c r="G33" s="336">
        <v>0</v>
      </c>
      <c r="H33" s="336">
        <v>0</v>
      </c>
      <c r="I33" s="336">
        <v>0</v>
      </c>
      <c r="J33" s="336">
        <v>0</v>
      </c>
      <c r="K33" s="336">
        <v>0</v>
      </c>
      <c r="L33" s="336">
        <v>0</v>
      </c>
      <c r="M33" s="336">
        <v>0</v>
      </c>
      <c r="N33" s="336">
        <v>0</v>
      </c>
      <c r="O33" s="336">
        <v>0</v>
      </c>
      <c r="P33" s="336">
        <v>0</v>
      </c>
      <c r="Q33" s="336">
        <v>0</v>
      </c>
      <c r="R33" s="336">
        <v>0</v>
      </c>
      <c r="S33" s="336">
        <v>0</v>
      </c>
      <c r="T33" s="336">
        <v>0</v>
      </c>
      <c r="U33" s="336">
        <v>0</v>
      </c>
      <c r="V33" s="336">
        <v>0</v>
      </c>
      <c r="W33" s="336">
        <v>0</v>
      </c>
      <c r="X33" s="336">
        <v>0</v>
      </c>
      <c r="Y33" s="336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v>0</v>
      </c>
      <c r="F34" s="336">
        <v>0</v>
      </c>
      <c r="G34" s="336">
        <v>0</v>
      </c>
      <c r="H34" s="336">
        <v>0</v>
      </c>
      <c r="I34" s="336">
        <v>0</v>
      </c>
      <c r="J34" s="336">
        <v>0</v>
      </c>
      <c r="K34" s="336">
        <v>0</v>
      </c>
      <c r="L34" s="336">
        <v>0</v>
      </c>
      <c r="M34" s="336">
        <v>0</v>
      </c>
      <c r="N34" s="336">
        <v>0</v>
      </c>
      <c r="O34" s="336">
        <v>0</v>
      </c>
      <c r="P34" s="336">
        <v>0</v>
      </c>
      <c r="Q34" s="336">
        <v>0</v>
      </c>
      <c r="R34" s="336">
        <v>0</v>
      </c>
      <c r="S34" s="336">
        <v>0</v>
      </c>
      <c r="T34" s="336">
        <v>0</v>
      </c>
      <c r="U34" s="336">
        <v>0</v>
      </c>
      <c r="V34" s="336">
        <v>0</v>
      </c>
      <c r="W34" s="336">
        <v>0</v>
      </c>
      <c r="X34" s="336">
        <v>0</v>
      </c>
      <c r="Y34" s="336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>
        <f>[15]FINANCIALS!F$23</f>
        <v>105.06249999999999</v>
      </c>
      <c r="F35" s="339">
        <f>[15]FINANCIALS!G$23</f>
        <v>107.68906249999999</v>
      </c>
      <c r="G35" s="339">
        <f>[15]FINANCIALS!H$23</f>
        <v>110.38128906249997</v>
      </c>
      <c r="H35" s="339">
        <f>[15]FINANCIALS!I$23</f>
        <v>113.14082128906247</v>
      </c>
      <c r="I35" s="339">
        <f>[15]FINANCIALS!J$23</f>
        <v>115.96934182128902</v>
      </c>
      <c r="J35" s="339">
        <f>[15]FINANCIALS!K$23</f>
        <v>118.86857536682123</v>
      </c>
      <c r="K35" s="339">
        <f>[15]FINANCIALS!L$23</f>
        <v>121.84028975099174</v>
      </c>
      <c r="L35" s="339">
        <f>[15]FINANCIALS!M$23</f>
        <v>124.88629699476652</v>
      </c>
      <c r="M35" s="339">
        <f>[15]FINANCIALS!N$23</f>
        <v>128.00845441963565</v>
      </c>
      <c r="N35" s="339">
        <f>[15]FINANCIALS!O$23</f>
        <v>131.20866578012655</v>
      </c>
      <c r="O35" s="339">
        <f>[15]FINANCIALS!P$23</f>
        <v>134.48888242462971</v>
      </c>
      <c r="P35" s="339">
        <f>[15]FINANCIALS!Q$23</f>
        <v>137.85110448524546</v>
      </c>
      <c r="Q35" s="339">
        <f>[15]FINANCIALS!R$23</f>
        <v>141.29738209737656</v>
      </c>
      <c r="R35" s="339">
        <f>[15]FINANCIALS!S$23</f>
        <v>144.82981664981097</v>
      </c>
      <c r="S35" s="339">
        <f>[15]FINANCIALS!T$23</f>
        <v>148.45056206605622</v>
      </c>
      <c r="T35" s="339">
        <f>[15]FINANCIALS!U$23</f>
        <v>152.16182611770762</v>
      </c>
      <c r="U35" s="339">
        <f>[15]FINANCIALS!V$23</f>
        <v>155.9658717706503</v>
      </c>
      <c r="V35" s="339">
        <f>[15]FINANCIALS!W$23</f>
        <v>159.86501856491654</v>
      </c>
      <c r="W35" s="339">
        <f>[15]FINANCIALS!X$23</f>
        <v>163.86164402903941</v>
      </c>
      <c r="X35" s="339">
        <f>[15]FINANCIALS!Y$23</f>
        <v>167.95818512976538</v>
      </c>
      <c r="Y35" s="339">
        <f>[15]FINANCIALS!Z$23</f>
        <v>172.15713975800949</v>
      </c>
      <c r="AA35" s="606">
        <f t="shared" si="1"/>
        <v>2750.8802300784009</v>
      </c>
      <c r="AB35" s="607">
        <f t="shared" si="2"/>
        <v>1375.4401150392005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1978.8602066428618</v>
      </c>
      <c r="F36" s="90">
        <f t="shared" si="4"/>
        <v>2038.8612904921563</v>
      </c>
      <c r="G36" s="90">
        <f t="shared" si="4"/>
        <v>2030.5688553465807</v>
      </c>
      <c r="H36" s="90">
        <f t="shared" si="4"/>
        <v>2019.1061080922318</v>
      </c>
      <c r="I36" s="90">
        <f t="shared" si="4"/>
        <v>2033.1939849484359</v>
      </c>
      <c r="J36" s="90">
        <f t="shared" si="4"/>
        <v>2026.231935447114</v>
      </c>
      <c r="K36" s="90">
        <f t="shared" si="4"/>
        <v>2125.4145467066464</v>
      </c>
      <c r="L36" s="90">
        <f t="shared" si="4"/>
        <v>2093.1293032110816</v>
      </c>
      <c r="M36" s="90">
        <f t="shared" si="4"/>
        <v>2108.5700857924312</v>
      </c>
      <c r="N36" s="90">
        <f t="shared" si="4"/>
        <v>2144.4258946396026</v>
      </c>
      <c r="O36" s="90">
        <f t="shared" si="4"/>
        <v>2200.1693305970134</v>
      </c>
      <c r="P36" s="90">
        <f t="shared" si="4"/>
        <v>2302.7725478979414</v>
      </c>
      <c r="Q36" s="90">
        <f t="shared" si="4"/>
        <v>2266.1215215203706</v>
      </c>
      <c r="R36" s="90">
        <f t="shared" si="4"/>
        <v>2329.6720623354649</v>
      </c>
      <c r="S36" s="90">
        <f t="shared" si="4"/>
        <v>2281.6113549140136</v>
      </c>
      <c r="T36" s="90">
        <f t="shared" si="4"/>
        <v>2328.7280142546474</v>
      </c>
      <c r="U36" s="90">
        <f t="shared" si="4"/>
        <v>2298.8573018790962</v>
      </c>
      <c r="V36" s="90">
        <f t="shared" si="4"/>
        <v>2237.1351656797242</v>
      </c>
      <c r="W36" s="90">
        <f t="shared" si="4"/>
        <v>2284.1666622620905</v>
      </c>
      <c r="X36" s="90">
        <f t="shared" si="4"/>
        <v>2354.7148511937598</v>
      </c>
      <c r="Y36" s="90">
        <f t="shared" si="4"/>
        <v>2388.0738006518136</v>
      </c>
      <c r="AA36" s="606">
        <f t="shared" si="1"/>
        <v>43891.524617862226</v>
      </c>
      <c r="AB36" s="607">
        <f t="shared" si="2"/>
        <v>21945.762308931113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7589.2836800761461</v>
      </c>
      <c r="F39" s="93">
        <f t="shared" si="5"/>
        <v>7348.5016384755609</v>
      </c>
      <c r="G39" s="93">
        <f t="shared" si="5"/>
        <v>7179.8853075127881</v>
      </c>
      <c r="H39" s="93">
        <f t="shared" si="5"/>
        <v>7385.4882558840527</v>
      </c>
      <c r="I39" s="93">
        <f t="shared" si="5"/>
        <v>7571.7854105897359</v>
      </c>
      <c r="J39" s="93">
        <f t="shared" si="5"/>
        <v>7785.5682259944688</v>
      </c>
      <c r="K39" s="93">
        <f t="shared" si="5"/>
        <v>7899.8386610522193</v>
      </c>
      <c r="L39" s="93">
        <f t="shared" si="5"/>
        <v>7976.9491759371494</v>
      </c>
      <c r="M39" s="93">
        <f t="shared" si="5"/>
        <v>8004.6034993006979</v>
      </c>
      <c r="N39" s="93">
        <f t="shared" si="5"/>
        <v>8009.998106887113</v>
      </c>
      <c r="O39" s="93">
        <f t="shared" si="5"/>
        <v>7993.5412289352007</v>
      </c>
      <c r="P39" s="93">
        <f t="shared" si="5"/>
        <v>8027.396709798446</v>
      </c>
      <c r="Q39" s="93">
        <f t="shared" si="5"/>
        <v>8203.2526543896074</v>
      </c>
      <c r="R39" s="93">
        <f t="shared" si="5"/>
        <v>8281.7052761536379</v>
      </c>
      <c r="S39" s="93">
        <f t="shared" si="5"/>
        <v>8474.6202996641368</v>
      </c>
      <c r="T39" s="93">
        <f t="shared" si="5"/>
        <v>7961.5415438668097</v>
      </c>
      <c r="U39" s="93">
        <f t="shared" si="5"/>
        <v>4965.4204229820189</v>
      </c>
      <c r="V39" s="93">
        <f t="shared" si="5"/>
        <v>4965.815811909446</v>
      </c>
      <c r="W39" s="93">
        <f t="shared" si="5"/>
        <v>5030.2273833742602</v>
      </c>
      <c r="X39" s="93">
        <f t="shared" si="5"/>
        <v>5142.5390455834968</v>
      </c>
      <c r="Y39" s="93">
        <f t="shared" si="5"/>
        <v>5296.6114435448744</v>
      </c>
      <c r="AA39" s="606">
        <f>SUM(F39:Y39)</f>
        <v>143505.29010183571</v>
      </c>
      <c r="AB39" s="607">
        <f t="shared" si="2"/>
        <v>71752.645050917854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3400</v>
      </c>
      <c r="G41" s="90">
        <f t="shared" ref="G41:Y41" si="7">+G109</f>
        <v>3400</v>
      </c>
      <c r="H41" s="90">
        <f t="shared" si="7"/>
        <v>3400</v>
      </c>
      <c r="I41" s="90">
        <f t="shared" si="7"/>
        <v>3400</v>
      </c>
      <c r="J41" s="90">
        <f t="shared" si="7"/>
        <v>3400</v>
      </c>
      <c r="K41" s="90">
        <f t="shared" si="7"/>
        <v>3400</v>
      </c>
      <c r="L41" s="90">
        <f t="shared" si="7"/>
        <v>3400</v>
      </c>
      <c r="M41" s="90">
        <f t="shared" si="7"/>
        <v>3400</v>
      </c>
      <c r="N41" s="90">
        <f t="shared" si="7"/>
        <v>3400</v>
      </c>
      <c r="O41" s="90">
        <f t="shared" si="7"/>
        <v>3400</v>
      </c>
      <c r="P41" s="90">
        <f t="shared" si="7"/>
        <v>3400</v>
      </c>
      <c r="Q41" s="90">
        <f t="shared" si="7"/>
        <v>3400</v>
      </c>
      <c r="R41" s="90">
        <f t="shared" si="7"/>
        <v>3400</v>
      </c>
      <c r="S41" s="90">
        <f t="shared" si="7"/>
        <v>3400</v>
      </c>
      <c r="T41" s="90">
        <f t="shared" si="7"/>
        <v>3400</v>
      </c>
      <c r="U41" s="90">
        <f t="shared" si="7"/>
        <v>3400</v>
      </c>
      <c r="V41" s="90">
        <f t="shared" si="7"/>
        <v>3400</v>
      </c>
      <c r="W41" s="90">
        <f t="shared" si="7"/>
        <v>3400</v>
      </c>
      <c r="X41" s="90">
        <f t="shared" si="7"/>
        <v>3400</v>
      </c>
      <c r="Y41" s="90">
        <f t="shared" si="7"/>
        <v>3400</v>
      </c>
      <c r="AA41" s="606">
        <f t="shared" si="6"/>
        <v>68000</v>
      </c>
      <c r="AB41" s="607">
        <f t="shared" si="2"/>
        <v>34000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7589.2836800761461</v>
      </c>
      <c r="F44" s="93">
        <f t="shared" si="8"/>
        <v>3948.5016384755609</v>
      </c>
      <c r="G44" s="93">
        <f t="shared" si="8"/>
        <v>3779.8853075127881</v>
      </c>
      <c r="H44" s="93">
        <f t="shared" si="8"/>
        <v>3985.4882558840527</v>
      </c>
      <c r="I44" s="93">
        <f t="shared" si="8"/>
        <v>4171.7854105897359</v>
      </c>
      <c r="J44" s="93">
        <f t="shared" si="8"/>
        <v>4385.5682259944688</v>
      </c>
      <c r="K44" s="93">
        <f t="shared" si="8"/>
        <v>4499.8386610522193</v>
      </c>
      <c r="L44" s="93">
        <f t="shared" si="8"/>
        <v>4576.9491759371494</v>
      </c>
      <c r="M44" s="93">
        <f t="shared" si="8"/>
        <v>4604.6034993006979</v>
      </c>
      <c r="N44" s="93">
        <f t="shared" si="8"/>
        <v>4609.998106887113</v>
      </c>
      <c r="O44" s="93">
        <f t="shared" si="8"/>
        <v>4593.5412289352007</v>
      </c>
      <c r="P44" s="93">
        <f t="shared" si="8"/>
        <v>4627.396709798446</v>
      </c>
      <c r="Q44" s="93">
        <f t="shared" si="8"/>
        <v>4803.2526543896074</v>
      </c>
      <c r="R44" s="93">
        <f t="shared" si="8"/>
        <v>4881.7052761536379</v>
      </c>
      <c r="S44" s="93">
        <f t="shared" si="8"/>
        <v>5074.6202996641368</v>
      </c>
      <c r="T44" s="93">
        <f t="shared" si="8"/>
        <v>4561.5415438668097</v>
      </c>
      <c r="U44" s="93">
        <f t="shared" si="8"/>
        <v>1565.4204229820189</v>
      </c>
      <c r="V44" s="93">
        <f t="shared" si="8"/>
        <v>1565.815811909446</v>
      </c>
      <c r="W44" s="93">
        <f t="shared" si="8"/>
        <v>1630.2273833742602</v>
      </c>
      <c r="X44" s="93">
        <f t="shared" si="8"/>
        <v>1742.5390455834968</v>
      </c>
      <c r="Y44" s="93">
        <f t="shared" si="8"/>
        <v>1896.6114435448744</v>
      </c>
      <c r="AA44" s="606">
        <f t="shared" si="6"/>
        <v>75505.290101835722</v>
      </c>
      <c r="AB44" s="607">
        <f t="shared" si="2"/>
        <v>37752.645050917861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[15]DEBT!E$63</f>
        <v>3362.8696449915892</v>
      </c>
      <c r="F46" s="336">
        <f>[15]DEBT!F$63</f>
        <v>3552.4897520869531</v>
      </c>
      <c r="G46" s="336">
        <f>[15]DEBT!G$63</f>
        <v>3419.7275944280414</v>
      </c>
      <c r="H46" s="336">
        <f>[15]DEBT!H$63</f>
        <v>3284.6952090822588</v>
      </c>
      <c r="I46" s="336">
        <f>[15]DEBT!I$63</f>
        <v>3134.2773323352994</v>
      </c>
      <c r="J46" s="336">
        <f>[15]DEBT!J$63</f>
        <v>2966.1762839473731</v>
      </c>
      <c r="K46" s="336">
        <f>[15]DEBT!K$63</f>
        <v>2780.1942843947613</v>
      </c>
      <c r="L46" s="336">
        <f>[15]DEBT!L$63</f>
        <v>2578.3740809037599</v>
      </c>
      <c r="M46" s="336">
        <f>[15]DEBT!M$63</f>
        <v>2361.831855939115</v>
      </c>
      <c r="N46" s="336">
        <f>[15]DEBT!N$63</f>
        <v>2128.0003808909228</v>
      </c>
      <c r="O46" s="336">
        <f>[15]DEBT!O$63</f>
        <v>1876.5635225468654</v>
      </c>
      <c r="P46" s="336">
        <f>[15]DEBT!P$63</f>
        <v>1605.9351463126261</v>
      </c>
      <c r="Q46" s="336">
        <f>[15]DEBT!Q$63</f>
        <v>1311.3613407268317</v>
      </c>
      <c r="R46" s="336">
        <f>[15]DEBT!R$63</f>
        <v>986.04622206887143</v>
      </c>
      <c r="S46" s="336">
        <f>[15]DEBT!S$63</f>
        <v>1203.4802596007044</v>
      </c>
      <c r="T46" s="336">
        <f>[15]DEBT!T$63</f>
        <v>282.48193740516564</v>
      </c>
      <c r="U46" s="336">
        <f>[15]DEBT!U$63</f>
        <v>0</v>
      </c>
      <c r="V46" s="336">
        <f>[15]DEBT!V$63</f>
        <v>0</v>
      </c>
      <c r="W46" s="336">
        <f>[15]DEBT!W$63</f>
        <v>0</v>
      </c>
      <c r="X46" s="336">
        <f>[15]DEBT!X$63</f>
        <v>0</v>
      </c>
      <c r="Y46" s="336">
        <f>[15]DEBT!Y$63</f>
        <v>0</v>
      </c>
      <c r="AA46" s="606">
        <f t="shared" si="6"/>
        <v>33471.635202669553</v>
      </c>
      <c r="AB46" s="607">
        <f t="shared" si="2"/>
        <v>16735.817601334777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4226.4140350845573</v>
      </c>
      <c r="F49" s="93">
        <f t="shared" si="9"/>
        <v>396.01188638860776</v>
      </c>
      <c r="G49" s="93">
        <f t="shared" si="9"/>
        <v>360.15771308474677</v>
      </c>
      <c r="H49" s="93">
        <f t="shared" si="9"/>
        <v>700.79304680179393</v>
      </c>
      <c r="I49" s="93">
        <f t="shared" si="9"/>
        <v>1037.5080782544364</v>
      </c>
      <c r="J49" s="93">
        <f t="shared" si="9"/>
        <v>1419.3919420470957</v>
      </c>
      <c r="K49" s="93">
        <f t="shared" si="9"/>
        <v>1719.644376657458</v>
      </c>
      <c r="L49" s="93">
        <f t="shared" si="9"/>
        <v>1998.5750950333895</v>
      </c>
      <c r="M49" s="93">
        <f t="shared" si="9"/>
        <v>2242.7716433615828</v>
      </c>
      <c r="N49" s="93">
        <f t="shared" si="9"/>
        <v>2481.9977259961902</v>
      </c>
      <c r="O49" s="93">
        <f t="shared" si="9"/>
        <v>2716.9777063883353</v>
      </c>
      <c r="P49" s="93">
        <f t="shared" si="9"/>
        <v>3021.4615634858201</v>
      </c>
      <c r="Q49" s="93">
        <f t="shared" si="9"/>
        <v>3491.8913136627757</v>
      </c>
      <c r="R49" s="93">
        <f t="shared" si="9"/>
        <v>3895.6590540847665</v>
      </c>
      <c r="S49" s="93">
        <f t="shared" si="9"/>
        <v>3871.1400400634325</v>
      </c>
      <c r="T49" s="93">
        <f t="shared" si="9"/>
        <v>4279.0596064616439</v>
      </c>
      <c r="U49" s="93">
        <f t="shared" si="9"/>
        <v>1565.4204229820189</v>
      </c>
      <c r="V49" s="93">
        <f t="shared" si="9"/>
        <v>1565.815811909446</v>
      </c>
      <c r="W49" s="93">
        <f t="shared" si="9"/>
        <v>1630.2273833742602</v>
      </c>
      <c r="X49" s="93">
        <f t="shared" si="9"/>
        <v>1742.5390455834968</v>
      </c>
      <c r="Y49" s="93">
        <f t="shared" si="9"/>
        <v>1896.6114435448744</v>
      </c>
      <c r="AA49" s="606">
        <f t="shared" si="6"/>
        <v>42033.654899166162</v>
      </c>
      <c r="AB49" s="607">
        <f t="shared" si="2"/>
        <v>21016.827449583081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1">
        <v>0.05</v>
      </c>
      <c r="D51" s="90"/>
      <c r="E51" s="90">
        <f t="shared" ref="E51:Y51" si="10">E49*-$C$51</f>
        <v>-211.32070175422788</v>
      </c>
      <c r="F51" s="90">
        <f t="shared" si="10"/>
        <v>-19.800594319430388</v>
      </c>
      <c r="G51" s="55">
        <f t="shared" si="10"/>
        <v>-18.007885654237338</v>
      </c>
      <c r="H51" s="90">
        <f t="shared" si="10"/>
        <v>-35.039652340089695</v>
      </c>
      <c r="I51" s="90">
        <f t="shared" si="10"/>
        <v>-51.875403912721822</v>
      </c>
      <c r="J51" s="90">
        <f t="shared" si="10"/>
        <v>-70.969597102354783</v>
      </c>
      <c r="K51" s="90">
        <f t="shared" si="10"/>
        <v>-85.982218832872903</v>
      </c>
      <c r="L51" s="90">
        <f t="shared" si="10"/>
        <v>-99.928754751669487</v>
      </c>
      <c r="M51" s="90">
        <f t="shared" si="10"/>
        <v>-112.13858216807915</v>
      </c>
      <c r="N51" s="90">
        <f t="shared" si="10"/>
        <v>-124.09988629980951</v>
      </c>
      <c r="O51" s="90">
        <f t="shared" si="10"/>
        <v>-135.84888531941678</v>
      </c>
      <c r="P51" s="90">
        <f t="shared" si="10"/>
        <v>-151.073078174291</v>
      </c>
      <c r="Q51" s="90">
        <f t="shared" si="10"/>
        <v>-174.5945656831388</v>
      </c>
      <c r="R51" s="90">
        <f t="shared" si="10"/>
        <v>-194.78295270423834</v>
      </c>
      <c r="S51" s="90">
        <f t="shared" si="10"/>
        <v>-193.55700200317165</v>
      </c>
      <c r="T51" s="90">
        <f t="shared" si="10"/>
        <v>-213.95298032308222</v>
      </c>
      <c r="U51" s="90">
        <f t="shared" si="10"/>
        <v>-78.271021149100946</v>
      </c>
      <c r="V51" s="90">
        <f t="shared" si="10"/>
        <v>-78.290790595472302</v>
      </c>
      <c r="W51" s="90">
        <f t="shared" si="10"/>
        <v>-81.511369168713017</v>
      </c>
      <c r="X51" s="90">
        <f t="shared" si="10"/>
        <v>-87.126952279174844</v>
      </c>
      <c r="Y51" s="90">
        <f t="shared" si="10"/>
        <v>-94.830572177243724</v>
      </c>
      <c r="AA51" s="606">
        <f t="shared" si="6"/>
        <v>-2101.6827449583088</v>
      </c>
      <c r="AB51" s="607">
        <f t="shared" si="2"/>
        <v>-1050.8413724791544</v>
      </c>
    </row>
    <row r="52" spans="1:28">
      <c r="A52" s="4" t="s">
        <v>29</v>
      </c>
      <c r="C52" s="341">
        <v>0.35</v>
      </c>
      <c r="D52" s="89"/>
      <c r="E52" s="89">
        <f>((E49+E51)*-$C$52)+E56</f>
        <v>1934.0838293453851</v>
      </c>
      <c r="F52" s="89">
        <f t="shared" ref="F52:Y52" si="11">((F49+F51)*-$C$52)+F56</f>
        <v>3207.6925437867885</v>
      </c>
      <c r="G52" s="89">
        <f t="shared" si="11"/>
        <v>3405.1344172998229</v>
      </c>
      <c r="H52" s="89">
        <f t="shared" si="11"/>
        <v>3291.8731688389048</v>
      </c>
      <c r="I52" s="89">
        <f t="shared" si="11"/>
        <v>3365.4357817704013</v>
      </c>
      <c r="J52" s="89">
        <f t="shared" si="11"/>
        <v>3238.4593970593419</v>
      </c>
      <c r="K52" s="89">
        <f t="shared" si="11"/>
        <v>3324.1458234408965</v>
      </c>
      <c r="L52" s="89">
        <f t="shared" si="11"/>
        <v>3231.4013595808992</v>
      </c>
      <c r="M52" s="89">
        <f t="shared" si="11"/>
        <v>3335.726368151275</v>
      </c>
      <c r="N52" s="89">
        <f t="shared" si="11"/>
        <v>-16.963339383370908</v>
      </c>
      <c r="O52" s="89">
        <f t="shared" si="11"/>
        <v>-903.39508737412143</v>
      </c>
      <c r="P52" s="89">
        <f t="shared" si="11"/>
        <v>-1004.6359698590352</v>
      </c>
      <c r="Q52" s="89">
        <f t="shared" si="11"/>
        <v>-1161.0538617928728</v>
      </c>
      <c r="R52" s="89">
        <f t="shared" si="11"/>
        <v>-1295.3066354831849</v>
      </c>
      <c r="S52" s="89">
        <f t="shared" si="11"/>
        <v>-1287.1540633210914</v>
      </c>
      <c r="T52" s="89">
        <f t="shared" si="11"/>
        <v>-1422.7873191484966</v>
      </c>
      <c r="U52" s="89">
        <f t="shared" si="11"/>
        <v>-520.5022906415212</v>
      </c>
      <c r="V52" s="89">
        <f t="shared" si="11"/>
        <v>-520.63375745989072</v>
      </c>
      <c r="W52" s="89">
        <f t="shared" si="11"/>
        <v>-542.05060497194154</v>
      </c>
      <c r="X52" s="89">
        <f t="shared" si="11"/>
        <v>-579.3942326565126</v>
      </c>
      <c r="Y52" s="89">
        <f t="shared" si="11"/>
        <v>-630.62330497867072</v>
      </c>
      <c r="AA52" s="606">
        <f t="shared" si="6"/>
        <v>16515.368392857617</v>
      </c>
      <c r="AB52" s="607">
        <f t="shared" si="2"/>
        <v>8257.6841964288087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5949.1771626757145</v>
      </c>
      <c r="F54" s="93">
        <f t="shared" si="12"/>
        <v>3583.903835855966</v>
      </c>
      <c r="G54" s="93">
        <f t="shared" si="12"/>
        <v>3747.2842447303324</v>
      </c>
      <c r="H54" s="93">
        <f t="shared" si="12"/>
        <v>3957.6265633006092</v>
      </c>
      <c r="I54" s="93">
        <f t="shared" si="12"/>
        <v>4351.0684561121161</v>
      </c>
      <c r="J54" s="93">
        <f t="shared" si="12"/>
        <v>4586.8817420040832</v>
      </c>
      <c r="K54" s="93">
        <f t="shared" si="12"/>
        <v>4957.8079812654814</v>
      </c>
      <c r="L54" s="93">
        <f t="shared" si="12"/>
        <v>5130.0476998626191</v>
      </c>
      <c r="M54" s="93">
        <f t="shared" si="12"/>
        <v>5466.3594293447786</v>
      </c>
      <c r="N54" s="93">
        <f t="shared" si="12"/>
        <v>2340.9345003130097</v>
      </c>
      <c r="O54" s="93">
        <f t="shared" si="12"/>
        <v>1677.7337336947971</v>
      </c>
      <c r="P54" s="93">
        <f t="shared" si="12"/>
        <v>1865.752515452494</v>
      </c>
      <c r="Q54" s="93">
        <f t="shared" si="12"/>
        <v>2156.2428861867643</v>
      </c>
      <c r="R54" s="93">
        <f t="shared" si="12"/>
        <v>2405.5694658973434</v>
      </c>
      <c r="S54" s="93">
        <f t="shared" si="12"/>
        <v>2390.4289747391695</v>
      </c>
      <c r="T54" s="93">
        <f t="shared" si="12"/>
        <v>2642.3193069900653</v>
      </c>
      <c r="U54" s="93">
        <f t="shared" si="12"/>
        <v>966.64711119139668</v>
      </c>
      <c r="V54" s="93">
        <f t="shared" si="12"/>
        <v>966.89126385408292</v>
      </c>
      <c r="W54" s="93">
        <f t="shared" si="12"/>
        <v>1006.6654092336057</v>
      </c>
      <c r="X54" s="93">
        <f t="shared" si="12"/>
        <v>1076.0178606478094</v>
      </c>
      <c r="Y54" s="93">
        <f t="shared" si="12"/>
        <v>1171.1575663889598</v>
      </c>
      <c r="AA54" s="606">
        <f t="shared" si="6"/>
        <v>56447.340547065483</v>
      </c>
      <c r="AB54" s="607">
        <f t="shared" si="2"/>
        <v>28223.670273532742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[15]TAX!F$48</f>
        <v>3339.3664960110004</v>
      </c>
      <c r="F56" s="342">
        <f>[15]TAX!G$48</f>
        <v>3339.3664960110004</v>
      </c>
      <c r="G56" s="342">
        <f>[15]TAX!H$48</f>
        <v>3524.8868569005012</v>
      </c>
      <c r="H56" s="342">
        <f>[15]TAX!I$48</f>
        <v>3524.8868569005012</v>
      </c>
      <c r="I56" s="342">
        <f>[15]TAX!J$48</f>
        <v>3710.4072177900011</v>
      </c>
      <c r="J56" s="342">
        <f>[15]TAX!K$48</f>
        <v>3710.4072177900011</v>
      </c>
      <c r="K56" s="342">
        <f>[15]TAX!L$48</f>
        <v>3895.9275786795015</v>
      </c>
      <c r="L56" s="342">
        <f>[15]TAX!M$48</f>
        <v>3895.9275786795015</v>
      </c>
      <c r="M56" s="342">
        <f>[15]TAX!N$48</f>
        <v>4081.4479395690009</v>
      </c>
      <c r="N56" s="342">
        <f>[15]TAX!O$48</f>
        <v>808.30090451036233</v>
      </c>
      <c r="O56" s="342">
        <f>[15]TAX!P$48</f>
        <v>0</v>
      </c>
      <c r="P56" s="342">
        <f>[15]TAX!Q$48</f>
        <v>0</v>
      </c>
      <c r="Q56" s="342">
        <f>[15]TAX!R$48</f>
        <v>0</v>
      </c>
      <c r="R56" s="342">
        <f>[15]TAX!S$48</f>
        <v>0</v>
      </c>
      <c r="S56" s="342">
        <f>[15]TAX!T$48</f>
        <v>0</v>
      </c>
      <c r="T56" s="342">
        <f>[15]TAX!U$48</f>
        <v>0</v>
      </c>
      <c r="U56" s="342">
        <f>[15]TAX!V$48</f>
        <v>0</v>
      </c>
      <c r="V56" s="342">
        <f>[15]TAX!W$48</f>
        <v>0</v>
      </c>
      <c r="W56" s="342">
        <f>[15]TAX!X$48</f>
        <v>0</v>
      </c>
      <c r="X56" s="342">
        <f>[15]TAX!Y$48</f>
        <v>0</v>
      </c>
      <c r="Y56" s="342">
        <f>[15]TAX!Z$48</f>
        <v>0</v>
      </c>
      <c r="AA56" s="606">
        <f t="shared" si="6"/>
        <v>30491.558646830366</v>
      </c>
      <c r="AB56" s="607">
        <f t="shared" si="2"/>
        <v>15245.779323415183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7589.2836800761461</v>
      </c>
      <c r="F64" s="20">
        <f t="shared" si="14"/>
        <v>7348.5016384755609</v>
      </c>
      <c r="G64" s="24">
        <f t="shared" si="14"/>
        <v>7179.8853075127881</v>
      </c>
      <c r="H64" s="20">
        <f t="shared" si="14"/>
        <v>7385.4882558840527</v>
      </c>
      <c r="I64" s="20">
        <f t="shared" si="14"/>
        <v>7571.7854105897359</v>
      </c>
      <c r="J64" s="20">
        <f t="shared" si="14"/>
        <v>7785.5682259944688</v>
      </c>
      <c r="K64" s="20">
        <f t="shared" si="14"/>
        <v>7899.8386610522193</v>
      </c>
      <c r="L64" s="20">
        <f t="shared" si="14"/>
        <v>7976.9491759371494</v>
      </c>
      <c r="M64" s="20">
        <f t="shared" si="14"/>
        <v>8004.6034993006979</v>
      </c>
      <c r="N64" s="20">
        <f t="shared" si="14"/>
        <v>8009.998106887113</v>
      </c>
      <c r="O64" s="20">
        <f t="shared" si="14"/>
        <v>7993.5412289352007</v>
      </c>
      <c r="P64" s="20">
        <f t="shared" si="14"/>
        <v>8027.396709798446</v>
      </c>
      <c r="Q64" s="20">
        <f t="shared" si="14"/>
        <v>8203.2526543896074</v>
      </c>
      <c r="R64" s="20">
        <f t="shared" si="14"/>
        <v>8281.7052761536379</v>
      </c>
      <c r="S64" s="20">
        <f t="shared" si="14"/>
        <v>8474.6202996641368</v>
      </c>
      <c r="T64" s="20">
        <f t="shared" si="14"/>
        <v>7961.5415438668097</v>
      </c>
      <c r="U64" s="20">
        <f t="shared" si="14"/>
        <v>4965.4204229820189</v>
      </c>
      <c r="V64" s="20">
        <f t="shared" si="14"/>
        <v>4965.815811909446</v>
      </c>
      <c r="W64" s="20">
        <f t="shared" si="14"/>
        <v>5030.2273833742602</v>
      </c>
      <c r="X64" s="20">
        <f t="shared" si="14"/>
        <v>5142.5390455834968</v>
      </c>
      <c r="Y64" s="20">
        <f t="shared" si="14"/>
        <v>5296.6114435448744</v>
      </c>
      <c r="AA64" s="606">
        <f t="shared" si="6"/>
        <v>143505.29010183571</v>
      </c>
      <c r="AB64" s="607">
        <f t="shared" si="2"/>
        <v>71752.645050917854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63">
        <v>0</v>
      </c>
      <c r="F66" s="363">
        <f>-F46+[15]FINANCIALS!G$105</f>
        <v>-5323.9298336143947</v>
      </c>
      <c r="G66" s="363">
        <f>-G46+[15]FINANCIALS!H$105</f>
        <v>-5191.4883270329155</v>
      </c>
      <c r="H66" s="363">
        <f>-H46+[15]FINANCIALS!I$105</f>
        <v>-5238.1884268590647</v>
      </c>
      <c r="I66" s="363">
        <f>-I46+[15]FINANCIALS!J$105</f>
        <v>-5318.4613669829087</v>
      </c>
      <c r="J66" s="363">
        <f>-J46+[15]FINANCIALS!K$105</f>
        <v>-5395.6878664676615</v>
      </c>
      <c r="K66" s="363">
        <f>-K46+[15]FINANCIALS!L$105</f>
        <v>-5423.3348083734381</v>
      </c>
      <c r="L66" s="363">
        <f>-L46+[15]FINANCIALS!M$105</f>
        <v>-5421.352231888709</v>
      </c>
      <c r="M66" s="363">
        <f>-M46+[15]FINANCIALS!N$105</f>
        <v>-5392.2338434485209</v>
      </c>
      <c r="N66" s="363">
        <f>-N46+[15]FINANCIALS!O$105</f>
        <v>-5390.5724624980303</v>
      </c>
      <c r="O66" s="363">
        <f>-O46+[15]FINANCIALS!P$105</f>
        <v>-5379.7065618320339</v>
      </c>
      <c r="P66" s="363">
        <f>-P46+[15]FINANCIALS!Q$105</f>
        <v>-5399.6011858046695</v>
      </c>
      <c r="Q66" s="363">
        <f>-Q46+[15]FINANCIALS!R$105</f>
        <v>-5509.1182740627737</v>
      </c>
      <c r="R66" s="363">
        <f>-R46+[15]FINANCIALS!S$105</f>
        <v>-5567.4380080047813</v>
      </c>
      <c r="S66" s="363">
        <f>-S46+[15]FINANCIALS!T$105</f>
        <v>-5791.2749304019817</v>
      </c>
      <c r="T66" s="363">
        <f>-T46+[15]FINANCIALS!U$105</f>
        <v>-5386.247075397665</v>
      </c>
      <c r="U66" s="363">
        <f>-U46+[15]FINANCIALS!V$105</f>
        <v>0</v>
      </c>
      <c r="V66" s="363">
        <f>-V46+[15]FINANCIALS!W$105</f>
        <v>0</v>
      </c>
      <c r="W66" s="363">
        <f>-W46+[15]FINANCIALS!X$105</f>
        <v>0</v>
      </c>
      <c r="X66" s="363">
        <f>-X46+[15]FINANCIALS!Y$105</f>
        <v>0</v>
      </c>
      <c r="Y66" s="363">
        <f>-Y46+[15]FINANCIALS!Z$105</f>
        <v>0</v>
      </c>
      <c r="AA66" s="606">
        <f t="shared" si="6"/>
        <v>-81128.635202669553</v>
      </c>
      <c r="AB66" s="607">
        <f t="shared" si="2"/>
        <v>-40564.317601334777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7589.2836800761461</v>
      </c>
      <c r="F69" s="95">
        <f t="shared" si="15"/>
        <v>2024.5718048611661</v>
      </c>
      <c r="G69" s="95">
        <f t="shared" si="15"/>
        <v>1988.3969804798726</v>
      </c>
      <c r="H69" s="95">
        <f t="shared" si="15"/>
        <v>2147.299829024988</v>
      </c>
      <c r="I69" s="95">
        <f t="shared" si="15"/>
        <v>2253.3240436068272</v>
      </c>
      <c r="J69" s="95">
        <f t="shared" si="15"/>
        <v>2389.8803595268073</v>
      </c>
      <c r="K69" s="95">
        <f t="shared" si="15"/>
        <v>2476.5038526787812</v>
      </c>
      <c r="L69" s="95">
        <f t="shared" si="15"/>
        <v>2555.5969440484405</v>
      </c>
      <c r="M69" s="95">
        <f t="shared" si="15"/>
        <v>2612.3696558521769</v>
      </c>
      <c r="N69" s="95">
        <f t="shared" si="15"/>
        <v>2619.4256443890827</v>
      </c>
      <c r="O69" s="95">
        <f t="shared" si="15"/>
        <v>2613.8346671031668</v>
      </c>
      <c r="P69" s="95">
        <f t="shared" si="15"/>
        <v>2627.7955239937764</v>
      </c>
      <c r="Q69" s="95">
        <f t="shared" si="15"/>
        <v>2694.1343803268337</v>
      </c>
      <c r="R69" s="95">
        <f t="shared" si="15"/>
        <v>2714.2672681488566</v>
      </c>
      <c r="S69" s="95">
        <f t="shared" si="15"/>
        <v>2683.3453692621551</v>
      </c>
      <c r="T69" s="95">
        <f t="shared" si="15"/>
        <v>2575.2944684691447</v>
      </c>
      <c r="U69" s="95">
        <f t="shared" si="15"/>
        <v>4965.4204229820189</v>
      </c>
      <c r="V69" s="95">
        <f t="shared" si="15"/>
        <v>4965.815811909446</v>
      </c>
      <c r="W69" s="95">
        <f t="shared" si="15"/>
        <v>5030.2273833742602</v>
      </c>
      <c r="X69" s="95">
        <f t="shared" si="15"/>
        <v>5142.5390455834968</v>
      </c>
      <c r="Y69" s="95">
        <f t="shared" si="15"/>
        <v>5296.6114435448744</v>
      </c>
      <c r="AA69" s="606">
        <f t="shared" si="6"/>
        <v>62376.654899166177</v>
      </c>
      <c r="AB69" s="607">
        <f t="shared" si="2"/>
        <v>31188.327449583088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6350.7754703569371</v>
      </c>
      <c r="G71" s="100">
        <f t="shared" si="16"/>
        <v>11046.139701786011</v>
      </c>
      <c r="H71" s="100">
        <f t="shared" si="16"/>
        <v>5922.0866758228703</v>
      </c>
      <c r="I71" s="100">
        <f t="shared" si="16"/>
        <v>2797.0371698024119</v>
      </c>
      <c r="J71" s="100">
        <f t="shared" si="16"/>
        <v>2650.9665919017198</v>
      </c>
      <c r="K71" s="100">
        <f t="shared" si="16"/>
        <v>288.92803079588924</v>
      </c>
      <c r="L71" s="100">
        <f t="shared" si="16"/>
        <v>-2064.9549738502715</v>
      </c>
      <c r="M71" s="100">
        <f t="shared" si="16"/>
        <v>-2158.3601535858052</v>
      </c>
      <c r="N71" s="100">
        <f t="shared" si="16"/>
        <v>-2249.8641301935427</v>
      </c>
      <c r="O71" s="100">
        <f t="shared" si="16"/>
        <v>-2339.7439726935381</v>
      </c>
      <c r="P71" s="100">
        <f t="shared" si="16"/>
        <v>-2456.2090480333259</v>
      </c>
      <c r="Q71" s="100">
        <f t="shared" si="16"/>
        <v>-2636.1484274760114</v>
      </c>
      <c r="R71" s="100">
        <f t="shared" si="16"/>
        <v>-2790.589588187423</v>
      </c>
      <c r="S71" s="100">
        <f t="shared" si="16"/>
        <v>-2781.2110653242626</v>
      </c>
      <c r="T71" s="100">
        <f t="shared" si="16"/>
        <v>-2937.2402994715785</v>
      </c>
      <c r="U71" s="100">
        <f t="shared" si="16"/>
        <v>-1899.2733117906221</v>
      </c>
      <c r="V71" s="100">
        <f t="shared" si="16"/>
        <v>-1899.4245480553629</v>
      </c>
      <c r="W71" s="100">
        <f t="shared" si="16"/>
        <v>-1924.0619741406545</v>
      </c>
      <c r="X71" s="100">
        <f t="shared" si="16"/>
        <v>-1967.0211849356876</v>
      </c>
      <c r="Y71" s="100">
        <f t="shared" si="16"/>
        <v>-2025.9538771559144</v>
      </c>
      <c r="AA71" s="606">
        <f t="shared" si="6"/>
        <v>-3074.1229144281624</v>
      </c>
      <c r="AB71" s="607">
        <f t="shared" si="2"/>
        <v>-1537.0614572140812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7589.2836800761461</v>
      </c>
      <c r="F73" s="28">
        <f t="shared" si="17"/>
        <v>8375.3472752181042</v>
      </c>
      <c r="G73" s="28">
        <f t="shared" si="17"/>
        <v>13034.536682265883</v>
      </c>
      <c r="H73" s="28">
        <f t="shared" si="17"/>
        <v>8069.3865048478583</v>
      </c>
      <c r="I73" s="28">
        <f t="shared" si="17"/>
        <v>5050.3612134092391</v>
      </c>
      <c r="J73" s="28">
        <f t="shared" si="17"/>
        <v>5040.8469514285271</v>
      </c>
      <c r="K73" s="28">
        <f t="shared" si="17"/>
        <v>2765.4318834746705</v>
      </c>
      <c r="L73" s="28">
        <f t="shared" si="17"/>
        <v>490.64197019816902</v>
      </c>
      <c r="M73" s="28">
        <f t="shared" si="17"/>
        <v>454.00950226637178</v>
      </c>
      <c r="N73" s="28">
        <f t="shared" si="17"/>
        <v>369.56151419553998</v>
      </c>
      <c r="O73" s="28">
        <f t="shared" si="17"/>
        <v>274.09069440962867</v>
      </c>
      <c r="P73" s="28">
        <f t="shared" si="17"/>
        <v>171.58647596045057</v>
      </c>
      <c r="Q73" s="28">
        <f t="shared" si="17"/>
        <v>57.985952850822287</v>
      </c>
      <c r="R73" s="28">
        <f t="shared" si="17"/>
        <v>-76.322320038566431</v>
      </c>
      <c r="S73" s="28">
        <f t="shared" si="17"/>
        <v>-97.865696062107418</v>
      </c>
      <c r="T73" s="28">
        <f t="shared" si="17"/>
        <v>-361.94583100243381</v>
      </c>
      <c r="U73" s="28">
        <f t="shared" si="17"/>
        <v>3066.147111191397</v>
      </c>
      <c r="V73" s="28">
        <f t="shared" si="17"/>
        <v>3066.3912638540833</v>
      </c>
      <c r="W73" s="28">
        <f t="shared" si="17"/>
        <v>3106.1654092336057</v>
      </c>
      <c r="X73" s="28">
        <f t="shared" si="17"/>
        <v>3175.5178606478094</v>
      </c>
      <c r="Y73" s="28">
        <f t="shared" si="17"/>
        <v>3270.6575663889598</v>
      </c>
      <c r="AA73" s="606">
        <f t="shared" si="6"/>
        <v>59302.531984738016</v>
      </c>
      <c r="AB73" s="607">
        <f t="shared" si="2"/>
        <v>29651.265992369008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2974.5885813378572</v>
      </c>
      <c r="F76" s="28">
        <f t="shared" si="19"/>
        <v>1791.951917927983</v>
      </c>
      <c r="G76" s="95">
        <f t="shared" si="19"/>
        <v>1873.6421223651662</v>
      </c>
      <c r="H76" s="28">
        <f t="shared" si="19"/>
        <v>1978.8132816503046</v>
      </c>
      <c r="I76" s="28">
        <f t="shared" si="19"/>
        <v>2175.5342280560581</v>
      </c>
      <c r="J76" s="28">
        <f t="shared" si="19"/>
        <v>2293.4408710020416</v>
      </c>
      <c r="K76" s="28">
        <f t="shared" si="19"/>
        <v>2478.9039906327407</v>
      </c>
      <c r="L76" s="28">
        <f t="shared" si="19"/>
        <v>2565.0238499313095</v>
      </c>
      <c r="M76" s="28">
        <f t="shared" si="19"/>
        <v>2733.1797146723893</v>
      </c>
      <c r="N76" s="28">
        <f t="shared" si="19"/>
        <v>1170.4672501565049</v>
      </c>
      <c r="O76" s="28">
        <f t="shared" si="19"/>
        <v>838.86686684739857</v>
      </c>
      <c r="P76" s="28">
        <f t="shared" si="19"/>
        <v>932.87625772624699</v>
      </c>
      <c r="Q76" s="28">
        <f t="shared" si="19"/>
        <v>1078.1214430933821</v>
      </c>
      <c r="R76" s="28">
        <f t="shared" si="19"/>
        <v>1202.7847329486717</v>
      </c>
      <c r="S76" s="28">
        <f t="shared" si="19"/>
        <v>1195.2144873695847</v>
      </c>
      <c r="T76" s="28">
        <f t="shared" si="19"/>
        <v>1321.1596534950327</v>
      </c>
      <c r="U76" s="28">
        <f t="shared" si="19"/>
        <v>483.32355559569834</v>
      </c>
      <c r="V76" s="28">
        <f t="shared" si="19"/>
        <v>483.44563192704146</v>
      </c>
      <c r="W76" s="28">
        <f t="shared" si="19"/>
        <v>503.33270461680286</v>
      </c>
      <c r="X76" s="28">
        <f t="shared" si="19"/>
        <v>538.00893032390468</v>
      </c>
      <c r="Y76" s="28">
        <f t="shared" si="19"/>
        <v>585.57878319447991</v>
      </c>
      <c r="AA76" s="606">
        <f t="shared" si="6"/>
        <v>28223.670273532742</v>
      </c>
      <c r="AB76" s="607">
        <f>AA76</f>
        <v>28223.670273532742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3794.641840038073</v>
      </c>
      <c r="F77" s="28">
        <f t="shared" si="20"/>
        <v>4187.6736376090521</v>
      </c>
      <c r="G77" s="95">
        <f t="shared" si="20"/>
        <v>6517.2683411329417</v>
      </c>
      <c r="H77" s="28">
        <f t="shared" si="20"/>
        <v>4034.6932524239292</v>
      </c>
      <c r="I77" s="28">
        <f t="shared" si="20"/>
        <v>2525.1806067046195</v>
      </c>
      <c r="J77" s="28">
        <f t="shared" si="20"/>
        <v>2520.4234757142635</v>
      </c>
      <c r="K77" s="28">
        <f t="shared" si="20"/>
        <v>1382.7159417373352</v>
      </c>
      <c r="L77" s="28">
        <f t="shared" si="20"/>
        <v>245.32098509908451</v>
      </c>
      <c r="M77" s="28">
        <f t="shared" si="20"/>
        <v>227.00475113318589</v>
      </c>
      <c r="N77" s="28">
        <f t="shared" si="20"/>
        <v>184.78075709776999</v>
      </c>
      <c r="O77" s="28">
        <f t="shared" si="20"/>
        <v>137.04534720481433</v>
      </c>
      <c r="P77" s="28">
        <f t="shared" si="20"/>
        <v>85.793237980225285</v>
      </c>
      <c r="Q77" s="28">
        <f t="shared" si="20"/>
        <v>28.992976425411143</v>
      </c>
      <c r="R77" s="28">
        <f t="shared" si="20"/>
        <v>-38.161160019283216</v>
      </c>
      <c r="S77" s="28">
        <f t="shared" si="20"/>
        <v>-48.932848031053709</v>
      </c>
      <c r="T77" s="28">
        <f t="shared" si="20"/>
        <v>-180.9729155012169</v>
      </c>
      <c r="U77" s="28">
        <f t="shared" si="20"/>
        <v>1533.0735555956985</v>
      </c>
      <c r="V77" s="28">
        <f t="shared" si="20"/>
        <v>1533.1956319270416</v>
      </c>
      <c r="W77" s="28">
        <f t="shared" si="20"/>
        <v>1553.0827046168029</v>
      </c>
      <c r="X77" s="28">
        <f t="shared" si="20"/>
        <v>1587.7589303239047</v>
      </c>
      <c r="Y77" s="28">
        <f t="shared" si="20"/>
        <v>1635.3287831944799</v>
      </c>
      <c r="AA77" s="606">
        <f t="shared" si="6"/>
        <v>29651.265992369008</v>
      </c>
      <c r="AB77" s="607">
        <f>AA77</f>
        <v>29651.265992369008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2024.5718048611661</v>
      </c>
      <c r="G88" s="200">
        <f t="shared" ref="G88:Y88" si="22">G69</f>
        <v>1988.3969804798726</v>
      </c>
      <c r="H88" s="200">
        <f t="shared" si="22"/>
        <v>2147.299829024988</v>
      </c>
      <c r="I88" s="200">
        <f t="shared" si="22"/>
        <v>2253.3240436068272</v>
      </c>
      <c r="J88" s="200">
        <f t="shared" si="22"/>
        <v>2389.8803595268073</v>
      </c>
      <c r="K88" s="200">
        <f t="shared" si="22"/>
        <v>2476.5038526787812</v>
      </c>
      <c r="L88" s="200">
        <f t="shared" si="22"/>
        <v>2555.5969440484405</v>
      </c>
      <c r="M88" s="200">
        <f t="shared" si="22"/>
        <v>2612.3696558521769</v>
      </c>
      <c r="N88" s="200">
        <f t="shared" si="22"/>
        <v>2619.4256443890827</v>
      </c>
      <c r="O88" s="200">
        <f t="shared" si="22"/>
        <v>2613.8346671031668</v>
      </c>
      <c r="P88" s="200">
        <f t="shared" si="22"/>
        <v>2627.7955239937764</v>
      </c>
      <c r="Q88" s="200">
        <f t="shared" si="22"/>
        <v>2694.1343803268337</v>
      </c>
      <c r="R88" s="200">
        <f t="shared" si="22"/>
        <v>2714.2672681488566</v>
      </c>
      <c r="S88" s="200">
        <f t="shared" si="22"/>
        <v>2683.3453692621551</v>
      </c>
      <c r="T88" s="200">
        <f t="shared" si="22"/>
        <v>2575.2944684691447</v>
      </c>
      <c r="U88" s="200">
        <f t="shared" si="22"/>
        <v>4965.4204229820189</v>
      </c>
      <c r="V88" s="200">
        <f t="shared" si="22"/>
        <v>4965.815811909446</v>
      </c>
      <c r="W88" s="200">
        <f t="shared" si="22"/>
        <v>5030.2273833742602</v>
      </c>
      <c r="X88" s="200">
        <f t="shared" si="22"/>
        <v>5142.5390455834968</v>
      </c>
      <c r="Y88" s="200">
        <f t="shared" si="22"/>
        <v>5296.6114435448744</v>
      </c>
      <c r="AA88" s="606">
        <f t="shared" si="6"/>
        <v>62376.654899166177</v>
      </c>
      <c r="AB88" s="607">
        <f t="shared" si="18"/>
        <v>31188.327449583088</v>
      </c>
    </row>
    <row r="89" spans="1:30" s="199" customFormat="1">
      <c r="A89" s="199" t="s">
        <v>53</v>
      </c>
      <c r="F89" s="110">
        <f>F126+F127</f>
        <v>6350.7754703569371</v>
      </c>
      <c r="G89" s="110">
        <f t="shared" ref="G89:Y89" si="23">G126+G127</f>
        <v>11046.139701786011</v>
      </c>
      <c r="H89" s="110">
        <f t="shared" si="23"/>
        <v>5922.0866758228703</v>
      </c>
      <c r="I89" s="110">
        <f t="shared" si="23"/>
        <v>2797.0371698024119</v>
      </c>
      <c r="J89" s="110">
        <f t="shared" si="23"/>
        <v>2650.9665919017198</v>
      </c>
      <c r="K89" s="110">
        <f t="shared" si="23"/>
        <v>288.92803079588924</v>
      </c>
      <c r="L89" s="110">
        <f t="shared" si="23"/>
        <v>-2064.9549738502715</v>
      </c>
      <c r="M89" s="110">
        <f t="shared" si="23"/>
        <v>-2158.3601535858052</v>
      </c>
      <c r="N89" s="110">
        <f t="shared" si="23"/>
        <v>-2249.8641301935427</v>
      </c>
      <c r="O89" s="110">
        <f t="shared" si="23"/>
        <v>-2339.7439726935381</v>
      </c>
      <c r="P89" s="110">
        <f t="shared" si="23"/>
        <v>-2456.2090480333259</v>
      </c>
      <c r="Q89" s="110">
        <f t="shared" si="23"/>
        <v>-2636.1484274760114</v>
      </c>
      <c r="R89" s="110">
        <f t="shared" si="23"/>
        <v>-2790.589588187423</v>
      </c>
      <c r="S89" s="110">
        <f t="shared" si="23"/>
        <v>-2781.2110653242626</v>
      </c>
      <c r="T89" s="110">
        <f t="shared" si="23"/>
        <v>-2937.2402994715785</v>
      </c>
      <c r="U89" s="110">
        <f t="shared" si="23"/>
        <v>-1899.2733117906221</v>
      </c>
      <c r="V89" s="110">
        <f t="shared" si="23"/>
        <v>-1899.4245480553629</v>
      </c>
      <c r="W89" s="110">
        <f t="shared" si="23"/>
        <v>-1924.0619741406545</v>
      </c>
      <c r="X89" s="110">
        <f t="shared" si="23"/>
        <v>-1967.0211849356876</v>
      </c>
      <c r="Y89" s="110">
        <f t="shared" si="23"/>
        <v>-2025.9538771559144</v>
      </c>
      <c r="AA89" s="606">
        <f t="shared" si="6"/>
        <v>-3074.1229144281624</v>
      </c>
      <c r="AB89" s="607">
        <f t="shared" si="18"/>
        <v>-1537.0614572140812</v>
      </c>
    </row>
    <row r="90" spans="1:30" s="199" customFormat="1">
      <c r="A90" s="199" t="s">
        <v>238</v>
      </c>
      <c r="F90" s="110">
        <f>F56</f>
        <v>3339.3664960110004</v>
      </c>
      <c r="G90" s="110">
        <f t="shared" ref="G90:Y90" si="24">G56</f>
        <v>3524.8868569005012</v>
      </c>
      <c r="H90" s="110">
        <f t="shared" si="24"/>
        <v>3524.8868569005012</v>
      </c>
      <c r="I90" s="110">
        <f t="shared" si="24"/>
        <v>3710.4072177900011</v>
      </c>
      <c r="J90" s="110">
        <f t="shared" si="24"/>
        <v>3710.4072177900011</v>
      </c>
      <c r="K90" s="110">
        <f t="shared" si="24"/>
        <v>3895.9275786795015</v>
      </c>
      <c r="L90" s="110">
        <f t="shared" si="24"/>
        <v>3895.9275786795015</v>
      </c>
      <c r="M90" s="110">
        <f t="shared" si="24"/>
        <v>4081.4479395690009</v>
      </c>
      <c r="N90" s="110">
        <f t="shared" si="24"/>
        <v>808.30090451036233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30491.558646830366</v>
      </c>
      <c r="AB90" s="607">
        <f t="shared" si="18"/>
        <v>15245.779323415183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42372.891548358995</v>
      </c>
      <c r="AA91" s="606">
        <f t="shared" si="6"/>
        <v>42372.891548358995</v>
      </c>
      <c r="AB91" s="607">
        <f t="shared" si="18"/>
        <v>21186.445774179498</v>
      </c>
    </row>
    <row r="92" spans="1:30" s="199" customFormat="1">
      <c r="A92" s="199" t="s">
        <v>55</v>
      </c>
      <c r="E92" s="346">
        <v>-65672.702496740443</v>
      </c>
      <c r="F92" s="200">
        <f>SUM(F88:F91)</f>
        <v>11714.713771229104</v>
      </c>
      <c r="G92" s="200">
        <f t="shared" ref="G92:Y92" si="25">SUM(G88:G91)</f>
        <v>16559.423539166386</v>
      </c>
      <c r="H92" s="200">
        <f t="shared" si="25"/>
        <v>11594.273361748359</v>
      </c>
      <c r="I92" s="200">
        <f t="shared" si="25"/>
        <v>8760.7684311992398</v>
      </c>
      <c r="J92" s="200">
        <f t="shared" si="25"/>
        <v>8751.2541692185277</v>
      </c>
      <c r="K92" s="200">
        <f t="shared" si="25"/>
        <v>6661.3594621541724</v>
      </c>
      <c r="L92" s="200">
        <f t="shared" si="25"/>
        <v>4386.569548877671</v>
      </c>
      <c r="M92" s="200">
        <f t="shared" si="25"/>
        <v>4535.4574418353732</v>
      </c>
      <c r="N92" s="200">
        <f t="shared" si="25"/>
        <v>1177.8624187059022</v>
      </c>
      <c r="O92" s="200">
        <f t="shared" si="25"/>
        <v>274.09069440962867</v>
      </c>
      <c r="P92" s="200">
        <f t="shared" si="25"/>
        <v>171.58647596045057</v>
      </c>
      <c r="Q92" s="200">
        <f t="shared" si="25"/>
        <v>57.985952850822287</v>
      </c>
      <c r="R92" s="200">
        <f t="shared" si="25"/>
        <v>-76.322320038566431</v>
      </c>
      <c r="S92" s="200">
        <f t="shared" si="25"/>
        <v>-97.865696062107418</v>
      </c>
      <c r="T92" s="200">
        <f t="shared" si="25"/>
        <v>-361.94583100243381</v>
      </c>
      <c r="U92" s="200">
        <f t="shared" si="25"/>
        <v>3066.147111191397</v>
      </c>
      <c r="V92" s="200">
        <f t="shared" si="25"/>
        <v>3066.3912638540833</v>
      </c>
      <c r="W92" s="200">
        <f t="shared" si="25"/>
        <v>3106.1654092336057</v>
      </c>
      <c r="X92" s="200">
        <f t="shared" si="25"/>
        <v>3175.5178606478094</v>
      </c>
      <c r="Y92" s="200">
        <f t="shared" si="25"/>
        <v>45643.549114747955</v>
      </c>
      <c r="AA92" s="606">
        <f t="shared" si="6"/>
        <v>132166.98217992741</v>
      </c>
      <c r="AB92" s="607">
        <f t="shared" si="18"/>
        <v>66083.491089963703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203">
        <f>NPV(C96,E92:Y92)</f>
        <v>0</v>
      </c>
      <c r="R95" s="204"/>
      <c r="U95" s="205" t="s">
        <v>58</v>
      </c>
      <c r="V95" s="206"/>
      <c r="W95" s="206"/>
      <c r="X95" s="206"/>
      <c r="Y95" s="207">
        <f>Y39</f>
        <v>5296.6114435448744</v>
      </c>
      <c r="AA95" s="606">
        <f t="shared" si="6"/>
        <v>5296.6114435448744</v>
      </c>
      <c r="AB95" s="607">
        <f t="shared" si="18"/>
        <v>2648.3057217724372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5296.6114435448744</v>
      </c>
      <c r="AA97" s="606">
        <f t="shared" si="6"/>
        <v>5296.6114435448744</v>
      </c>
      <c r="AB97" s="607">
        <f t="shared" si="18"/>
        <v>2648.3057217724372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42372.891548358995</v>
      </c>
      <c r="AA99" s="606">
        <f t="shared" si="6"/>
        <v>42372.891548358995</v>
      </c>
      <c r="AB99" s="607">
        <f t="shared" si="18"/>
        <v>21186.445774179498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1133">
        <f>[15]FINANCIALS!$F$72+[15]FINANCIALS!$F$66</f>
        <v>47657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65672.702496740443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113329.70249674044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101996.73224706641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126">
        <v>30</v>
      </c>
      <c r="C109" s="199" t="s">
        <v>0</v>
      </c>
      <c r="D109" s="214">
        <f>D105</f>
        <v>101996.73224706641</v>
      </c>
      <c r="F109" s="203">
        <f>ROUND(D109/$B$109,0)</f>
        <v>3400</v>
      </c>
      <c r="G109" s="203">
        <f>F109</f>
        <v>3400</v>
      </c>
      <c r="H109" s="203">
        <f t="shared" ref="H109:Y110" si="28">G109</f>
        <v>3400</v>
      </c>
      <c r="I109" s="203">
        <f t="shared" si="28"/>
        <v>3400</v>
      </c>
      <c r="J109" s="203">
        <f t="shared" si="28"/>
        <v>3400</v>
      </c>
      <c r="K109" s="203">
        <f t="shared" si="28"/>
        <v>3400</v>
      </c>
      <c r="L109" s="203">
        <f t="shared" si="28"/>
        <v>3400</v>
      </c>
      <c r="M109" s="203">
        <f t="shared" si="28"/>
        <v>3400</v>
      </c>
      <c r="N109" s="203">
        <f t="shared" si="28"/>
        <v>3400</v>
      </c>
      <c r="O109" s="203">
        <f t="shared" si="28"/>
        <v>3400</v>
      </c>
      <c r="P109" s="203">
        <f t="shared" si="28"/>
        <v>3400</v>
      </c>
      <c r="Q109" s="203">
        <f t="shared" si="28"/>
        <v>3400</v>
      </c>
      <c r="R109" s="203">
        <f t="shared" si="28"/>
        <v>3400</v>
      </c>
      <c r="S109" s="203">
        <f t="shared" si="28"/>
        <v>3400</v>
      </c>
      <c r="T109" s="203">
        <f t="shared" si="28"/>
        <v>3400</v>
      </c>
      <c r="U109" s="203">
        <f t="shared" si="28"/>
        <v>3400</v>
      </c>
      <c r="V109" s="203">
        <f t="shared" si="28"/>
        <v>3400</v>
      </c>
      <c r="W109" s="203">
        <f t="shared" si="28"/>
        <v>3400</v>
      </c>
      <c r="X109" s="203">
        <f t="shared" si="28"/>
        <v>3400</v>
      </c>
      <c r="Y109" s="203">
        <f t="shared" si="28"/>
        <v>3400</v>
      </c>
      <c r="AA109" s="606">
        <f t="shared" si="26"/>
        <v>68000</v>
      </c>
      <c r="AB109" s="607">
        <f t="shared" si="18"/>
        <v>34000</v>
      </c>
    </row>
    <row r="110" spans="1:28" s="199" customFormat="1">
      <c r="A110" s="199" t="s">
        <v>571</v>
      </c>
      <c r="D110" s="214">
        <f>D104*'FPLE_Wind Summary'!V17</f>
        <v>11021.429502283143</v>
      </c>
      <c r="F110" s="203">
        <f>ROUND(D110/$B$109,0)</f>
        <v>367</v>
      </c>
      <c r="G110" s="203">
        <f>F110</f>
        <v>367</v>
      </c>
      <c r="H110" s="203">
        <f t="shared" si="28"/>
        <v>367</v>
      </c>
      <c r="I110" s="203">
        <f t="shared" si="28"/>
        <v>367</v>
      </c>
      <c r="J110" s="203">
        <f t="shared" si="28"/>
        <v>367</v>
      </c>
      <c r="K110" s="203">
        <f t="shared" si="28"/>
        <v>367</v>
      </c>
      <c r="L110" s="203">
        <f t="shared" si="28"/>
        <v>367</v>
      </c>
      <c r="M110" s="203">
        <f t="shared" si="28"/>
        <v>367</v>
      </c>
      <c r="N110" s="203">
        <f t="shared" si="28"/>
        <v>367</v>
      </c>
      <c r="O110" s="203">
        <f t="shared" si="28"/>
        <v>367</v>
      </c>
      <c r="P110" s="203">
        <f t="shared" si="28"/>
        <v>367</v>
      </c>
      <c r="Q110" s="203">
        <f t="shared" si="28"/>
        <v>367</v>
      </c>
      <c r="R110" s="203">
        <f t="shared" si="28"/>
        <v>367</v>
      </c>
      <c r="S110" s="203">
        <f t="shared" si="28"/>
        <v>367</v>
      </c>
      <c r="T110" s="203">
        <f t="shared" si="28"/>
        <v>367</v>
      </c>
      <c r="U110" s="203">
        <f t="shared" si="28"/>
        <v>367</v>
      </c>
      <c r="V110" s="203">
        <f t="shared" si="28"/>
        <v>367</v>
      </c>
      <c r="W110" s="203">
        <f t="shared" si="28"/>
        <v>367</v>
      </c>
      <c r="X110" s="203">
        <f t="shared" si="28"/>
        <v>367</v>
      </c>
      <c r="Y110" s="203">
        <f t="shared" si="28"/>
        <v>367</v>
      </c>
      <c r="AA110" s="606">
        <f t="shared" si="26"/>
        <v>7340</v>
      </c>
      <c r="AB110" s="607">
        <f t="shared" si="18"/>
        <v>3670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101996.73224706641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110</v>
      </c>
      <c r="E114" s="215"/>
      <c r="F114" s="364">
        <v>0.2</v>
      </c>
      <c r="G114" s="364">
        <v>0.32</v>
      </c>
      <c r="H114" s="364">
        <v>0.192</v>
      </c>
      <c r="I114" s="364">
        <v>0.1152</v>
      </c>
      <c r="J114" s="364">
        <v>0.1152</v>
      </c>
      <c r="K114" s="364">
        <v>5.7599999999999998E-2</v>
      </c>
      <c r="L114" s="364">
        <v>0</v>
      </c>
      <c r="M114" s="364">
        <v>0</v>
      </c>
      <c r="N114" s="364">
        <v>0</v>
      </c>
      <c r="O114" s="364">
        <v>0</v>
      </c>
      <c r="P114" s="364">
        <v>0</v>
      </c>
      <c r="Q114" s="364">
        <v>0</v>
      </c>
      <c r="R114" s="364">
        <v>0</v>
      </c>
      <c r="S114" s="364">
        <v>0</v>
      </c>
      <c r="T114" s="364">
        <v>0</v>
      </c>
      <c r="U114" s="364">
        <v>0</v>
      </c>
      <c r="V114" s="364">
        <v>0</v>
      </c>
      <c r="W114" s="364">
        <v>0</v>
      </c>
      <c r="X114" s="364">
        <v>0</v>
      </c>
      <c r="Y114" s="36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Y115" si="29">$D$113*F114</f>
        <v>20399.346449413282</v>
      </c>
      <c r="G115" s="203">
        <f t="shared" si="29"/>
        <v>32638.954319061249</v>
      </c>
      <c r="H115" s="203">
        <f t="shared" si="29"/>
        <v>19583.37259143675</v>
      </c>
      <c r="I115" s="203">
        <f t="shared" si="29"/>
        <v>11750.023554862049</v>
      </c>
      <c r="J115" s="203">
        <f t="shared" si="29"/>
        <v>11750.023554862049</v>
      </c>
      <c r="K115" s="203">
        <f t="shared" si="29"/>
        <v>5875.0117774310247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101996.73224706641</v>
      </c>
      <c r="AB115" s="607">
        <f t="shared" si="18"/>
        <v>50998.366123533204</v>
      </c>
    </row>
    <row r="116" spans="1:28" s="199" customFormat="1">
      <c r="A116" s="199" t="s">
        <v>571</v>
      </c>
      <c r="D116" s="214">
        <f>D110</f>
        <v>11021.429502283143</v>
      </c>
      <c r="F116" s="203">
        <f t="shared" ref="F116:L116" si="30">$D$116*F114</f>
        <v>2204.2859004566285</v>
      </c>
      <c r="G116" s="203">
        <f t="shared" si="30"/>
        <v>3526.857440730606</v>
      </c>
      <c r="H116" s="203">
        <f t="shared" si="30"/>
        <v>2116.1144644383635</v>
      </c>
      <c r="I116" s="203">
        <f t="shared" si="30"/>
        <v>1269.668678663018</v>
      </c>
      <c r="J116" s="203">
        <f t="shared" si="30"/>
        <v>1269.668678663018</v>
      </c>
      <c r="K116" s="203">
        <f t="shared" si="30"/>
        <v>634.834339331509</v>
      </c>
      <c r="L116" s="203">
        <f t="shared" si="30"/>
        <v>0</v>
      </c>
      <c r="M116" s="203">
        <f t="shared" ref="M116:Y116" si="31">$D$116*M114</f>
        <v>0</v>
      </c>
      <c r="N116" s="203">
        <f t="shared" si="31"/>
        <v>0</v>
      </c>
      <c r="O116" s="203">
        <f t="shared" si="31"/>
        <v>0</v>
      </c>
      <c r="P116" s="203">
        <f t="shared" si="31"/>
        <v>0</v>
      </c>
      <c r="Q116" s="203">
        <f t="shared" si="31"/>
        <v>0</v>
      </c>
      <c r="R116" s="203">
        <f t="shared" si="31"/>
        <v>0</v>
      </c>
      <c r="S116" s="203">
        <f t="shared" si="31"/>
        <v>0</v>
      </c>
      <c r="T116" s="203">
        <f t="shared" si="31"/>
        <v>0</v>
      </c>
      <c r="U116" s="203">
        <f t="shared" si="31"/>
        <v>0</v>
      </c>
      <c r="V116" s="203">
        <f t="shared" si="31"/>
        <v>0</v>
      </c>
      <c r="W116" s="203">
        <f t="shared" si="31"/>
        <v>0</v>
      </c>
      <c r="X116" s="203">
        <f t="shared" si="31"/>
        <v>0</v>
      </c>
      <c r="Y116" s="203">
        <f t="shared" si="31"/>
        <v>0</v>
      </c>
      <c r="AA116" s="606">
        <f t="shared" si="26"/>
        <v>11021.429502283143</v>
      </c>
      <c r="AB116" s="607">
        <f t="shared" si="18"/>
        <v>5510.7147511415715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2">G107</f>
        <v>2002</v>
      </c>
      <c r="H119" s="109">
        <f t="shared" si="32"/>
        <v>2003</v>
      </c>
      <c r="I119" s="109">
        <f t="shared" si="32"/>
        <v>2004</v>
      </c>
      <c r="J119" s="109">
        <f t="shared" si="32"/>
        <v>2005</v>
      </c>
      <c r="K119" s="109">
        <f t="shared" si="32"/>
        <v>2006</v>
      </c>
      <c r="L119" s="109">
        <f t="shared" si="32"/>
        <v>2007</v>
      </c>
      <c r="M119" s="109">
        <f t="shared" si="32"/>
        <v>2008</v>
      </c>
      <c r="N119" s="109">
        <f t="shared" si="32"/>
        <v>2009</v>
      </c>
      <c r="O119" s="109">
        <f t="shared" si="32"/>
        <v>2010</v>
      </c>
      <c r="P119" s="109">
        <f t="shared" si="32"/>
        <v>2011</v>
      </c>
      <c r="Q119" s="109">
        <f t="shared" si="32"/>
        <v>2012</v>
      </c>
      <c r="R119" s="109">
        <f t="shared" si="32"/>
        <v>2013</v>
      </c>
      <c r="S119" s="109">
        <f t="shared" si="32"/>
        <v>2014</v>
      </c>
      <c r="T119" s="109">
        <f t="shared" si="32"/>
        <v>2015</v>
      </c>
      <c r="U119" s="109">
        <f t="shared" si="32"/>
        <v>2016</v>
      </c>
      <c r="V119" s="109">
        <f t="shared" si="32"/>
        <v>2017</v>
      </c>
      <c r="W119" s="109">
        <f t="shared" si="32"/>
        <v>2018</v>
      </c>
      <c r="X119" s="109">
        <f t="shared" si="32"/>
        <v>2019</v>
      </c>
      <c r="Y119" s="109">
        <f t="shared" si="32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7348.5016384755609</v>
      </c>
      <c r="G121" s="203">
        <f t="shared" ref="G121:Y121" si="33">G39</f>
        <v>7179.8853075127881</v>
      </c>
      <c r="H121" s="203">
        <f t="shared" si="33"/>
        <v>7385.4882558840527</v>
      </c>
      <c r="I121" s="203">
        <f t="shared" si="33"/>
        <v>7571.7854105897359</v>
      </c>
      <c r="J121" s="203">
        <f>J39</f>
        <v>7785.5682259944688</v>
      </c>
      <c r="K121" s="203">
        <f t="shared" si="33"/>
        <v>7899.8386610522193</v>
      </c>
      <c r="L121" s="203">
        <f t="shared" si="33"/>
        <v>7976.9491759371494</v>
      </c>
      <c r="M121" s="203">
        <f t="shared" si="33"/>
        <v>8004.6034993006979</v>
      </c>
      <c r="N121" s="203">
        <f t="shared" si="33"/>
        <v>8009.998106887113</v>
      </c>
      <c r="O121" s="203">
        <f t="shared" si="33"/>
        <v>7993.5412289352007</v>
      </c>
      <c r="P121" s="203">
        <f t="shared" si="33"/>
        <v>8027.396709798446</v>
      </c>
      <c r="Q121" s="203">
        <f t="shared" si="33"/>
        <v>8203.2526543896074</v>
      </c>
      <c r="R121" s="203">
        <f t="shared" si="33"/>
        <v>8281.7052761536379</v>
      </c>
      <c r="S121" s="203">
        <f t="shared" si="33"/>
        <v>8474.6202996641368</v>
      </c>
      <c r="T121" s="203">
        <f t="shared" si="33"/>
        <v>7961.5415438668097</v>
      </c>
      <c r="U121" s="203">
        <f t="shared" si="33"/>
        <v>4965.4204229820189</v>
      </c>
      <c r="V121" s="203">
        <f t="shared" si="33"/>
        <v>4965.815811909446</v>
      </c>
      <c r="W121" s="203">
        <f t="shared" si="33"/>
        <v>5030.2273833742602</v>
      </c>
      <c r="X121" s="203">
        <f t="shared" si="33"/>
        <v>5142.5390455834968</v>
      </c>
      <c r="Y121" s="203">
        <f t="shared" si="33"/>
        <v>5296.6114435448744</v>
      </c>
      <c r="AA121" s="606">
        <f t="shared" si="26"/>
        <v>143505.29010183571</v>
      </c>
      <c r="AB121" s="607">
        <f t="shared" si="18"/>
        <v>71752.645050917854</v>
      </c>
    </row>
    <row r="122" spans="1:28" s="199" customFormat="1">
      <c r="A122" s="199" t="s">
        <v>74</v>
      </c>
      <c r="F122" s="203">
        <f>-F115</f>
        <v>-20399.346449413282</v>
      </c>
      <c r="G122" s="203">
        <f t="shared" ref="G122:Y122" si="34">-G115</f>
        <v>-32638.954319061249</v>
      </c>
      <c r="H122" s="203">
        <f t="shared" si="34"/>
        <v>-19583.37259143675</v>
      </c>
      <c r="I122" s="203">
        <f t="shared" si="34"/>
        <v>-11750.023554862049</v>
      </c>
      <c r="J122" s="203">
        <f t="shared" si="34"/>
        <v>-11750.023554862049</v>
      </c>
      <c r="K122" s="203">
        <f t="shared" si="34"/>
        <v>-5875.0117774310247</v>
      </c>
      <c r="L122" s="203">
        <f t="shared" si="34"/>
        <v>0</v>
      </c>
      <c r="M122" s="203">
        <f t="shared" si="34"/>
        <v>0</v>
      </c>
      <c r="N122" s="203">
        <f t="shared" si="34"/>
        <v>0</v>
      </c>
      <c r="O122" s="203">
        <f t="shared" si="34"/>
        <v>0</v>
      </c>
      <c r="P122" s="203">
        <f t="shared" si="34"/>
        <v>0</v>
      </c>
      <c r="Q122" s="203">
        <f t="shared" si="34"/>
        <v>0</v>
      </c>
      <c r="R122" s="203">
        <f t="shared" si="34"/>
        <v>0</v>
      </c>
      <c r="S122" s="203">
        <f t="shared" si="34"/>
        <v>0</v>
      </c>
      <c r="T122" s="203">
        <f t="shared" si="34"/>
        <v>0</v>
      </c>
      <c r="U122" s="203">
        <f t="shared" si="34"/>
        <v>0</v>
      </c>
      <c r="V122" s="203">
        <f t="shared" si="34"/>
        <v>0</v>
      </c>
      <c r="W122" s="203">
        <f t="shared" si="34"/>
        <v>0</v>
      </c>
      <c r="X122" s="203">
        <f t="shared" si="34"/>
        <v>0</v>
      </c>
      <c r="Y122" s="203">
        <f t="shared" si="34"/>
        <v>0</v>
      </c>
      <c r="AA122" s="606">
        <f t="shared" si="26"/>
        <v>-101996.73224706641</v>
      </c>
      <c r="AB122" s="607">
        <f t="shared" si="18"/>
        <v>-50998.366123533204</v>
      </c>
    </row>
    <row r="123" spans="1:28" s="199" customFormat="1">
      <c r="A123" s="199" t="s">
        <v>75</v>
      </c>
      <c r="F123" s="218">
        <f>-F46</f>
        <v>-3552.4897520869531</v>
      </c>
      <c r="G123" s="218">
        <f t="shared" ref="G123:Y123" si="35">-G46</f>
        <v>-3419.7275944280414</v>
      </c>
      <c r="H123" s="218">
        <f t="shared" si="35"/>
        <v>-3284.6952090822588</v>
      </c>
      <c r="I123" s="218">
        <f t="shared" si="35"/>
        <v>-3134.2773323352994</v>
      </c>
      <c r="J123" s="218">
        <f t="shared" si="35"/>
        <v>-2966.1762839473731</v>
      </c>
      <c r="K123" s="218">
        <f t="shared" si="35"/>
        <v>-2780.1942843947613</v>
      </c>
      <c r="L123" s="218">
        <f t="shared" si="35"/>
        <v>-2578.3740809037599</v>
      </c>
      <c r="M123" s="218">
        <f t="shared" si="35"/>
        <v>-2361.831855939115</v>
      </c>
      <c r="N123" s="218">
        <f t="shared" si="35"/>
        <v>-2128.0003808909228</v>
      </c>
      <c r="O123" s="218">
        <f t="shared" si="35"/>
        <v>-1876.5635225468654</v>
      </c>
      <c r="P123" s="218">
        <f t="shared" si="35"/>
        <v>-1605.9351463126261</v>
      </c>
      <c r="Q123" s="218">
        <f t="shared" si="35"/>
        <v>-1311.3613407268317</v>
      </c>
      <c r="R123" s="218">
        <f t="shared" si="35"/>
        <v>-986.04622206887143</v>
      </c>
      <c r="S123" s="218">
        <f t="shared" si="35"/>
        <v>-1203.4802596007044</v>
      </c>
      <c r="T123" s="218">
        <f t="shared" si="35"/>
        <v>-282.48193740516564</v>
      </c>
      <c r="U123" s="218">
        <f t="shared" si="35"/>
        <v>0</v>
      </c>
      <c r="V123" s="218">
        <f t="shared" si="35"/>
        <v>0</v>
      </c>
      <c r="W123" s="218">
        <f t="shared" si="35"/>
        <v>0</v>
      </c>
      <c r="X123" s="218">
        <f t="shared" si="35"/>
        <v>0</v>
      </c>
      <c r="Y123" s="218">
        <f t="shared" si="35"/>
        <v>0</v>
      </c>
      <c r="AA123" s="606">
        <f t="shared" si="26"/>
        <v>-33471.635202669553</v>
      </c>
      <c r="AB123" s="607">
        <f t="shared" si="18"/>
        <v>-16735.817601334777</v>
      </c>
    </row>
    <row r="124" spans="1:28" s="199" customFormat="1">
      <c r="A124" s="199" t="s">
        <v>76</v>
      </c>
      <c r="F124" s="203">
        <f>SUM(F121:F123)</f>
        <v>-16603.334563024673</v>
      </c>
      <c r="G124" s="203">
        <f t="shared" ref="G124:Y124" si="36">SUM(G121:G123)</f>
        <v>-28878.796605976502</v>
      </c>
      <c r="H124" s="203">
        <f t="shared" si="36"/>
        <v>-15482.579544634955</v>
      </c>
      <c r="I124" s="203">
        <f t="shared" si="36"/>
        <v>-7312.515476607613</v>
      </c>
      <c r="J124" s="203">
        <f t="shared" si="36"/>
        <v>-6930.6316128149538</v>
      </c>
      <c r="K124" s="203">
        <f t="shared" si="36"/>
        <v>-755.36740077356671</v>
      </c>
      <c r="L124" s="203">
        <f t="shared" si="36"/>
        <v>5398.5750950333895</v>
      </c>
      <c r="M124" s="203">
        <f t="shared" si="36"/>
        <v>5642.7716433615824</v>
      </c>
      <c r="N124" s="203">
        <f t="shared" si="36"/>
        <v>5881.9977259961906</v>
      </c>
      <c r="O124" s="203">
        <f t="shared" si="36"/>
        <v>6116.9777063883357</v>
      </c>
      <c r="P124" s="203">
        <f t="shared" si="36"/>
        <v>6421.4615634858201</v>
      </c>
      <c r="Q124" s="203">
        <f t="shared" si="36"/>
        <v>6891.8913136627762</v>
      </c>
      <c r="R124" s="203">
        <f t="shared" si="36"/>
        <v>7295.6590540847665</v>
      </c>
      <c r="S124" s="203">
        <f t="shared" si="36"/>
        <v>7271.140040063432</v>
      </c>
      <c r="T124" s="203">
        <f t="shared" si="36"/>
        <v>7679.0596064616439</v>
      </c>
      <c r="U124" s="203">
        <f t="shared" si="36"/>
        <v>4965.4204229820189</v>
      </c>
      <c r="V124" s="203">
        <f t="shared" si="36"/>
        <v>4965.815811909446</v>
      </c>
      <c r="W124" s="203">
        <f t="shared" si="36"/>
        <v>5030.2273833742602</v>
      </c>
      <c r="X124" s="203">
        <f t="shared" si="36"/>
        <v>5142.5390455834968</v>
      </c>
      <c r="Y124" s="203">
        <f t="shared" si="36"/>
        <v>5296.6114435448744</v>
      </c>
      <c r="AA124" s="606">
        <f t="shared" si="26"/>
        <v>8036.9226520997727</v>
      </c>
      <c r="AB124" s="607">
        <f t="shared" si="18"/>
        <v>4018.4613260498863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830.16672815123366</v>
      </c>
      <c r="G126" s="203">
        <f t="shared" ref="G126:Y126" si="37">-G124*$C$126</f>
        <v>1443.9398302988252</v>
      </c>
      <c r="H126" s="203">
        <f t="shared" si="37"/>
        <v>774.12897723174774</v>
      </c>
      <c r="I126" s="203">
        <f t="shared" si="37"/>
        <v>365.62577383038069</v>
      </c>
      <c r="J126" s="203">
        <f t="shared" si="37"/>
        <v>346.53158064074773</v>
      </c>
      <c r="K126" s="203">
        <f t="shared" si="37"/>
        <v>37.768370038678334</v>
      </c>
      <c r="L126" s="203">
        <f t="shared" si="37"/>
        <v>-269.92875475166949</v>
      </c>
      <c r="M126" s="203">
        <f t="shared" si="37"/>
        <v>-282.13858216807915</v>
      </c>
      <c r="N126" s="203">
        <f t="shared" si="37"/>
        <v>-294.09988629980955</v>
      </c>
      <c r="O126" s="203">
        <f t="shared" si="37"/>
        <v>-305.84888531941681</v>
      </c>
      <c r="P126" s="203">
        <f t="shared" si="37"/>
        <v>-321.07307817429103</v>
      </c>
      <c r="Q126" s="203">
        <f t="shared" si="37"/>
        <v>-344.59456568313885</v>
      </c>
      <c r="R126" s="203">
        <f t="shared" si="37"/>
        <v>-364.78295270423837</v>
      </c>
      <c r="S126" s="203">
        <f t="shared" si="37"/>
        <v>-363.55700200317165</v>
      </c>
      <c r="T126" s="203">
        <f t="shared" si="37"/>
        <v>-383.95298032308222</v>
      </c>
      <c r="U126" s="203">
        <f t="shared" si="37"/>
        <v>-248.27102114910096</v>
      </c>
      <c r="V126" s="203">
        <f t="shared" si="37"/>
        <v>-248.29079059547232</v>
      </c>
      <c r="W126" s="203">
        <f t="shared" si="37"/>
        <v>-251.51136916871303</v>
      </c>
      <c r="X126" s="203">
        <f t="shared" si="37"/>
        <v>-257.12695227917487</v>
      </c>
      <c r="Y126" s="203">
        <f t="shared" si="37"/>
        <v>-264.83057217724371</v>
      </c>
      <c r="AA126" s="606">
        <f t="shared" si="26"/>
        <v>-401.84613260498838</v>
      </c>
      <c r="AB126" s="607">
        <f t="shared" si="18"/>
        <v>-200.92306630249419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5520.6087422057035</v>
      </c>
      <c r="G127" s="203">
        <f t="shared" ref="G127:Y127" si="38">-(G124+G126)*$C$127</f>
        <v>9602.1998714871861</v>
      </c>
      <c r="H127" s="203">
        <f t="shared" si="38"/>
        <v>5147.9576985911226</v>
      </c>
      <c r="I127" s="203">
        <f t="shared" si="38"/>
        <v>2431.4113959720312</v>
      </c>
      <c r="J127" s="203">
        <f t="shared" si="38"/>
        <v>2304.4350112609718</v>
      </c>
      <c r="K127" s="203">
        <f t="shared" si="38"/>
        <v>251.15966075721093</v>
      </c>
      <c r="L127" s="203">
        <f t="shared" si="38"/>
        <v>-1795.0262190986018</v>
      </c>
      <c r="M127" s="203">
        <f t="shared" si="38"/>
        <v>-1876.2215714177262</v>
      </c>
      <c r="N127" s="203">
        <f t="shared" si="38"/>
        <v>-1955.7642438937332</v>
      </c>
      <c r="O127" s="203">
        <f t="shared" si="38"/>
        <v>-2033.8950873741214</v>
      </c>
      <c r="P127" s="203">
        <f t="shared" si="38"/>
        <v>-2135.135969859035</v>
      </c>
      <c r="Q127" s="203">
        <f t="shared" si="38"/>
        <v>-2291.5538617928728</v>
      </c>
      <c r="R127" s="203">
        <f t="shared" si="38"/>
        <v>-2425.8066354831844</v>
      </c>
      <c r="S127" s="203">
        <f t="shared" si="38"/>
        <v>-2417.6540633210907</v>
      </c>
      <c r="T127" s="203">
        <f t="shared" si="38"/>
        <v>-2553.2873191484964</v>
      </c>
      <c r="U127" s="203">
        <f t="shared" si="38"/>
        <v>-1651.0022906415211</v>
      </c>
      <c r="V127" s="203">
        <f t="shared" si="38"/>
        <v>-1651.1337574598906</v>
      </c>
      <c r="W127" s="203">
        <f t="shared" si="38"/>
        <v>-1672.5506049719415</v>
      </c>
      <c r="X127" s="203">
        <f t="shared" si="38"/>
        <v>-1709.8942326565127</v>
      </c>
      <c r="Y127" s="203">
        <f t="shared" si="38"/>
        <v>-1761.1233049786706</v>
      </c>
      <c r="AA127" s="606">
        <f t="shared" si="26"/>
        <v>-2672.276781823175</v>
      </c>
      <c r="AB127" s="607">
        <f t="shared" si="18"/>
        <v>-1336.1383909115875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9">G119</f>
        <v>2002</v>
      </c>
      <c r="H135" s="109">
        <f t="shared" si="39"/>
        <v>2003</v>
      </c>
      <c r="I135" s="109">
        <f t="shared" si="39"/>
        <v>2004</v>
      </c>
      <c r="J135" s="109">
        <f t="shared" si="39"/>
        <v>2005</v>
      </c>
      <c r="K135" s="109">
        <f t="shared" si="39"/>
        <v>2006</v>
      </c>
      <c r="L135" s="109">
        <f t="shared" si="39"/>
        <v>2007</v>
      </c>
      <c r="M135" s="109">
        <f t="shared" si="39"/>
        <v>2008</v>
      </c>
      <c r="N135" s="109">
        <f t="shared" si="39"/>
        <v>2009</v>
      </c>
      <c r="O135" s="109">
        <f t="shared" si="39"/>
        <v>2010</v>
      </c>
      <c r="P135" s="109">
        <f t="shared" si="39"/>
        <v>2011</v>
      </c>
      <c r="Q135" s="109">
        <f t="shared" si="39"/>
        <v>2012</v>
      </c>
      <c r="R135" s="109">
        <f t="shared" si="39"/>
        <v>2013</v>
      </c>
      <c r="S135" s="109">
        <f t="shared" si="39"/>
        <v>2014</v>
      </c>
      <c r="T135" s="109">
        <f t="shared" si="39"/>
        <v>2015</v>
      </c>
      <c r="U135" s="109">
        <f t="shared" si="39"/>
        <v>2016</v>
      </c>
      <c r="V135" s="109">
        <f t="shared" si="39"/>
        <v>2017</v>
      </c>
      <c r="W135" s="109">
        <f t="shared" si="39"/>
        <v>2018</v>
      </c>
      <c r="X135" s="109">
        <f t="shared" si="39"/>
        <v>2019</v>
      </c>
      <c r="Y135" s="109">
        <f t="shared" si="39"/>
        <v>2020</v>
      </c>
      <c r="AA135" s="606">
        <f t="shared" si="26"/>
        <v>40210</v>
      </c>
      <c r="AB135" s="607">
        <f t="shared" ref="AB135:AB151" si="40">AA135</f>
        <v>40210</v>
      </c>
    </row>
    <row r="136" spans="1:28" s="199" customFormat="1">
      <c r="AA136" s="606">
        <f t="shared" si="26"/>
        <v>0</v>
      </c>
      <c r="AB136" s="607">
        <f t="shared" si="40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3552.4897520869531</v>
      </c>
      <c r="G137" s="354">
        <f t="shared" ref="G137:Y137" si="41">G46*$E$137</f>
        <v>3419.7275944280414</v>
      </c>
      <c r="H137" s="354">
        <f t="shared" si="41"/>
        <v>3284.6952090822588</v>
      </c>
      <c r="I137" s="354">
        <f t="shared" si="41"/>
        <v>3134.2773323352994</v>
      </c>
      <c r="J137" s="354">
        <f t="shared" si="41"/>
        <v>2966.1762839473731</v>
      </c>
      <c r="K137" s="354">
        <f t="shared" si="41"/>
        <v>2780.1942843947613</v>
      </c>
      <c r="L137" s="354">
        <f t="shared" si="41"/>
        <v>2578.3740809037599</v>
      </c>
      <c r="M137" s="354">
        <f t="shared" si="41"/>
        <v>2361.831855939115</v>
      </c>
      <c r="N137" s="354">
        <f t="shared" si="41"/>
        <v>2128.0003808909228</v>
      </c>
      <c r="O137" s="354">
        <f t="shared" si="41"/>
        <v>1876.5635225468654</v>
      </c>
      <c r="P137" s="354">
        <f t="shared" si="41"/>
        <v>1605.9351463126261</v>
      </c>
      <c r="Q137" s="354">
        <f t="shared" si="41"/>
        <v>1311.3613407268317</v>
      </c>
      <c r="R137" s="354">
        <f t="shared" si="41"/>
        <v>986.04622206887143</v>
      </c>
      <c r="S137" s="354">
        <f t="shared" si="41"/>
        <v>1203.4802596007044</v>
      </c>
      <c r="T137" s="354">
        <f t="shared" si="41"/>
        <v>282.48193740516564</v>
      </c>
      <c r="U137" s="354">
        <f t="shared" si="41"/>
        <v>0</v>
      </c>
      <c r="V137" s="354">
        <f t="shared" si="41"/>
        <v>0</v>
      </c>
      <c r="W137" s="354">
        <f t="shared" si="41"/>
        <v>0</v>
      </c>
      <c r="X137" s="354">
        <f t="shared" si="41"/>
        <v>0</v>
      </c>
      <c r="Y137" s="354">
        <f t="shared" si="41"/>
        <v>0</v>
      </c>
      <c r="AA137" s="606">
        <f t="shared" si="26"/>
        <v>33471.635202669553</v>
      </c>
      <c r="AB137" s="607">
        <f t="shared" si="40"/>
        <v>33471.635202669553</v>
      </c>
    </row>
    <row r="138" spans="1:28" s="199" customFormat="1">
      <c r="A138" s="199" t="s">
        <v>78</v>
      </c>
      <c r="F138" s="218">
        <f t="shared" ref="F138:Y138" si="42">SUM(F33:F35)</f>
        <v>107.68906249999999</v>
      </c>
      <c r="G138" s="218">
        <f t="shared" si="42"/>
        <v>110.38128906249997</v>
      </c>
      <c r="H138" s="218">
        <f t="shared" si="42"/>
        <v>113.14082128906247</v>
      </c>
      <c r="I138" s="218">
        <f t="shared" si="42"/>
        <v>115.96934182128902</v>
      </c>
      <c r="J138" s="218">
        <f t="shared" si="42"/>
        <v>118.86857536682123</v>
      </c>
      <c r="K138" s="218">
        <f t="shared" si="42"/>
        <v>121.84028975099174</v>
      </c>
      <c r="L138" s="218">
        <f t="shared" si="42"/>
        <v>124.88629699476652</v>
      </c>
      <c r="M138" s="218">
        <f t="shared" si="42"/>
        <v>128.00845441963565</v>
      </c>
      <c r="N138" s="218">
        <f t="shared" si="42"/>
        <v>131.20866578012655</v>
      </c>
      <c r="O138" s="218">
        <f t="shared" si="42"/>
        <v>134.48888242462971</v>
      </c>
      <c r="P138" s="218">
        <f t="shared" si="42"/>
        <v>137.85110448524546</v>
      </c>
      <c r="Q138" s="218">
        <f t="shared" si="42"/>
        <v>141.29738209737656</v>
      </c>
      <c r="R138" s="218">
        <f t="shared" si="42"/>
        <v>144.82981664981097</v>
      </c>
      <c r="S138" s="218">
        <f t="shared" si="42"/>
        <v>148.45056206605622</v>
      </c>
      <c r="T138" s="218">
        <f t="shared" si="42"/>
        <v>152.16182611770762</v>
      </c>
      <c r="U138" s="218">
        <f t="shared" si="42"/>
        <v>155.9658717706503</v>
      </c>
      <c r="V138" s="218">
        <f t="shared" si="42"/>
        <v>159.86501856491654</v>
      </c>
      <c r="W138" s="218">
        <f t="shared" si="42"/>
        <v>163.86164402903941</v>
      </c>
      <c r="X138" s="218">
        <f t="shared" si="42"/>
        <v>167.95818512976538</v>
      </c>
      <c r="Y138" s="218">
        <f t="shared" si="42"/>
        <v>172.15713975800949</v>
      </c>
      <c r="AA138" s="606">
        <f t="shared" si="26"/>
        <v>2750.8802300784009</v>
      </c>
      <c r="AB138" s="607">
        <f t="shared" si="40"/>
        <v>2750.8802300784009</v>
      </c>
    </row>
    <row r="139" spans="1:28" s="199" customFormat="1">
      <c r="A139" s="199" t="s">
        <v>79</v>
      </c>
      <c r="F139" s="203">
        <f>F137+F138</f>
        <v>3660.1788145869532</v>
      </c>
      <c r="G139" s="203">
        <f t="shared" ref="G139:Y139" si="43">G137+G138</f>
        <v>3530.1088834905413</v>
      </c>
      <c r="H139" s="203">
        <f t="shared" si="43"/>
        <v>3397.8360303713212</v>
      </c>
      <c r="I139" s="203">
        <f t="shared" si="43"/>
        <v>3250.2466741565886</v>
      </c>
      <c r="J139" s="203">
        <f t="shared" si="43"/>
        <v>3085.0448593141946</v>
      </c>
      <c r="K139" s="203">
        <f t="shared" si="43"/>
        <v>2902.0345741457531</v>
      </c>
      <c r="L139" s="203">
        <f t="shared" si="43"/>
        <v>2703.2603778985263</v>
      </c>
      <c r="M139" s="203">
        <f t="shared" si="43"/>
        <v>2489.8403103587507</v>
      </c>
      <c r="N139" s="203">
        <f t="shared" si="43"/>
        <v>2259.2090466710492</v>
      </c>
      <c r="O139" s="203">
        <f t="shared" si="43"/>
        <v>2011.0524049714952</v>
      </c>
      <c r="P139" s="203">
        <f t="shared" si="43"/>
        <v>1743.7862507978716</v>
      </c>
      <c r="Q139" s="203">
        <f t="shared" si="43"/>
        <v>1452.6587228242083</v>
      </c>
      <c r="R139" s="203">
        <f t="shared" si="43"/>
        <v>1130.8760387186824</v>
      </c>
      <c r="S139" s="203">
        <f t="shared" si="43"/>
        <v>1351.9308216667605</v>
      </c>
      <c r="T139" s="203">
        <f t="shared" si="43"/>
        <v>434.64376352287326</v>
      </c>
      <c r="U139" s="203">
        <f t="shared" si="43"/>
        <v>155.9658717706503</v>
      </c>
      <c r="V139" s="203">
        <f t="shared" si="43"/>
        <v>159.86501856491654</v>
      </c>
      <c r="W139" s="203">
        <f t="shared" si="43"/>
        <v>163.86164402903941</v>
      </c>
      <c r="X139" s="203">
        <f t="shared" si="43"/>
        <v>167.95818512976538</v>
      </c>
      <c r="Y139" s="203">
        <f t="shared" si="43"/>
        <v>172.15713975800949</v>
      </c>
      <c r="AA139" s="606">
        <f t="shared" si="26"/>
        <v>36222.515432747954</v>
      </c>
      <c r="AB139" s="607">
        <f t="shared" si="40"/>
        <v>36222.515432747954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183.00894072934767</v>
      </c>
      <c r="G140" s="203">
        <f t="shared" ref="G140:Y140" si="44">G139*$C$140</f>
        <v>176.50544417452707</v>
      </c>
      <c r="H140" s="203">
        <f t="shared" si="44"/>
        <v>169.89180151856607</v>
      </c>
      <c r="I140" s="203">
        <f t="shared" si="44"/>
        <v>162.51233370782944</v>
      </c>
      <c r="J140" s="203">
        <f t="shared" si="44"/>
        <v>154.25224296570974</v>
      </c>
      <c r="K140" s="203">
        <f t="shared" si="44"/>
        <v>145.10172870728766</v>
      </c>
      <c r="L140" s="203">
        <f t="shared" si="44"/>
        <v>135.16301889492632</v>
      </c>
      <c r="M140" s="203">
        <f t="shared" si="44"/>
        <v>124.49201551793755</v>
      </c>
      <c r="N140" s="203">
        <f t="shared" si="44"/>
        <v>112.96045233355247</v>
      </c>
      <c r="O140" s="203">
        <f t="shared" si="44"/>
        <v>100.55262024857477</v>
      </c>
      <c r="P140" s="203">
        <f t="shared" si="44"/>
        <v>87.189312539893592</v>
      </c>
      <c r="Q140" s="203">
        <f t="shared" si="44"/>
        <v>72.632936141210422</v>
      </c>
      <c r="R140" s="203">
        <f t="shared" si="44"/>
        <v>56.54380193593412</v>
      </c>
      <c r="S140" s="203">
        <f t="shared" si="44"/>
        <v>67.596541083338025</v>
      </c>
      <c r="T140" s="203">
        <f t="shared" si="44"/>
        <v>21.732188176143666</v>
      </c>
      <c r="U140" s="203">
        <f t="shared" si="44"/>
        <v>7.7982935885325153</v>
      </c>
      <c r="V140" s="203">
        <f t="shared" si="44"/>
        <v>7.9932509282458275</v>
      </c>
      <c r="W140" s="203">
        <f t="shared" si="44"/>
        <v>8.1930822014519702</v>
      </c>
      <c r="X140" s="203">
        <f t="shared" si="44"/>
        <v>8.3979092564882691</v>
      </c>
      <c r="Y140" s="203">
        <f t="shared" si="44"/>
        <v>8.6078569879004743</v>
      </c>
      <c r="AA140" s="606">
        <f t="shared" si="26"/>
        <v>1811.1257716373973</v>
      </c>
      <c r="AB140" s="607">
        <f t="shared" si="40"/>
        <v>1811.1257716373973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1217.0094558501619</v>
      </c>
      <c r="G141" s="218">
        <f t="shared" ref="G141:Y141" si="45">(G139-G140)*$C$141</f>
        <v>1173.761203760605</v>
      </c>
      <c r="H141" s="218">
        <f t="shared" si="45"/>
        <v>1129.7804800984643</v>
      </c>
      <c r="I141" s="218">
        <f t="shared" si="45"/>
        <v>1080.7070191570656</v>
      </c>
      <c r="J141" s="218">
        <f t="shared" si="45"/>
        <v>1025.7774157219696</v>
      </c>
      <c r="K141" s="218">
        <f t="shared" si="45"/>
        <v>964.92649590346286</v>
      </c>
      <c r="L141" s="218">
        <f t="shared" si="45"/>
        <v>898.83407565125992</v>
      </c>
      <c r="M141" s="218">
        <f t="shared" si="45"/>
        <v>827.87190319428453</v>
      </c>
      <c r="N141" s="218">
        <f t="shared" si="45"/>
        <v>751.18700801812383</v>
      </c>
      <c r="O141" s="218">
        <f t="shared" si="45"/>
        <v>668.67492465302212</v>
      </c>
      <c r="P141" s="218">
        <f t="shared" si="45"/>
        <v>579.80892839029229</v>
      </c>
      <c r="Q141" s="218">
        <f t="shared" si="45"/>
        <v>483.00902533904923</v>
      </c>
      <c r="R141" s="218">
        <f t="shared" si="45"/>
        <v>376.01628287396181</v>
      </c>
      <c r="S141" s="218">
        <f t="shared" si="45"/>
        <v>449.51699820419782</v>
      </c>
      <c r="T141" s="218">
        <f t="shared" si="45"/>
        <v>144.51905137135535</v>
      </c>
      <c r="U141" s="218">
        <f t="shared" si="45"/>
        <v>51.858652363741221</v>
      </c>
      <c r="V141" s="218">
        <f t="shared" si="45"/>
        <v>53.155118672834746</v>
      </c>
      <c r="W141" s="218">
        <f t="shared" si="45"/>
        <v>54.483996639655601</v>
      </c>
      <c r="X141" s="218">
        <f t="shared" si="45"/>
        <v>55.846096555646987</v>
      </c>
      <c r="Y141" s="218">
        <f t="shared" si="45"/>
        <v>57.242248969538153</v>
      </c>
      <c r="AA141" s="606">
        <f t="shared" si="26"/>
        <v>12043.98638138869</v>
      </c>
      <c r="AB141" s="607">
        <f t="shared" si="40"/>
        <v>12043.98638138869</v>
      </c>
    </row>
    <row r="142" spans="1:28" s="199" customFormat="1">
      <c r="A142" s="199" t="s">
        <v>82</v>
      </c>
      <c r="F142" s="203">
        <f>F139-F140-F141</f>
        <v>2260.1604180074437</v>
      </c>
      <c r="G142" s="203">
        <f t="shared" ref="G142:Y142" si="46">G139-G140-G141</f>
        <v>2179.8422355554094</v>
      </c>
      <c r="H142" s="203">
        <f t="shared" si="46"/>
        <v>2098.1637487542912</v>
      </c>
      <c r="I142" s="203">
        <f t="shared" si="46"/>
        <v>2007.0273212916936</v>
      </c>
      <c r="J142" s="203">
        <f t="shared" si="46"/>
        <v>1905.0152006265153</v>
      </c>
      <c r="K142" s="203">
        <f t="shared" si="46"/>
        <v>1792.0063495350025</v>
      </c>
      <c r="L142" s="203">
        <f t="shared" si="46"/>
        <v>1669.2632833523403</v>
      </c>
      <c r="M142" s="203">
        <f t="shared" si="46"/>
        <v>1537.4763916465286</v>
      </c>
      <c r="N142" s="203">
        <f t="shared" si="46"/>
        <v>1395.061586319373</v>
      </c>
      <c r="O142" s="203">
        <f t="shared" si="46"/>
        <v>1241.8248600698983</v>
      </c>
      <c r="P142" s="203">
        <f t="shared" si="46"/>
        <v>1076.7880098676858</v>
      </c>
      <c r="Q142" s="203">
        <f t="shared" si="46"/>
        <v>897.0167613439487</v>
      </c>
      <c r="R142" s="203">
        <f t="shared" si="46"/>
        <v>698.31595390878635</v>
      </c>
      <c r="S142" s="203">
        <f t="shared" si="46"/>
        <v>834.81728237922471</v>
      </c>
      <c r="T142" s="203">
        <f t="shared" si="46"/>
        <v>268.39252397537427</v>
      </c>
      <c r="U142" s="203">
        <f t="shared" si="46"/>
        <v>96.308925818376565</v>
      </c>
      <c r="V142" s="203">
        <f t="shared" si="46"/>
        <v>98.716648963835965</v>
      </c>
      <c r="W142" s="203">
        <f t="shared" si="46"/>
        <v>101.18456518793184</v>
      </c>
      <c r="X142" s="203">
        <f t="shared" si="46"/>
        <v>103.71417931763011</v>
      </c>
      <c r="Y142" s="203">
        <f t="shared" si="46"/>
        <v>106.30703380057086</v>
      </c>
      <c r="AA142" s="606">
        <f t="shared" si="26"/>
        <v>22367.403279721857</v>
      </c>
      <c r="AB142" s="607">
        <f t="shared" si="40"/>
        <v>22367.403279721857</v>
      </c>
    </row>
    <row r="143" spans="1:28" s="199" customFormat="1">
      <c r="AA143" s="606">
        <f t="shared" si="26"/>
        <v>0</v>
      </c>
      <c r="AB143" s="607">
        <f t="shared" si="40"/>
        <v>0</v>
      </c>
    </row>
    <row r="144" spans="1:28" s="199" customFormat="1">
      <c r="A144" s="217" t="str">
        <f>A76</f>
        <v>Net Income to FPLE</v>
      </c>
      <c r="F144" s="220">
        <f>F76</f>
        <v>1791.951917927983</v>
      </c>
      <c r="G144" s="220">
        <f t="shared" ref="G144:Y144" si="47">G76</f>
        <v>1873.6421223651662</v>
      </c>
      <c r="H144" s="220">
        <f t="shared" si="47"/>
        <v>1978.8132816503046</v>
      </c>
      <c r="I144" s="220">
        <f t="shared" si="47"/>
        <v>2175.5342280560581</v>
      </c>
      <c r="J144" s="220">
        <f t="shared" si="47"/>
        <v>2293.4408710020416</v>
      </c>
      <c r="K144" s="220">
        <f t="shared" si="47"/>
        <v>2478.9039906327407</v>
      </c>
      <c r="L144" s="220">
        <f t="shared" si="47"/>
        <v>2565.0238499313095</v>
      </c>
      <c r="M144" s="220">
        <f t="shared" si="47"/>
        <v>2733.1797146723893</v>
      </c>
      <c r="N144" s="220">
        <f t="shared" si="47"/>
        <v>1170.4672501565049</v>
      </c>
      <c r="O144" s="220">
        <f t="shared" si="47"/>
        <v>838.86686684739857</v>
      </c>
      <c r="P144" s="220">
        <f t="shared" si="47"/>
        <v>932.87625772624699</v>
      </c>
      <c r="Q144" s="220">
        <f t="shared" si="47"/>
        <v>1078.1214430933821</v>
      </c>
      <c r="R144" s="220">
        <f t="shared" si="47"/>
        <v>1202.7847329486717</v>
      </c>
      <c r="S144" s="220">
        <f t="shared" si="47"/>
        <v>1195.2144873695847</v>
      </c>
      <c r="T144" s="220">
        <f t="shared" si="47"/>
        <v>1321.1596534950327</v>
      </c>
      <c r="U144" s="220">
        <f t="shared" si="47"/>
        <v>483.32355559569834</v>
      </c>
      <c r="V144" s="220">
        <f t="shared" si="47"/>
        <v>483.44563192704146</v>
      </c>
      <c r="W144" s="220">
        <f t="shared" si="47"/>
        <v>503.33270461680286</v>
      </c>
      <c r="X144" s="220">
        <f t="shared" si="47"/>
        <v>538.00893032390468</v>
      </c>
      <c r="Y144" s="220">
        <f t="shared" si="47"/>
        <v>585.57878319447991</v>
      </c>
      <c r="AA144" s="606">
        <f t="shared" si="26"/>
        <v>28223.670273532742</v>
      </c>
      <c r="AB144" s="607">
        <f t="shared" si="40"/>
        <v>28223.670273532742</v>
      </c>
    </row>
    <row r="145" spans="1:28" s="199" customFormat="1">
      <c r="A145" s="124" t="s">
        <v>91</v>
      </c>
      <c r="F145" s="213">
        <f>F142+F144</f>
        <v>4052.1123359354269</v>
      </c>
      <c r="G145" s="213">
        <f t="shared" ref="G145:Y145" si="48">G142+G144</f>
        <v>4053.4843579205753</v>
      </c>
      <c r="H145" s="213">
        <f t="shared" si="48"/>
        <v>4076.977030404596</v>
      </c>
      <c r="I145" s="213">
        <f t="shared" si="48"/>
        <v>4182.5615493477517</v>
      </c>
      <c r="J145" s="213">
        <f t="shared" si="48"/>
        <v>4198.4560716285569</v>
      </c>
      <c r="K145" s="213">
        <f t="shared" si="48"/>
        <v>4270.910340167743</v>
      </c>
      <c r="L145" s="213">
        <f t="shared" si="48"/>
        <v>4234.2871332836494</v>
      </c>
      <c r="M145" s="213">
        <f t="shared" si="48"/>
        <v>4270.6561063189183</v>
      </c>
      <c r="N145" s="213">
        <f t="shared" si="48"/>
        <v>2565.5288364758781</v>
      </c>
      <c r="O145" s="213">
        <f t="shared" si="48"/>
        <v>2080.6917269172968</v>
      </c>
      <c r="P145" s="213">
        <f t="shared" si="48"/>
        <v>2009.6642675939329</v>
      </c>
      <c r="Q145" s="213">
        <f t="shared" si="48"/>
        <v>1975.1382044373308</v>
      </c>
      <c r="R145" s="213">
        <f t="shared" si="48"/>
        <v>1901.1006868574582</v>
      </c>
      <c r="S145" s="213">
        <f t="shared" si="48"/>
        <v>2030.0317697488094</v>
      </c>
      <c r="T145" s="213">
        <f t="shared" si="48"/>
        <v>1589.5521774704071</v>
      </c>
      <c r="U145" s="213">
        <f t="shared" si="48"/>
        <v>579.63248141407485</v>
      </c>
      <c r="V145" s="213">
        <f t="shared" si="48"/>
        <v>582.16228089087747</v>
      </c>
      <c r="W145" s="213">
        <f t="shared" si="48"/>
        <v>604.51726980473472</v>
      </c>
      <c r="X145" s="213">
        <f t="shared" si="48"/>
        <v>641.72310964153485</v>
      </c>
      <c r="Y145" s="213">
        <f t="shared" si="48"/>
        <v>691.88581699505073</v>
      </c>
      <c r="AA145" s="606">
        <f t="shared" si="26"/>
        <v>50591.073553254602</v>
      </c>
      <c r="AB145" s="607">
        <f t="shared" si="40"/>
        <v>50591.073553254602</v>
      </c>
    </row>
    <row r="146" spans="1:28" s="199" customFormat="1">
      <c r="AA146" s="606">
        <f t="shared" si="26"/>
        <v>0</v>
      </c>
      <c r="AB146" s="607">
        <f t="shared" si="40"/>
        <v>0</v>
      </c>
    </row>
    <row r="147" spans="1:28" s="199" customFormat="1">
      <c r="A147" s="199" t="s">
        <v>243</v>
      </c>
      <c r="F147" s="216">
        <f>(F141+F140)/F139</f>
        <v>0.38249999999999995</v>
      </c>
      <c r="G147" s="216">
        <f t="shared" ref="G147:Y147" si="49">(G141+G140)/G139</f>
        <v>0.38250000000000001</v>
      </c>
      <c r="H147" s="216">
        <f t="shared" si="49"/>
        <v>0.38250000000000001</v>
      </c>
      <c r="I147" s="216">
        <f t="shared" si="49"/>
        <v>0.38249999999999995</v>
      </c>
      <c r="J147" s="216">
        <f t="shared" si="49"/>
        <v>0.38249999999999995</v>
      </c>
      <c r="K147" s="216">
        <f t="shared" si="49"/>
        <v>0.38250000000000001</v>
      </c>
      <c r="L147" s="216">
        <f t="shared" si="49"/>
        <v>0.38249999999999995</v>
      </c>
      <c r="M147" s="216">
        <f t="shared" si="49"/>
        <v>0.38250000000000001</v>
      </c>
      <c r="N147" s="216">
        <f t="shared" si="49"/>
        <v>0.38249999999999995</v>
      </c>
      <c r="O147" s="216">
        <f t="shared" si="49"/>
        <v>0.38249999999999995</v>
      </c>
      <c r="P147" s="216">
        <f t="shared" si="49"/>
        <v>0.38249999999999995</v>
      </c>
      <c r="Q147" s="216">
        <f t="shared" si="49"/>
        <v>0.38249999999999995</v>
      </c>
      <c r="R147" s="216">
        <f t="shared" si="49"/>
        <v>0.38249999999999995</v>
      </c>
      <c r="S147" s="216">
        <f t="shared" si="49"/>
        <v>0.38249999999999995</v>
      </c>
      <c r="T147" s="216">
        <f t="shared" si="49"/>
        <v>0.38249999999999995</v>
      </c>
      <c r="U147" s="216">
        <f t="shared" si="49"/>
        <v>0.38250000000000001</v>
      </c>
      <c r="V147" s="216">
        <f t="shared" si="49"/>
        <v>0.38250000000000001</v>
      </c>
      <c r="W147" s="216">
        <f t="shared" si="49"/>
        <v>0.38250000000000001</v>
      </c>
      <c r="X147" s="216">
        <f t="shared" si="49"/>
        <v>0.38250000000000001</v>
      </c>
      <c r="Y147" s="216">
        <f t="shared" si="49"/>
        <v>0.38250000000000001</v>
      </c>
      <c r="AA147" s="606">
        <f t="shared" si="26"/>
        <v>7.6500000000000012</v>
      </c>
      <c r="AB147" s="607">
        <f t="shared" si="40"/>
        <v>7.6500000000000012</v>
      </c>
    </row>
    <row r="148" spans="1:28" s="199" customFormat="1">
      <c r="AA148" s="606">
        <f t="shared" si="26"/>
        <v>0</v>
      </c>
      <c r="AB148" s="607">
        <f t="shared" si="40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40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66.497996093750004</v>
      </c>
      <c r="G150" s="200">
        <f t="shared" ref="G150:Y150" si="50">(1-((G140+G141)/G139))*G138</f>
        <v>68.160445996093728</v>
      </c>
      <c r="H150" s="200">
        <f t="shared" si="50"/>
        <v>69.86445714599607</v>
      </c>
      <c r="I150" s="200">
        <f t="shared" si="50"/>
        <v>71.611068574645969</v>
      </c>
      <c r="J150" s="200">
        <f t="shared" si="50"/>
        <v>73.401345289012113</v>
      </c>
      <c r="K150" s="200">
        <f t="shared" si="50"/>
        <v>75.236378921237389</v>
      </c>
      <c r="L150" s="200">
        <f t="shared" si="50"/>
        <v>77.117288394268328</v>
      </c>
      <c r="M150" s="200">
        <f t="shared" si="50"/>
        <v>79.045220604125007</v>
      </c>
      <c r="N150" s="200">
        <f t="shared" si="50"/>
        <v>81.021351119228157</v>
      </c>
      <c r="O150" s="200">
        <f t="shared" si="50"/>
        <v>83.046884897208855</v>
      </c>
      <c r="P150" s="200">
        <f t="shared" si="50"/>
        <v>85.123057019639077</v>
      </c>
      <c r="Q150" s="200">
        <f t="shared" si="50"/>
        <v>87.251133445130023</v>
      </c>
      <c r="R150" s="200">
        <f t="shared" si="50"/>
        <v>89.432411781258281</v>
      </c>
      <c r="S150" s="200">
        <f t="shared" si="50"/>
        <v>91.668222075789728</v>
      </c>
      <c r="T150" s="200">
        <f t="shared" si="50"/>
        <v>93.959927627684465</v>
      </c>
      <c r="U150" s="200">
        <f t="shared" si="50"/>
        <v>96.308925818376551</v>
      </c>
      <c r="V150" s="200">
        <f t="shared" si="50"/>
        <v>98.716648963835951</v>
      </c>
      <c r="W150" s="200">
        <f t="shared" si="50"/>
        <v>101.18456518793182</v>
      </c>
      <c r="X150" s="200">
        <f t="shared" si="50"/>
        <v>103.71417931763011</v>
      </c>
      <c r="Y150" s="200">
        <f t="shared" si="50"/>
        <v>106.30703380057085</v>
      </c>
      <c r="AA150" s="606">
        <f t="shared" si="26"/>
        <v>1698.6685420734127</v>
      </c>
      <c r="AB150" s="607">
        <f t="shared" si="40"/>
        <v>1698.6685420734127</v>
      </c>
    </row>
    <row r="151" spans="1:28" s="199" customFormat="1">
      <c r="A151" s="199" t="s">
        <v>240</v>
      </c>
      <c r="F151" s="365"/>
      <c r="G151" s="365"/>
      <c r="H151" s="365"/>
      <c r="I151" s="365"/>
      <c r="J151" s="365"/>
      <c r="K151" s="365"/>
      <c r="L151" s="365"/>
      <c r="M151" s="365"/>
      <c r="N151" s="365"/>
      <c r="O151" s="365"/>
      <c r="P151" s="365"/>
      <c r="Q151" s="365"/>
      <c r="R151" s="365"/>
      <c r="S151" s="365"/>
      <c r="T151" s="365"/>
      <c r="U151" s="365"/>
      <c r="V151" s="365"/>
      <c r="W151" s="365"/>
      <c r="X151" s="365"/>
      <c r="Y151" s="365"/>
      <c r="AA151" s="606">
        <f t="shared" si="26"/>
        <v>0</v>
      </c>
      <c r="AB151" s="607">
        <f t="shared" si="40"/>
        <v>0</v>
      </c>
    </row>
    <row r="152" spans="1:28" s="199" customFormat="1">
      <c r="F152" s="200">
        <f>F150+F151</f>
        <v>66.497996093750004</v>
      </c>
      <c r="G152" s="200">
        <f t="shared" ref="G152:Y152" si="51">G150+G151</f>
        <v>68.160445996093728</v>
      </c>
      <c r="H152" s="200">
        <f t="shared" si="51"/>
        <v>69.86445714599607</v>
      </c>
      <c r="I152" s="200">
        <f t="shared" si="51"/>
        <v>71.611068574645969</v>
      </c>
      <c r="J152" s="200">
        <f t="shared" si="51"/>
        <v>73.401345289012113</v>
      </c>
      <c r="K152" s="200">
        <f t="shared" si="51"/>
        <v>75.236378921237389</v>
      </c>
      <c r="L152" s="200">
        <f t="shared" si="51"/>
        <v>77.117288394268328</v>
      </c>
      <c r="M152" s="200">
        <f t="shared" si="51"/>
        <v>79.045220604125007</v>
      </c>
      <c r="N152" s="200">
        <f t="shared" si="51"/>
        <v>81.021351119228157</v>
      </c>
      <c r="O152" s="200">
        <f t="shared" si="51"/>
        <v>83.046884897208855</v>
      </c>
      <c r="P152" s="200">
        <f t="shared" si="51"/>
        <v>85.123057019639077</v>
      </c>
      <c r="Q152" s="200">
        <f t="shared" si="51"/>
        <v>87.251133445130023</v>
      </c>
      <c r="R152" s="200">
        <f t="shared" si="51"/>
        <v>89.432411781258281</v>
      </c>
      <c r="S152" s="200">
        <f t="shared" si="51"/>
        <v>91.668222075789728</v>
      </c>
      <c r="T152" s="200">
        <f t="shared" si="51"/>
        <v>93.959927627684465</v>
      </c>
      <c r="U152" s="200">
        <f t="shared" si="51"/>
        <v>96.308925818376551</v>
      </c>
      <c r="V152" s="200">
        <f t="shared" si="51"/>
        <v>98.716648963835951</v>
      </c>
      <c r="W152" s="200">
        <f t="shared" si="51"/>
        <v>101.18456518793182</v>
      </c>
      <c r="X152" s="200">
        <f t="shared" si="51"/>
        <v>103.71417931763011</v>
      </c>
      <c r="Y152" s="200">
        <f t="shared" si="51"/>
        <v>106.30703380057085</v>
      </c>
      <c r="AA152" s="606">
        <f t="shared" si="26"/>
        <v>1698.6685420734127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723.92809225879614</v>
      </c>
    </row>
    <row r="156" spans="1:28" s="199" customFormat="1" ht="13.5" thickBot="1">
      <c r="A156" s="199" t="s">
        <v>59</v>
      </c>
      <c r="C156" s="248"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32836.351248370222</v>
      </c>
    </row>
    <row r="161" spans="1:25" s="199" customFormat="1">
      <c r="A161" s="134" t="s">
        <v>85</v>
      </c>
      <c r="B161" s="135"/>
      <c r="C161" s="135"/>
      <c r="D161" s="356">
        <f>[15]FINANCIALS!$F$72+[15]FINANCIALS!$F$66</f>
        <v>47657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723.92809225879614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81217.279340629015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[18]FINANCIALS!F$19</f>
        <v>8200.3985508424812</v>
      </c>
      <c r="F11" s="336">
        <f>[18]FINANCIALS!G$19</f>
        <v>8012.8248163819944</v>
      </c>
      <c r="G11" s="336">
        <f>[18]FINANCIALS!H$19</f>
        <v>7924.1766258111429</v>
      </c>
      <c r="H11" s="336">
        <f>[18]FINANCIALS!I$19</f>
        <v>7911.37089229096</v>
      </c>
      <c r="I11" s="336">
        <f>[18]FINANCIALS!J$19</f>
        <v>7889.566821120573</v>
      </c>
      <c r="J11" s="336">
        <f>[18]FINANCIALS!K$19</f>
        <v>8574.3753651363932</v>
      </c>
      <c r="K11" s="336">
        <f>[18]FINANCIALS!L$19</f>
        <v>8793.47220418078</v>
      </c>
      <c r="L11" s="336">
        <f>[18]FINANCIALS!M$19</f>
        <v>9012.5690432251668</v>
      </c>
      <c r="M11" s="336">
        <f>[18]FINANCIALS!N$19</f>
        <v>9231.6658822695554</v>
      </c>
      <c r="N11" s="336">
        <f>[18]FINANCIALS!O$19</f>
        <v>9450.7627213139422</v>
      </c>
      <c r="O11" s="336">
        <f>[18]FINANCIALS!P$19</f>
        <v>9669.8595603583308</v>
      </c>
      <c r="P11" s="336">
        <f>[18]FINANCIALS!Q$19</f>
        <v>9840.9574805644315</v>
      </c>
      <c r="Q11" s="336">
        <f>[18]FINANCIALS!R$19</f>
        <v>10012.055400770529</v>
      </c>
      <c r="R11" s="336">
        <f>[18]FINANCIALS!S$19</f>
        <v>10183.153320976629</v>
      </c>
      <c r="S11" s="336">
        <f>[18]FINANCIALS!T$19</f>
        <v>10354.251241182732</v>
      </c>
      <c r="T11" s="336">
        <f>[18]FINANCIALS!U$19</f>
        <v>8298.1943357861619</v>
      </c>
      <c r="U11" s="336">
        <f>[18]FINANCIALS!V$19</f>
        <v>8789.0417516883754</v>
      </c>
      <c r="V11" s="336">
        <f>[18]FINANCIALS!W$19</f>
        <v>9472.1138400384352</v>
      </c>
      <c r="W11" s="336">
        <f>[18]FINANCIALS!X$19</f>
        <v>9766.0410346447316</v>
      </c>
      <c r="X11" s="336">
        <f>[18]FINANCIALS!Y$19</f>
        <v>5197.4202686593926</v>
      </c>
      <c r="Y11" s="336">
        <f>[18]FINANCIALS!Z$19</f>
        <v>0</v>
      </c>
      <c r="AA11" s="606">
        <f t="shared" si="1"/>
        <v>168383.87260640025</v>
      </c>
      <c r="AB11" s="607">
        <f t="shared" ref="AB11:AB74" si="2">AA11*$C$60</f>
        <v>84191.936303200127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8200.3985508424812</v>
      </c>
      <c r="F20" s="90">
        <f t="shared" si="3"/>
        <v>8012.8248163819944</v>
      </c>
      <c r="G20" s="90">
        <f t="shared" si="3"/>
        <v>7924.1766258111429</v>
      </c>
      <c r="H20" s="90">
        <f t="shared" si="3"/>
        <v>7911.37089229096</v>
      </c>
      <c r="I20" s="90">
        <f t="shared" si="3"/>
        <v>7889.566821120573</v>
      </c>
      <c r="J20" s="90">
        <f t="shared" si="3"/>
        <v>8574.3753651363932</v>
      </c>
      <c r="K20" s="90">
        <f t="shared" si="3"/>
        <v>8793.47220418078</v>
      </c>
      <c r="L20" s="90">
        <f t="shared" si="3"/>
        <v>9012.5690432251668</v>
      </c>
      <c r="M20" s="90">
        <f t="shared" si="3"/>
        <v>9231.6658822695554</v>
      </c>
      <c r="N20" s="90">
        <f t="shared" si="3"/>
        <v>9450.7627213139422</v>
      </c>
      <c r="O20" s="90">
        <f t="shared" si="3"/>
        <v>9669.8595603583308</v>
      </c>
      <c r="P20" s="90">
        <f t="shared" si="3"/>
        <v>9840.9574805644315</v>
      </c>
      <c r="Q20" s="90">
        <f t="shared" si="3"/>
        <v>10012.055400770529</v>
      </c>
      <c r="R20" s="90">
        <f t="shared" si="3"/>
        <v>10183.153320976629</v>
      </c>
      <c r="S20" s="90">
        <f t="shared" si="3"/>
        <v>10354.251241182732</v>
      </c>
      <c r="T20" s="90">
        <f t="shared" si="3"/>
        <v>8298.1943357861619</v>
      </c>
      <c r="U20" s="90">
        <f t="shared" si="3"/>
        <v>8789.0417516883754</v>
      </c>
      <c r="V20" s="90">
        <f t="shared" si="3"/>
        <v>9472.1138400384352</v>
      </c>
      <c r="W20" s="90">
        <f t="shared" si="3"/>
        <v>9766.0410346447316</v>
      </c>
      <c r="X20" s="90">
        <f t="shared" si="3"/>
        <v>5197.4202686593926</v>
      </c>
      <c r="Y20" s="90">
        <f t="shared" si="3"/>
        <v>0</v>
      </c>
      <c r="AA20" s="606">
        <f t="shared" si="1"/>
        <v>168383.87260640025</v>
      </c>
      <c r="AB20" s="607">
        <f t="shared" si="2"/>
        <v>84191.936303200127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SUM([18]FINANCIALS!F$22:F$24)+[18]FINANCIALS!F$27+[18]FINANCIALS!F$28+[18]FINANCIALS!F$30</f>
        <v>1172.457929698704</v>
      </c>
      <c r="F25" s="336">
        <f>SUM([18]FINANCIALS!G$22:G$24)+[18]FINANCIALS!G$27+[18]FINANCIALS!G$28+[18]FINANCIALS!G$30</f>
        <v>1180.9748720642574</v>
      </c>
      <c r="G25" s="336">
        <f>SUM([18]FINANCIALS!H$22:H$24)+[18]FINANCIALS!H$27+[18]FINANCIALS!H$28+[18]FINANCIALS!H$30</f>
        <v>1193.9328419177102</v>
      </c>
      <c r="H25" s="336">
        <f>SUM([18]FINANCIALS!I$22:I$24)+[18]FINANCIALS!I$27+[18]FINANCIALS!I$28+[18]FINANCIALS!I$30</f>
        <v>1210.3782621801652</v>
      </c>
      <c r="I25" s="336">
        <f>SUM([18]FINANCIALS!J$22:J$24)+[18]FINANCIALS!J$27+[18]FINANCIALS!J$28+[18]FINANCIALS!J$30</f>
        <v>1226.7889718716851</v>
      </c>
      <c r="J25" s="336">
        <f>SUM([18]FINANCIALS!K$22:K$24)+[18]FINANCIALS!K$27+[18]FINANCIALS!K$28+[18]FINANCIALS!K$30</f>
        <v>1272.9364711008425</v>
      </c>
      <c r="K25" s="336">
        <f>SUM([18]FINANCIALS!L$22:L$24)+[18]FINANCIALS!L$27+[18]FINANCIALS!L$28+[18]FINANCIALS!L$30</f>
        <v>1300.0667058639999</v>
      </c>
      <c r="L25" s="336">
        <f>SUM([18]FINANCIALS!M$22:M$24)+[18]FINANCIALS!M$27+[18]FINANCIALS!M$28+[18]FINANCIALS!M$30</f>
        <v>1327.5572855734242</v>
      </c>
      <c r="M25" s="336">
        <f>SUM([18]FINANCIALS!N$22:N$24)+[18]FINANCIALS!N$27+[18]FINANCIALS!N$28+[18]FINANCIALS!N$30</f>
        <v>1355.4154171280397</v>
      </c>
      <c r="N25" s="336">
        <f>SUM([18]FINANCIALS!O$22:O$24)+[18]FINANCIALS!O$27+[18]FINANCIALS!O$28+[18]FINANCIALS!O$30</f>
        <v>1383.6484515647514</v>
      </c>
      <c r="O25" s="336">
        <f>SUM([18]FINANCIALS!P$22:P$24)+[18]FINANCIALS!P$27+[18]FINANCIALS!P$28+[18]FINANCIALS!P$30</f>
        <v>1412.2638869412001</v>
      </c>
      <c r="P25" s="336">
        <f>SUM([18]FINANCIALS!Q$22:Q$24)+[18]FINANCIALS!Q$27+[18]FINANCIALS!Q$28+[18]FINANCIALS!Q$30</f>
        <v>1439.2729319533373</v>
      </c>
      <c r="Q25" s="336">
        <f>SUM([18]FINANCIALS!R$22:R$24)+[18]FINANCIALS!R$27+[18]FINANCIALS!R$28+[18]FINANCIALS!R$30</f>
        <v>1466.6798269031774</v>
      </c>
      <c r="R25" s="336">
        <f>SUM([18]FINANCIALS!S$22:S$24)+[18]FINANCIALS!S$27+[18]FINANCIALS!S$28+[18]FINANCIALS!S$30</f>
        <v>1494.4925287894741</v>
      </c>
      <c r="S25" s="336">
        <f>SUM([18]FINANCIALS!T$22:T$24)+[18]FINANCIALS!T$27+[18]FINANCIALS!T$28+[18]FINANCIALS!T$30</f>
        <v>1522.7191537509575</v>
      </c>
      <c r="T25" s="336">
        <f>SUM([18]FINANCIALS!U$22:U$24)+[18]FINANCIALS!U$27+[18]FINANCIALS!U$28+[18]FINANCIALS!U$30</f>
        <v>1463.4718117832142</v>
      </c>
      <c r="U25" s="336">
        <f>SUM([18]FINANCIALS!V$22:V$24)+[18]FINANCIALS!V$27+[18]FINANCIALS!V$28+[18]FINANCIALS!V$30</f>
        <v>1506.2597654171695</v>
      </c>
      <c r="V25" s="336">
        <f>SUM([18]FINANCIALS!W$22:W$24)+[18]FINANCIALS!W$27+[18]FINANCIALS!W$28+[18]FINANCIALS!W$30</f>
        <v>1557.0732539748717</v>
      </c>
      <c r="W25" s="336">
        <f>SUM([18]FINANCIALS!X$22:X$24)+[18]FINANCIALS!X$27+[18]FINANCIALS!X$28+[18]FINANCIALS!X$30</f>
        <v>1590.1822358714639</v>
      </c>
      <c r="X25" s="336">
        <f>SUM([18]FINANCIALS!Y$22:Y$24)+[18]FINANCIALS!Y$27+[18]FINANCIALS!Y$28+[18]FINANCIALS!Y$30</f>
        <v>814.73675487597859</v>
      </c>
      <c r="Y25" s="336">
        <f>SUM([18]FINANCIALS!Z$22:Z$24)+[18]FINANCIALS!Z$27+[18]FINANCIALS!Z$28+[18]FINANCIALS!Z$30</f>
        <v>0</v>
      </c>
      <c r="AA25" s="606">
        <f t="shared" si="1"/>
        <v>25718.851429525719</v>
      </c>
      <c r="AB25" s="607">
        <f t="shared" si="2"/>
        <v>12859.42571476286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[18]FINANCIALS!F$29</f>
        <v>130.5651</v>
      </c>
      <c r="F28" s="336">
        <f>[18]FINANCIALS!G$29</f>
        <v>130.5651</v>
      </c>
      <c r="G28" s="336">
        <f>[18]FINANCIALS!H$29</f>
        <v>130.5651</v>
      </c>
      <c r="H28" s="336">
        <f>[18]FINANCIALS!I$29</f>
        <v>130.5651</v>
      </c>
      <c r="I28" s="336">
        <f>[18]FINANCIALS!J$29</f>
        <v>130.5651</v>
      </c>
      <c r="J28" s="336">
        <f>[18]FINANCIALS!K$29</f>
        <v>130.5651</v>
      </c>
      <c r="K28" s="336">
        <f>[18]FINANCIALS!L$29</f>
        <v>130.5651</v>
      </c>
      <c r="L28" s="336">
        <f>[18]FINANCIALS!M$29</f>
        <v>130.5651</v>
      </c>
      <c r="M28" s="336">
        <f>[18]FINANCIALS!N$29</f>
        <v>130.5651</v>
      </c>
      <c r="N28" s="336">
        <f>[18]FINANCIALS!O$29</f>
        <v>130.5651</v>
      </c>
      <c r="O28" s="336">
        <f>[18]FINANCIALS!P$29</f>
        <v>130.5651</v>
      </c>
      <c r="P28" s="336">
        <f>[18]FINANCIALS!Q$29</f>
        <v>130.5651</v>
      </c>
      <c r="Q28" s="336">
        <f>[18]FINANCIALS!R$29</f>
        <v>130.5651</v>
      </c>
      <c r="R28" s="336">
        <f>[18]FINANCIALS!S$29</f>
        <v>130.5651</v>
      </c>
      <c r="S28" s="336">
        <f>[18]FINANCIALS!T$29</f>
        <v>130.5651</v>
      </c>
      <c r="T28" s="336">
        <f>[18]FINANCIALS!U$29</f>
        <v>130.5651</v>
      </c>
      <c r="U28" s="336">
        <f>[18]FINANCIALS!V$29</f>
        <v>130.5651</v>
      </c>
      <c r="V28" s="336">
        <f>[18]FINANCIALS!W$29</f>
        <v>130.5651</v>
      </c>
      <c r="W28" s="336">
        <f>[18]FINANCIALS!X$29</f>
        <v>130.5651</v>
      </c>
      <c r="X28" s="336">
        <f>[18]FINANCIALS!Y$29</f>
        <v>64.388268493150676</v>
      </c>
      <c r="Y28" s="336">
        <f>[18]FINANCIALS!Z$29</f>
        <v>0</v>
      </c>
      <c r="AA28" s="606">
        <f t="shared" si="1"/>
        <v>2414.5600684931501</v>
      </c>
      <c r="AB28" s="607">
        <f t="shared" si="2"/>
        <v>1207.280034246575</v>
      </c>
    </row>
    <row r="29" spans="1:28">
      <c r="A29" s="4" t="s">
        <v>4</v>
      </c>
      <c r="D29" s="90">
        <v>0</v>
      </c>
      <c r="E29" s="336">
        <f>[18]FINANCIALS!F$32+[18]FINANCIALS!F$34+[18]FINANCIALS!F$35+[18]FINANCIALS!F$36</f>
        <v>84.692883297546899</v>
      </c>
      <c r="F29" s="336">
        <f>[18]FINANCIALS!G$32+[18]FINANCIALS!G$34+[18]FINANCIALS!G$35+[18]FINANCIALS!G$36</f>
        <v>139.3673176815999</v>
      </c>
      <c r="G29" s="336">
        <f>[18]FINANCIALS!H$32+[18]FINANCIALS!H$34+[18]FINANCIALS!H$35+[18]FINANCIALS!H$36</f>
        <v>141.34752956717807</v>
      </c>
      <c r="H29" s="336">
        <f>[18]FINANCIALS!I$32+[18]FINANCIALS!I$34+[18]FINANCIALS!I$35+[18]FINANCIALS!I$36</f>
        <v>143.61974434880165</v>
      </c>
      <c r="I29" s="336">
        <f>[18]FINANCIALS!J$32+[18]FINANCIALS!J$34+[18]FINANCIALS!J$35+[18]FINANCIALS!J$36</f>
        <v>145.90897447049124</v>
      </c>
      <c r="J29" s="336">
        <f>[18]FINANCIALS!K$32+[18]FINANCIALS!K$34+[18]FINANCIALS!K$35+[18]FINANCIALS!K$36</f>
        <v>150.54325060966326</v>
      </c>
      <c r="K29" s="336">
        <f>[18]FINANCIALS!L$32+[18]FINANCIALS!L$34+[18]FINANCIALS!L$35+[18]FINANCIALS!L$36</f>
        <v>153.71121918344542</v>
      </c>
      <c r="L29" s="336">
        <f>[18]FINANCIALS!M$32+[18]FINANCIALS!M$34+[18]FINANCIALS!M$35+[18]FINANCIALS!M$36</f>
        <v>156.92829744800682</v>
      </c>
      <c r="M29" s="336">
        <f>[18]FINANCIALS!N$32+[18]FINANCIALS!N$34+[18]FINANCIALS!N$35+[18]FINANCIALS!N$36</f>
        <v>160.19546759716312</v>
      </c>
      <c r="N29" s="336">
        <f>[18]FINANCIALS!O$32+[18]FINANCIALS!O$34+[18]FINANCIALS!O$35+[18]FINANCIALS!O$36</f>
        <v>163.5137314686061</v>
      </c>
      <c r="O29" s="336">
        <f>[18]FINANCIALS!P$32+[18]FINANCIALS!P$34+[18]FINANCIALS!P$35+[18]FINANCIALS!P$36</f>
        <v>166.88411093678158</v>
      </c>
      <c r="P29" s="336">
        <f>[18]FINANCIALS!Q$32+[18]FINANCIALS!Q$34+[18]FINANCIALS!Q$35+[18]FINANCIALS!Q$36</f>
        <v>170.15155996698257</v>
      </c>
      <c r="Q29" s="336">
        <f>[18]FINANCIALS!R$32+[18]FINANCIALS!R$34+[18]FINANCIALS!R$35+[18]FINANCIALS!R$36</f>
        <v>173.47323006402402</v>
      </c>
      <c r="R29" s="336">
        <f>[18]FINANCIALS!S$32+[18]FINANCIALS!S$34+[18]FINANCIALS!S$35+[18]FINANCIALS!S$36</f>
        <v>176.85020564924275</v>
      </c>
      <c r="S29" s="336">
        <f>[18]FINANCIALS!T$32+[18]FINANCIALS!T$34+[18]FINANCIALS!T$35+[18]FINANCIALS!T$36</f>
        <v>180.28359283240235</v>
      </c>
      <c r="T29" s="336">
        <f>[18]FINANCIALS!U$32+[18]FINANCIALS!U$34+[18]FINANCIALS!U$35+[18]FINANCIALS!U$36</f>
        <v>184.67987556827697</v>
      </c>
      <c r="U29" s="336">
        <f>[18]FINANCIALS!V$32+[18]FINANCIALS!V$34+[18]FINANCIALS!V$35+[18]FINANCIALS!V$36</f>
        <v>190.028605755147</v>
      </c>
      <c r="V29" s="336">
        <f>[18]FINANCIALS!W$32+[18]FINANCIALS!W$34+[18]FINANCIALS!W$35+[18]FINANCIALS!W$36</f>
        <v>195.3029836972832</v>
      </c>
      <c r="W29" s="336">
        <f>[18]FINANCIALS!X$32+[18]FINANCIALS!X$34+[18]FINANCIALS!X$35+[18]FINANCIALS!X$36</f>
        <v>200.63842336722757</v>
      </c>
      <c r="X29" s="336">
        <f>[18]FINANCIALS!Y$32+[18]FINANCIALS!Y$34+[18]FINANCIALS!Y$35+[18]FINANCIALS!Y$36</f>
        <v>79.889417314303671</v>
      </c>
      <c r="Y29" s="336">
        <f>[18]FINANCIALS!Z$32+[18]FINANCIALS!Z$34+[18]FINANCIALS!Z$35+[18]FINANCIALS!Z$36</f>
        <v>0</v>
      </c>
      <c r="AA29" s="606">
        <f t="shared" si="1"/>
        <v>3073.3175375266273</v>
      </c>
      <c r="AB29" s="607">
        <f t="shared" si="2"/>
        <v>1536.6587687633137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SUM([18]FINANCIALS!F$25:F$26)</f>
        <v>467.44266275812305</v>
      </c>
      <c r="F31" s="336">
        <f>SUM([18]FINANCIALS!G$25:G$26)</f>
        <v>401.53256656881007</v>
      </c>
      <c r="G31" s="336">
        <f>SUM([18]FINANCIALS!H$25:H$26)</f>
        <v>350.90229287138447</v>
      </c>
      <c r="H31" s="336">
        <f>SUM([18]FINANCIALS!I$25:I$26)</f>
        <v>305.36902510065391</v>
      </c>
      <c r="I31" s="336">
        <f>SUM([18]FINANCIALS!J$25:J$26)</f>
        <v>259.84141006805612</v>
      </c>
      <c r="J31" s="336">
        <f>SUM([18]FINANCIALS!K$25:K$26)</f>
        <v>193.95371276752462</v>
      </c>
      <c r="K31" s="336">
        <f>SUM([18]FINANCIALS!L$25:L$26)</f>
        <v>173.89504258890162</v>
      </c>
      <c r="L31" s="336">
        <f>SUM([18]FINANCIALS!M$25:M$26)</f>
        <v>169.11674624971243</v>
      </c>
      <c r="M31" s="336">
        <f>SUM([18]FINANCIALS!N$25:N$26)</f>
        <v>169.43601793604205</v>
      </c>
      <c r="N31" s="336">
        <f>SUM([18]FINANCIALS!O$25:O$26)</f>
        <v>169.76151542025511</v>
      </c>
      <c r="O31" s="336">
        <f>SUM([18]FINANCIALS!P$25:P$26)</f>
        <v>170.09336010541031</v>
      </c>
      <c r="P31" s="336">
        <f>SUM([18]FINANCIALS!Q$25:Q$26)</f>
        <v>170.43167576192602</v>
      </c>
      <c r="Q31" s="336">
        <f>SUM([18]FINANCIALS!R$25:R$26)</f>
        <v>170.77658857374382</v>
      </c>
      <c r="R31" s="336">
        <f>SUM([18]FINANCIALS!S$25:S$26)</f>
        <v>171.12822718539203</v>
      </c>
      <c r="S31" s="336">
        <f>SUM([18]FINANCIALS!T$25:T$26)</f>
        <v>171.48672274996741</v>
      </c>
      <c r="T31" s="336">
        <f>SUM([18]FINANCIALS!U$25:U$26)</f>
        <v>171.852208978052</v>
      </c>
      <c r="U31" s="336">
        <f>SUM([18]FINANCIALS!V$25:V$26)</f>
        <v>172.22482218758424</v>
      </c>
      <c r="V31" s="336">
        <f>SUM([18]FINANCIALS!W$25:W$26)</f>
        <v>172.60470135470237</v>
      </c>
      <c r="W31" s="336">
        <f>SUM([18]FINANCIALS!X$25:X$26)</f>
        <v>172.9919881655793</v>
      </c>
      <c r="X31" s="336">
        <f>SUM([18]FINANCIALS!Y$25:Y$26)</f>
        <v>85.505832527310403</v>
      </c>
      <c r="Y31" s="336">
        <f>SUM([18]FINANCIALS!Z$25:Z$26)</f>
        <v>0</v>
      </c>
      <c r="AA31" s="606">
        <f t="shared" si="1"/>
        <v>3822.9044571610079</v>
      </c>
      <c r="AB31" s="607">
        <f t="shared" si="2"/>
        <v>1911.452228580504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[18]FINANCIALS!F$33</f>
        <v>51</v>
      </c>
      <c r="F34" s="336">
        <f>[18]FINANCIALS!G$33</f>
        <v>52.02</v>
      </c>
      <c r="G34" s="336">
        <f>[18]FINANCIALS!H$33</f>
        <v>53.060400000000001</v>
      </c>
      <c r="H34" s="336">
        <f>[18]FINANCIALS!I$33</f>
        <v>54.121608000000002</v>
      </c>
      <c r="I34" s="336">
        <f>[18]FINANCIALS!J$33</f>
        <v>55.204040160000005</v>
      </c>
      <c r="J34" s="336">
        <f>[18]FINANCIALS!K$33</f>
        <v>56.308120963200004</v>
      </c>
      <c r="K34" s="336">
        <f>[18]FINANCIALS!L$33</f>
        <v>57.434283382464002</v>
      </c>
      <c r="L34" s="336">
        <f>[18]FINANCIALS!M$33</f>
        <v>58.582969050113284</v>
      </c>
      <c r="M34" s="336">
        <f>[18]FINANCIALS!N$33</f>
        <v>59.754628431115549</v>
      </c>
      <c r="N34" s="336">
        <f>[18]FINANCIALS!O$33</f>
        <v>60.949720999737863</v>
      </c>
      <c r="O34" s="336">
        <f>[18]FINANCIALS!P$33</f>
        <v>62.168715419732621</v>
      </c>
      <c r="P34" s="336">
        <f>[18]FINANCIALS!Q$33</f>
        <v>63.412089728127278</v>
      </c>
      <c r="Q34" s="336">
        <f>[18]FINANCIALS!R$33</f>
        <v>64.680331522689826</v>
      </c>
      <c r="R34" s="336">
        <f>[18]FINANCIALS!S$33</f>
        <v>65.973938153143621</v>
      </c>
      <c r="S34" s="336">
        <f>[18]FINANCIALS!T$33</f>
        <v>67.293416916206496</v>
      </c>
      <c r="T34" s="336">
        <f>[18]FINANCIALS!U$33</f>
        <v>68.639285254530634</v>
      </c>
      <c r="U34" s="336">
        <f>[18]FINANCIALS!V$33</f>
        <v>70.012070959621255</v>
      </c>
      <c r="V34" s="336">
        <f>[18]FINANCIALS!W$33</f>
        <v>71.412312378813681</v>
      </c>
      <c r="W34" s="336">
        <f>[18]FINANCIALS!X$33</f>
        <v>72.840558626389949</v>
      </c>
      <c r="X34" s="336">
        <f>[18]FINANCIALS!Y$33</f>
        <v>36.639798804945741</v>
      </c>
      <c r="Y34" s="336">
        <f>[18]FINANCIALS!Z$33</f>
        <v>0</v>
      </c>
      <c r="AA34" s="606">
        <f t="shared" si="1"/>
        <v>1150.5082887508318</v>
      </c>
      <c r="AB34" s="607">
        <f t="shared" si="2"/>
        <v>575.25414437541588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>
        <f>E37-E36</f>
        <v>-1906.1585757543739</v>
      </c>
      <c r="E36" s="90">
        <f t="shared" ref="E36:Y36" si="4">SUM(E24:E35)</f>
        <v>1906.1585757543739</v>
      </c>
      <c r="F36" s="90">
        <f t="shared" si="4"/>
        <v>1904.4598563146674</v>
      </c>
      <c r="G36" s="90">
        <f t="shared" si="4"/>
        <v>1869.808164356273</v>
      </c>
      <c r="H36" s="90">
        <f t="shared" si="4"/>
        <v>1844.0537396296206</v>
      </c>
      <c r="I36" s="90">
        <f t="shared" si="4"/>
        <v>1818.3084965702326</v>
      </c>
      <c r="J36" s="90">
        <f t="shared" si="4"/>
        <v>1804.3066554412305</v>
      </c>
      <c r="K36" s="90">
        <f t="shared" si="4"/>
        <v>1815.6723510188108</v>
      </c>
      <c r="L36" s="90">
        <f t="shared" si="4"/>
        <v>1842.7503983212566</v>
      </c>
      <c r="M36" s="90">
        <f t="shared" si="4"/>
        <v>1875.3666310923604</v>
      </c>
      <c r="N36" s="90">
        <f t="shared" si="4"/>
        <v>1908.4385194533504</v>
      </c>
      <c r="O36" s="90">
        <f t="shared" si="4"/>
        <v>1941.9751734031247</v>
      </c>
      <c r="P36" s="90">
        <f t="shared" si="4"/>
        <v>1973.8333574103733</v>
      </c>
      <c r="Q36" s="90">
        <f t="shared" si="4"/>
        <v>2006.1750770636349</v>
      </c>
      <c r="R36" s="90">
        <f t="shared" si="4"/>
        <v>2039.0099997772525</v>
      </c>
      <c r="S36" s="90">
        <f t="shared" si="4"/>
        <v>2072.3479862495337</v>
      </c>
      <c r="T36" s="90">
        <f t="shared" si="4"/>
        <v>2019.2082815840738</v>
      </c>
      <c r="U36" s="90">
        <f t="shared" si="4"/>
        <v>2069.090364319522</v>
      </c>
      <c r="V36" s="90">
        <f t="shared" si="4"/>
        <v>2126.9583514056708</v>
      </c>
      <c r="W36" s="90">
        <f t="shared" si="4"/>
        <v>2167.2183060306606</v>
      </c>
      <c r="X36" s="90">
        <f t="shared" si="4"/>
        <v>1081.1600720156889</v>
      </c>
      <c r="Y36" s="90">
        <f t="shared" si="4"/>
        <v>0</v>
      </c>
      <c r="AA36" s="606">
        <f t="shared" si="1"/>
        <v>36180.141781457336</v>
      </c>
      <c r="AB36" s="607">
        <f t="shared" si="2"/>
        <v>18090.070890728668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6294.2399750881068</v>
      </c>
      <c r="F39" s="93">
        <f t="shared" si="5"/>
        <v>6108.364960067327</v>
      </c>
      <c r="G39" s="93">
        <f t="shared" si="5"/>
        <v>6054.3684614548702</v>
      </c>
      <c r="H39" s="93">
        <f t="shared" si="5"/>
        <v>6067.3171526613396</v>
      </c>
      <c r="I39" s="93">
        <f t="shared" si="5"/>
        <v>6071.2583245503401</v>
      </c>
      <c r="J39" s="93">
        <f t="shared" si="5"/>
        <v>6770.0687096951624</v>
      </c>
      <c r="K39" s="93">
        <f t="shared" si="5"/>
        <v>6977.7998531619687</v>
      </c>
      <c r="L39" s="93">
        <f t="shared" si="5"/>
        <v>7169.8186449039104</v>
      </c>
      <c r="M39" s="93">
        <f t="shared" si="5"/>
        <v>7356.2992511771954</v>
      </c>
      <c r="N39" s="93">
        <f t="shared" si="5"/>
        <v>7542.3242018605915</v>
      </c>
      <c r="O39" s="93">
        <f t="shared" si="5"/>
        <v>7727.8843869552056</v>
      </c>
      <c r="P39" s="93">
        <f t="shared" si="5"/>
        <v>7867.124123154058</v>
      </c>
      <c r="Q39" s="93">
        <f t="shared" si="5"/>
        <v>8005.8803237068933</v>
      </c>
      <c r="R39" s="93">
        <f t="shared" si="5"/>
        <v>8144.1433211993772</v>
      </c>
      <c r="S39" s="93">
        <f t="shared" si="5"/>
        <v>8281.9032549331987</v>
      </c>
      <c r="T39" s="93">
        <f t="shared" si="5"/>
        <v>6278.9860542020879</v>
      </c>
      <c r="U39" s="93">
        <f t="shared" si="5"/>
        <v>6719.9513873688538</v>
      </c>
      <c r="V39" s="93">
        <f t="shared" si="5"/>
        <v>7345.1554886327649</v>
      </c>
      <c r="W39" s="93">
        <f t="shared" si="5"/>
        <v>7598.8227286140709</v>
      </c>
      <c r="X39" s="93">
        <f t="shared" si="5"/>
        <v>4116.2601966437032</v>
      </c>
      <c r="Y39" s="93">
        <f t="shared" si="5"/>
        <v>0</v>
      </c>
      <c r="AA39" s="606">
        <f>SUM(F39:Y39)</f>
        <v>132203.73082494293</v>
      </c>
      <c r="AB39" s="607">
        <f t="shared" si="2"/>
        <v>66101.865412471467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2934</v>
      </c>
      <c r="G41" s="90">
        <f t="shared" ref="G41:Y41" si="7">+G109</f>
        <v>2934</v>
      </c>
      <c r="H41" s="90">
        <f t="shared" si="7"/>
        <v>2934</v>
      </c>
      <c r="I41" s="90">
        <f t="shared" si="7"/>
        <v>2934</v>
      </c>
      <c r="J41" s="90">
        <f t="shared" si="7"/>
        <v>2934</v>
      </c>
      <c r="K41" s="90">
        <f t="shared" si="7"/>
        <v>2934</v>
      </c>
      <c r="L41" s="90">
        <f t="shared" si="7"/>
        <v>2934</v>
      </c>
      <c r="M41" s="90">
        <f t="shared" si="7"/>
        <v>2934</v>
      </c>
      <c r="N41" s="90">
        <f t="shared" si="7"/>
        <v>2934</v>
      </c>
      <c r="O41" s="90">
        <f t="shared" si="7"/>
        <v>2934</v>
      </c>
      <c r="P41" s="90">
        <f t="shared" si="7"/>
        <v>2934</v>
      </c>
      <c r="Q41" s="90">
        <f t="shared" si="7"/>
        <v>2934</v>
      </c>
      <c r="R41" s="90">
        <f t="shared" si="7"/>
        <v>2934</v>
      </c>
      <c r="S41" s="90">
        <f t="shared" si="7"/>
        <v>2934</v>
      </c>
      <c r="T41" s="90">
        <f t="shared" si="7"/>
        <v>2934</v>
      </c>
      <c r="U41" s="90">
        <f t="shared" si="7"/>
        <v>2934</v>
      </c>
      <c r="V41" s="90">
        <f t="shared" si="7"/>
        <v>2934</v>
      </c>
      <c r="W41" s="90">
        <f t="shared" si="7"/>
        <v>2934</v>
      </c>
      <c r="X41" s="90">
        <f t="shared" si="7"/>
        <v>2934</v>
      </c>
      <c r="Y41" s="90">
        <f t="shared" si="7"/>
        <v>0</v>
      </c>
      <c r="AA41" s="606">
        <f t="shared" si="6"/>
        <v>55746</v>
      </c>
      <c r="AB41" s="607">
        <f t="shared" si="2"/>
        <v>27873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6294.2399750881068</v>
      </c>
      <c r="F44" s="93">
        <f t="shared" si="8"/>
        <v>3174.364960067327</v>
      </c>
      <c r="G44" s="93">
        <f t="shared" si="8"/>
        <v>3120.3684614548702</v>
      </c>
      <c r="H44" s="93">
        <f t="shared" si="8"/>
        <v>3133.3171526613396</v>
      </c>
      <c r="I44" s="93">
        <f t="shared" si="8"/>
        <v>3137.2583245503401</v>
      </c>
      <c r="J44" s="93">
        <f t="shared" si="8"/>
        <v>3836.0687096951624</v>
      </c>
      <c r="K44" s="93">
        <f t="shared" si="8"/>
        <v>4043.7998531619687</v>
      </c>
      <c r="L44" s="93">
        <f t="shared" si="8"/>
        <v>4235.8186449039104</v>
      </c>
      <c r="M44" s="93">
        <f t="shared" si="8"/>
        <v>4422.2992511771954</v>
      </c>
      <c r="N44" s="93">
        <f t="shared" si="8"/>
        <v>4608.3242018605915</v>
      </c>
      <c r="O44" s="93">
        <f t="shared" si="8"/>
        <v>4793.8843869552056</v>
      </c>
      <c r="P44" s="93">
        <f t="shared" si="8"/>
        <v>4933.124123154058</v>
      </c>
      <c r="Q44" s="93">
        <f t="shared" si="8"/>
        <v>5071.8803237068933</v>
      </c>
      <c r="R44" s="93">
        <f t="shared" si="8"/>
        <v>5210.1433211993772</v>
      </c>
      <c r="S44" s="93">
        <f t="shared" si="8"/>
        <v>5347.9032549331987</v>
      </c>
      <c r="T44" s="93">
        <f t="shared" si="8"/>
        <v>3344.9860542020879</v>
      </c>
      <c r="U44" s="93">
        <f t="shared" si="8"/>
        <v>3785.9513873688538</v>
      </c>
      <c r="V44" s="93">
        <f t="shared" si="8"/>
        <v>4411.1554886327649</v>
      </c>
      <c r="W44" s="93">
        <f t="shared" si="8"/>
        <v>4664.8227286140709</v>
      </c>
      <c r="X44" s="93">
        <f t="shared" si="8"/>
        <v>1182.2601966437032</v>
      </c>
      <c r="Y44" s="93">
        <f t="shared" si="8"/>
        <v>0</v>
      </c>
      <c r="AA44" s="606">
        <f t="shared" si="6"/>
        <v>76457.730824942933</v>
      </c>
      <c r="AB44" s="607">
        <f t="shared" si="2"/>
        <v>38228.865412471467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-[18]FINANCIALS!F$45</f>
        <v>3655.0680000000002</v>
      </c>
      <c r="F46" s="336">
        <f>-[18]FINANCIALS!G$45</f>
        <v>3077.3979260422766</v>
      </c>
      <c r="G46" s="336">
        <f>-[18]FINANCIALS!H$45</f>
        <v>2963.355741487303</v>
      </c>
      <c r="H46" s="336">
        <f>-[18]FINANCIALS!I$45</f>
        <v>2844.9961273829613</v>
      </c>
      <c r="I46" s="336">
        <f>-[18]FINANCIALS!J$45</f>
        <v>2723.1928893651061</v>
      </c>
      <c r="J46" s="336">
        <f>-[18]FINANCIALS!K$45</f>
        <v>2587.1852308457719</v>
      </c>
      <c r="K46" s="336">
        <f>-[18]FINANCIALS!L$45</f>
        <v>2416.2688557591014</v>
      </c>
      <c r="L46" s="336">
        <f>-[18]FINANCIALS!M$45</f>
        <v>2223.4507765974458</v>
      </c>
      <c r="M46" s="336">
        <f>-[18]FINANCIALS!N$45</f>
        <v>2007.527086991096</v>
      </c>
      <c r="N46" s="336">
        <f>-[18]FINANCIALS!O$45</f>
        <v>1763.5801863829652</v>
      </c>
      <c r="O46" s="336">
        <f>-[18]FINANCIALS!P$45</f>
        <v>1489.6326991433295</v>
      </c>
      <c r="P46" s="336">
        <f>-[18]FINANCIALS!Q$45</f>
        <v>1183.4974930920691</v>
      </c>
      <c r="Q46" s="336">
        <f>-[18]FINANCIALS!R$45</f>
        <v>844.58295014468354</v>
      </c>
      <c r="R46" s="336">
        <f>-[18]FINANCIALS!S$45</f>
        <v>469.38974159033165</v>
      </c>
      <c r="S46" s="336">
        <f>-[18]FINANCIALS!T$45</f>
        <v>88.572263177126729</v>
      </c>
      <c r="T46" s="336">
        <f>-[18]FINANCIALS!U$45</f>
        <v>0</v>
      </c>
      <c r="U46" s="336">
        <f>-[18]FINANCIALS!V$45</f>
        <v>0</v>
      </c>
      <c r="V46" s="336">
        <f>-[18]FINANCIALS!W$45</f>
        <v>0</v>
      </c>
      <c r="W46" s="336">
        <f>-[18]FINANCIALS!X$45</f>
        <v>0</v>
      </c>
      <c r="X46" s="336">
        <f>-[18]FINANCIALS!Y$45</f>
        <v>0</v>
      </c>
      <c r="Y46" s="336">
        <f>-[18]FINANCIALS!Z$45</f>
        <v>0</v>
      </c>
      <c r="AA46" s="606">
        <f t="shared" si="6"/>
        <v>26682.629968001569</v>
      </c>
      <c r="AB46" s="607">
        <f t="shared" si="2"/>
        <v>13341.314984000785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2639.1719750881066</v>
      </c>
      <c r="F49" s="93">
        <f t="shared" si="9"/>
        <v>96.967034025050452</v>
      </c>
      <c r="G49" s="93">
        <f t="shared" si="9"/>
        <v>157.01271996756714</v>
      </c>
      <c r="H49" s="93">
        <f t="shared" si="9"/>
        <v>288.32102527837833</v>
      </c>
      <c r="I49" s="93">
        <f t="shared" si="9"/>
        <v>414.06543518523404</v>
      </c>
      <c r="J49" s="93">
        <f t="shared" si="9"/>
        <v>1248.8834788493905</v>
      </c>
      <c r="K49" s="93">
        <f t="shared" si="9"/>
        <v>1627.5309974028673</v>
      </c>
      <c r="L49" s="93">
        <f t="shared" si="9"/>
        <v>2012.3678683064645</v>
      </c>
      <c r="M49" s="93">
        <f t="shared" si="9"/>
        <v>2414.7721641860994</v>
      </c>
      <c r="N49" s="93">
        <f t="shared" si="9"/>
        <v>2844.7440154776264</v>
      </c>
      <c r="O49" s="93">
        <f t="shared" si="9"/>
        <v>3304.2516878118759</v>
      </c>
      <c r="P49" s="93">
        <f t="shared" si="9"/>
        <v>3749.6266300619891</v>
      </c>
      <c r="Q49" s="93">
        <f t="shared" si="9"/>
        <v>4227.2973735622099</v>
      </c>
      <c r="R49" s="93">
        <f t="shared" si="9"/>
        <v>4740.7535796090451</v>
      </c>
      <c r="S49" s="93">
        <f t="shared" si="9"/>
        <v>5259.3309917560719</v>
      </c>
      <c r="T49" s="93">
        <f t="shared" si="9"/>
        <v>3344.9860542020879</v>
      </c>
      <c r="U49" s="93">
        <f t="shared" si="9"/>
        <v>3785.9513873688538</v>
      </c>
      <c r="V49" s="93">
        <f t="shared" si="9"/>
        <v>4411.1554886327649</v>
      </c>
      <c r="W49" s="93">
        <f t="shared" si="9"/>
        <v>4664.8227286140709</v>
      </c>
      <c r="X49" s="93">
        <f t="shared" si="9"/>
        <v>1182.2601966437032</v>
      </c>
      <c r="Y49" s="93">
        <f t="shared" si="9"/>
        <v>0</v>
      </c>
      <c r="AA49" s="606">
        <f t="shared" si="6"/>
        <v>49775.100856941353</v>
      </c>
      <c r="AB49" s="607">
        <f t="shared" si="2"/>
        <v>24887.550428470677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-131.95859875440533</v>
      </c>
      <c r="F51" s="90">
        <f t="shared" si="10"/>
        <v>-4.8483517012525228</v>
      </c>
      <c r="G51" s="55">
        <f t="shared" si="10"/>
        <v>-7.8506359983783573</v>
      </c>
      <c r="H51" s="90">
        <f t="shared" si="10"/>
        <v>-14.416051263918916</v>
      </c>
      <c r="I51" s="90">
        <f t="shared" si="10"/>
        <v>-20.703271759261703</v>
      </c>
      <c r="J51" s="90">
        <f t="shared" si="10"/>
        <v>-62.444173942469526</v>
      </c>
      <c r="K51" s="90">
        <f t="shared" si="10"/>
        <v>-81.376549870143378</v>
      </c>
      <c r="L51" s="90">
        <f t="shared" si="10"/>
        <v>-100.61839341532323</v>
      </c>
      <c r="M51" s="90">
        <f t="shared" si="10"/>
        <v>-120.73860820930497</v>
      </c>
      <c r="N51" s="90">
        <f t="shared" si="10"/>
        <v>-142.23720077388131</v>
      </c>
      <c r="O51" s="90">
        <f t="shared" si="10"/>
        <v>-165.2125843905938</v>
      </c>
      <c r="P51" s="90">
        <f t="shared" si="10"/>
        <v>-187.48133150309945</v>
      </c>
      <c r="Q51" s="90">
        <f t="shared" si="10"/>
        <v>-211.3648686781105</v>
      </c>
      <c r="R51" s="90">
        <f t="shared" si="10"/>
        <v>-237.03767898045226</v>
      </c>
      <c r="S51" s="90">
        <f t="shared" si="10"/>
        <v>-262.96654958780363</v>
      </c>
      <c r="T51" s="90">
        <f t="shared" si="10"/>
        <v>-167.24930271010442</v>
      </c>
      <c r="U51" s="90">
        <f t="shared" si="10"/>
        <v>-189.29756936844271</v>
      </c>
      <c r="V51" s="90">
        <f t="shared" si="10"/>
        <v>-220.55777443163825</v>
      </c>
      <c r="W51" s="90">
        <f t="shared" si="10"/>
        <v>-233.24113643070356</v>
      </c>
      <c r="X51" s="90">
        <f t="shared" si="10"/>
        <v>-59.113009832185163</v>
      </c>
      <c r="Y51" s="90">
        <f t="shared" si="10"/>
        <v>0</v>
      </c>
      <c r="AA51" s="606">
        <f t="shared" si="6"/>
        <v>-2488.7550428470677</v>
      </c>
      <c r="AB51" s="607">
        <f t="shared" si="2"/>
        <v>-1244.3775214235338</v>
      </c>
    </row>
    <row r="52" spans="1:28">
      <c r="A52" s="4" t="s">
        <v>29</v>
      </c>
      <c r="C52" s="341">
        <v>0.35</v>
      </c>
      <c r="D52" s="89"/>
      <c r="E52" s="89">
        <f>((E49+E51)*-$C$52)+E56</f>
        <v>2006.3155956032042</v>
      </c>
      <c r="F52" s="89">
        <f t="shared" ref="F52:Y52" si="11">((F49+F51)*-$C$52)+F56</f>
        <v>2851.5987385066701</v>
      </c>
      <c r="G52" s="89">
        <f t="shared" si="11"/>
        <v>2831.6335479307836</v>
      </c>
      <c r="H52" s="89">
        <f t="shared" si="11"/>
        <v>2948.1868851549389</v>
      </c>
      <c r="I52" s="89">
        <f t="shared" si="11"/>
        <v>2906.3768688609093</v>
      </c>
      <c r="J52" s="89">
        <f t="shared" si="11"/>
        <v>2628.7998693425775</v>
      </c>
      <c r="K52" s="89">
        <f t="shared" si="11"/>
        <v>2663.1129181635461</v>
      </c>
      <c r="L52" s="89">
        <f t="shared" si="11"/>
        <v>2535.1546585881001</v>
      </c>
      <c r="M52" s="89">
        <f t="shared" si="11"/>
        <v>2561.5685789481222</v>
      </c>
      <c r="N52" s="89">
        <f t="shared" si="11"/>
        <v>1213.6088634978519</v>
      </c>
      <c r="O52" s="89">
        <f t="shared" si="11"/>
        <v>-1098.6636861974487</v>
      </c>
      <c r="P52" s="89">
        <f t="shared" si="11"/>
        <v>-1246.7508544956113</v>
      </c>
      <c r="Q52" s="89">
        <f t="shared" si="11"/>
        <v>-1405.5763767094347</v>
      </c>
      <c r="R52" s="89">
        <f t="shared" si="11"/>
        <v>-1576.3005652200075</v>
      </c>
      <c r="S52" s="89">
        <f t="shared" si="11"/>
        <v>-1748.7275547588938</v>
      </c>
      <c r="T52" s="89">
        <f t="shared" si="11"/>
        <v>-1112.207863022194</v>
      </c>
      <c r="U52" s="89">
        <f t="shared" si="11"/>
        <v>-1258.8288363001438</v>
      </c>
      <c r="V52" s="89">
        <f t="shared" si="11"/>
        <v>-1466.7091999703944</v>
      </c>
      <c r="W52" s="89">
        <f t="shared" si="11"/>
        <v>-1551.0535572641784</v>
      </c>
      <c r="X52" s="89">
        <f t="shared" si="11"/>
        <v>-393.10151538403136</v>
      </c>
      <c r="Y52" s="89">
        <f t="shared" si="11"/>
        <v>0</v>
      </c>
      <c r="AA52" s="606">
        <f t="shared" si="6"/>
        <v>10282.120919671157</v>
      </c>
      <c r="AB52" s="607">
        <f t="shared" si="2"/>
        <v>5141.0604598355785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4513.5289719369057</v>
      </c>
      <c r="F54" s="93">
        <f t="shared" si="12"/>
        <v>2943.7174208304682</v>
      </c>
      <c r="G54" s="93">
        <f t="shared" si="12"/>
        <v>2980.7956318999722</v>
      </c>
      <c r="H54" s="93">
        <f t="shared" si="12"/>
        <v>3222.091859169398</v>
      </c>
      <c r="I54" s="93">
        <f t="shared" si="12"/>
        <v>3299.7390322868814</v>
      </c>
      <c r="J54" s="93">
        <f t="shared" si="12"/>
        <v>3815.2391742494983</v>
      </c>
      <c r="K54" s="93">
        <f t="shared" si="12"/>
        <v>4209.2673656962697</v>
      </c>
      <c r="L54" s="93">
        <f t="shared" si="12"/>
        <v>4446.9041334792419</v>
      </c>
      <c r="M54" s="93">
        <f t="shared" si="12"/>
        <v>4855.6021349249168</v>
      </c>
      <c r="N54" s="93">
        <f t="shared" si="12"/>
        <v>3916.1156782015969</v>
      </c>
      <c r="O54" s="93">
        <f t="shared" si="12"/>
        <v>2040.3754172238334</v>
      </c>
      <c r="P54" s="93">
        <f t="shared" si="12"/>
        <v>2315.3944440632781</v>
      </c>
      <c r="Q54" s="93">
        <f t="shared" si="12"/>
        <v>2610.3561281746643</v>
      </c>
      <c r="R54" s="93">
        <f t="shared" si="12"/>
        <v>2927.4153354085856</v>
      </c>
      <c r="S54" s="93">
        <f t="shared" si="12"/>
        <v>3247.6368874093746</v>
      </c>
      <c r="T54" s="93">
        <f t="shared" si="12"/>
        <v>2065.5288884697893</v>
      </c>
      <c r="U54" s="93">
        <f t="shared" si="12"/>
        <v>2337.8249817002675</v>
      </c>
      <c r="V54" s="93">
        <f t="shared" si="12"/>
        <v>2723.8885142307327</v>
      </c>
      <c r="W54" s="93">
        <f t="shared" si="12"/>
        <v>2880.5280349191889</v>
      </c>
      <c r="X54" s="93">
        <f t="shared" si="12"/>
        <v>730.04567142748681</v>
      </c>
      <c r="Y54" s="93">
        <f t="shared" si="12"/>
        <v>0</v>
      </c>
      <c r="AA54" s="606">
        <f t="shared" si="6"/>
        <v>57568.466733765439</v>
      </c>
      <c r="AB54" s="607">
        <f t="shared" si="2"/>
        <v>28784.23336688272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[18]TAX!F$50</f>
        <v>2883.8402773199996</v>
      </c>
      <c r="F56" s="342">
        <f>[18]TAX!G$50</f>
        <v>2883.8402773199996</v>
      </c>
      <c r="G56" s="342">
        <f>[18]TAX!H$50</f>
        <v>2883.8402773199996</v>
      </c>
      <c r="H56" s="342">
        <f>[18]TAX!I$50</f>
        <v>3044.0536260599997</v>
      </c>
      <c r="I56" s="342">
        <f>[18]TAX!J$50</f>
        <v>3044.0536260599997</v>
      </c>
      <c r="J56" s="342">
        <f>[18]TAX!K$50</f>
        <v>3044.0536260599997</v>
      </c>
      <c r="K56" s="342">
        <f>[18]TAX!L$50</f>
        <v>3204.2669747999994</v>
      </c>
      <c r="L56" s="342">
        <f>[18]TAX!M$50</f>
        <v>3204.2669747999994</v>
      </c>
      <c r="M56" s="342">
        <f>[18]TAX!N$50</f>
        <v>3364.48032354</v>
      </c>
      <c r="N56" s="342">
        <f>[18]TAX!O$50</f>
        <v>2159.4862486441625</v>
      </c>
      <c r="O56" s="342">
        <f>[18]TAX!P$50</f>
        <v>0</v>
      </c>
      <c r="P56" s="342">
        <f>[18]TAX!Q$50</f>
        <v>0</v>
      </c>
      <c r="Q56" s="342">
        <f>[18]TAX!R$50</f>
        <v>0</v>
      </c>
      <c r="R56" s="342">
        <f>[18]TAX!S$50</f>
        <v>0</v>
      </c>
      <c r="S56" s="342">
        <f>[18]TAX!T$50</f>
        <v>0</v>
      </c>
      <c r="T56" s="342">
        <f>[18]TAX!U$50</f>
        <v>0</v>
      </c>
      <c r="U56" s="342">
        <f>[18]TAX!V$50</f>
        <v>0</v>
      </c>
      <c r="V56" s="342">
        <f>[18]TAX!W$50</f>
        <v>0</v>
      </c>
      <c r="W56" s="342">
        <f>[18]TAX!X$50</f>
        <v>0</v>
      </c>
      <c r="X56" s="342">
        <f>[18]TAX!Y$50</f>
        <v>0</v>
      </c>
      <c r="Y56" s="342">
        <f>[18]TAX!Z$50</f>
        <v>0</v>
      </c>
      <c r="AA56" s="606">
        <f t="shared" si="6"/>
        <v>26832.341954604162</v>
      </c>
      <c r="AB56" s="607">
        <f t="shared" si="2"/>
        <v>13416.170977302081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6294.2399750881068</v>
      </c>
      <c r="F64" s="20">
        <f t="shared" si="14"/>
        <v>6108.364960067327</v>
      </c>
      <c r="G64" s="24">
        <f t="shared" si="14"/>
        <v>6054.3684614548702</v>
      </c>
      <c r="H64" s="20">
        <f t="shared" si="14"/>
        <v>6067.3171526613396</v>
      </c>
      <c r="I64" s="20">
        <f t="shared" si="14"/>
        <v>6071.2583245503401</v>
      </c>
      <c r="J64" s="20">
        <f t="shared" si="14"/>
        <v>6770.0687096951624</v>
      </c>
      <c r="K64" s="20">
        <f t="shared" si="14"/>
        <v>6977.7998531619687</v>
      </c>
      <c r="L64" s="20">
        <f t="shared" si="14"/>
        <v>7169.8186449039104</v>
      </c>
      <c r="M64" s="20">
        <f t="shared" si="14"/>
        <v>7356.2992511771954</v>
      </c>
      <c r="N64" s="20">
        <f t="shared" si="14"/>
        <v>7542.3242018605915</v>
      </c>
      <c r="O64" s="20">
        <f t="shared" si="14"/>
        <v>7727.8843869552056</v>
      </c>
      <c r="P64" s="20">
        <f t="shared" si="14"/>
        <v>7867.124123154058</v>
      </c>
      <c r="Q64" s="20">
        <f t="shared" si="14"/>
        <v>8005.8803237068933</v>
      </c>
      <c r="R64" s="20">
        <f t="shared" si="14"/>
        <v>8144.1433211993772</v>
      </c>
      <c r="S64" s="20">
        <f t="shared" si="14"/>
        <v>8281.9032549331987</v>
      </c>
      <c r="T64" s="20">
        <f t="shared" si="14"/>
        <v>6278.9860542020879</v>
      </c>
      <c r="U64" s="20">
        <f t="shared" si="14"/>
        <v>6719.9513873688538</v>
      </c>
      <c r="V64" s="20">
        <f t="shared" si="14"/>
        <v>7345.1554886327649</v>
      </c>
      <c r="W64" s="20">
        <f t="shared" si="14"/>
        <v>7598.8227286140709</v>
      </c>
      <c r="X64" s="20">
        <f t="shared" si="14"/>
        <v>4116.2601966437032</v>
      </c>
      <c r="Y64" s="20">
        <f t="shared" si="14"/>
        <v>0</v>
      </c>
      <c r="AA64" s="606">
        <f t="shared" si="6"/>
        <v>132203.73082494293</v>
      </c>
      <c r="AB64" s="607">
        <f t="shared" si="2"/>
        <v>66101.865412471467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-SUM([18]DEBT!E$60:E$61)</f>
        <v>-5539.0680000000002</v>
      </c>
      <c r="F66" s="344">
        <f>-SUM([18]DEBT!F$60:F$61)</f>
        <v>-4495.831304783047</v>
      </c>
      <c r="G66" s="344">
        <f>-SUM([18]DEBT!G$60:G$61)</f>
        <v>-4438.9954143900522</v>
      </c>
      <c r="H66" s="344">
        <f>-SUM([18]DEBT!H$60:H$61)</f>
        <v>-4355.6327141172242</v>
      </c>
      <c r="I66" s="344">
        <f>-SUM([18]DEBT!I$60:I$61)</f>
        <v>-4318.3490395691388</v>
      </c>
      <c r="J66" s="344">
        <f>-SUM([18]DEBT!J$60:J$61)</f>
        <v>-4660.7164450541513</v>
      </c>
      <c r="K66" s="344">
        <f>-SUM([18]DEBT!K$60:K$61)</f>
        <v>-4765.9364939681855</v>
      </c>
      <c r="L66" s="344">
        <f>-SUM([18]DEBT!L$60:L$61)</f>
        <v>-4835.0491299464557</v>
      </c>
      <c r="M66" s="344">
        <f>-SUM([18]DEBT!M$60:M$61)</f>
        <v>-4930.2356154402905</v>
      </c>
      <c r="N66" s="344">
        <f>-SUM([18]DEBT!N$60:N$61)</f>
        <v>-5053.7741000290498</v>
      </c>
      <c r="O66" s="344">
        <f>-SUM([18]DEBT!O$60:O$61)</f>
        <v>-5177.7024911937087</v>
      </c>
      <c r="P66" s="344">
        <f>-SUM([18]DEBT!P$60:P$61)</f>
        <v>-5273.9381396671379</v>
      </c>
      <c r="Q66" s="344">
        <f>-SUM([18]DEBT!Q$60:Q$61)</f>
        <v>-5367.340748418319</v>
      </c>
      <c r="R66" s="344">
        <f>-SUM([18]DEBT!R$60:R$61)</f>
        <v>-5460.2351064971244</v>
      </c>
      <c r="S66" s="344">
        <f>-SUM([18]DEBT!S$60:S$61)</f>
        <v>-2251.1183658436953</v>
      </c>
      <c r="T66" s="344">
        <f>-SUM([18]DEBT!T$60:T$61)</f>
        <v>0</v>
      </c>
      <c r="U66" s="344">
        <f>-SUM([18]DEBT!U$60:U$61)</f>
        <v>0</v>
      </c>
      <c r="V66" s="344">
        <f>-SUM([18]DEBT!V$60:V$61)</f>
        <v>0</v>
      </c>
      <c r="W66" s="344">
        <f>-SUM([18]DEBT!W$60:W$61)</f>
        <v>0</v>
      </c>
      <c r="X66" s="344">
        <f>-SUM([18]DEBT!X$60:X$61)</f>
        <v>0</v>
      </c>
      <c r="Y66" s="344">
        <f>-SUM([18]DEBT!Y$60:Y$61)</f>
        <v>0</v>
      </c>
      <c r="AA66" s="606">
        <f t="shared" si="6"/>
        <v>-65384.855108917574</v>
      </c>
      <c r="AB66" s="607">
        <f t="shared" si="2"/>
        <v>-32692.427554458787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755.17197508810659</v>
      </c>
      <c r="F69" s="95">
        <f t="shared" si="15"/>
        <v>1612.53365528428</v>
      </c>
      <c r="G69" s="95">
        <f t="shared" si="15"/>
        <v>1615.3730470648179</v>
      </c>
      <c r="H69" s="95">
        <f t="shared" si="15"/>
        <v>1711.6844385441154</v>
      </c>
      <c r="I69" s="95">
        <f t="shared" si="15"/>
        <v>1752.9092849812014</v>
      </c>
      <c r="J69" s="95">
        <f t="shared" si="15"/>
        <v>2109.3522646410111</v>
      </c>
      <c r="K69" s="95">
        <f t="shared" si="15"/>
        <v>2211.8633591937833</v>
      </c>
      <c r="L69" s="95">
        <f t="shared" si="15"/>
        <v>2334.7695149574547</v>
      </c>
      <c r="M69" s="95">
        <f t="shared" si="15"/>
        <v>2426.0636357369049</v>
      </c>
      <c r="N69" s="95">
        <f t="shared" si="15"/>
        <v>2488.5501018315417</v>
      </c>
      <c r="O69" s="95">
        <f t="shared" si="15"/>
        <v>2550.1818957614969</v>
      </c>
      <c r="P69" s="95">
        <f t="shared" si="15"/>
        <v>2593.1859834869201</v>
      </c>
      <c r="Q69" s="95">
        <f t="shared" si="15"/>
        <v>2638.5395752885743</v>
      </c>
      <c r="R69" s="95">
        <f t="shared" si="15"/>
        <v>2683.9082147022527</v>
      </c>
      <c r="S69" s="95">
        <f t="shared" si="15"/>
        <v>6030.7848890895038</v>
      </c>
      <c r="T69" s="95">
        <f t="shared" si="15"/>
        <v>6278.9860542020879</v>
      </c>
      <c r="U69" s="95">
        <f t="shared" si="15"/>
        <v>6719.9513873688538</v>
      </c>
      <c r="V69" s="95">
        <f t="shared" si="15"/>
        <v>7345.1554886327649</v>
      </c>
      <c r="W69" s="95">
        <f t="shared" si="15"/>
        <v>7598.8227286140709</v>
      </c>
      <c r="X69" s="95">
        <f t="shared" si="15"/>
        <v>4116.2601966437032</v>
      </c>
      <c r="Y69" s="95">
        <f t="shared" si="15"/>
        <v>0</v>
      </c>
      <c r="AA69" s="606">
        <f t="shared" si="6"/>
        <v>66818.87571602533</v>
      </c>
      <c r="AB69" s="607">
        <f t="shared" si="2"/>
        <v>33409.437858012665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5574.9462913087409</v>
      </c>
      <c r="G71" s="100">
        <f t="shared" si="16"/>
        <v>9592.5535255297218</v>
      </c>
      <c r="H71" s="100">
        <f t="shared" si="16"/>
        <v>5232.3817423814098</v>
      </c>
      <c r="I71" s="100">
        <f t="shared" si="16"/>
        <v>2598.3166917718813</v>
      </c>
      <c r="J71" s="100">
        <f t="shared" si="16"/>
        <v>2278.9987900703413</v>
      </c>
      <c r="K71" s="100">
        <f t="shared" si="16"/>
        <v>194.69025385852004</v>
      </c>
      <c r="L71" s="100">
        <f t="shared" si="16"/>
        <v>-1891.9857096272226</v>
      </c>
      <c r="M71" s="100">
        <f t="shared" si="16"/>
        <v>-2045.9053528011827</v>
      </c>
      <c r="N71" s="100">
        <f t="shared" si="16"/>
        <v>-2210.3695859201921</v>
      </c>
      <c r="O71" s="100">
        <f t="shared" si="16"/>
        <v>-2386.1312705880428</v>
      </c>
      <c r="P71" s="100">
        <f t="shared" si="16"/>
        <v>-2556.4871859987106</v>
      </c>
      <c r="Q71" s="100">
        <f t="shared" si="16"/>
        <v>-2739.1962453875453</v>
      </c>
      <c r="R71" s="100">
        <f t="shared" si="16"/>
        <v>-2935.5932442004596</v>
      </c>
      <c r="S71" s="100">
        <f t="shared" si="16"/>
        <v>-3133.9491043466978</v>
      </c>
      <c r="T71" s="100">
        <f t="shared" si="16"/>
        <v>-2401.7121657322987</v>
      </c>
      <c r="U71" s="100">
        <f t="shared" si="16"/>
        <v>-2570.3814056685865</v>
      </c>
      <c r="V71" s="100">
        <f t="shared" si="16"/>
        <v>-2809.5219744020324</v>
      </c>
      <c r="W71" s="100">
        <f t="shared" si="16"/>
        <v>-2906.5496936948821</v>
      </c>
      <c r="X71" s="100">
        <f t="shared" si="16"/>
        <v>-1574.4695252162162</v>
      </c>
      <c r="Y71" s="100">
        <f t="shared" si="16"/>
        <v>0</v>
      </c>
      <c r="AA71" s="606">
        <f t="shared" si="6"/>
        <v>-6690.365168663453</v>
      </c>
      <c r="AB71" s="607">
        <f t="shared" si="2"/>
        <v>-3345.1825843317265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755.17197508810659</v>
      </c>
      <c r="F73" s="28">
        <f t="shared" si="17"/>
        <v>7187.4799465930209</v>
      </c>
      <c r="G73" s="28">
        <f t="shared" si="17"/>
        <v>11207.926572594541</v>
      </c>
      <c r="H73" s="28">
        <f t="shared" si="17"/>
        <v>6944.0661809255253</v>
      </c>
      <c r="I73" s="28">
        <f t="shared" si="17"/>
        <v>4351.2259767530832</v>
      </c>
      <c r="J73" s="28">
        <f t="shared" si="17"/>
        <v>4388.3510547113528</v>
      </c>
      <c r="K73" s="28">
        <f t="shared" si="17"/>
        <v>2406.5536130523033</v>
      </c>
      <c r="L73" s="28">
        <f t="shared" si="17"/>
        <v>442.7838053302321</v>
      </c>
      <c r="M73" s="28">
        <f t="shared" si="17"/>
        <v>380.15828293572213</v>
      </c>
      <c r="N73" s="28">
        <f t="shared" si="17"/>
        <v>278.18051591134963</v>
      </c>
      <c r="O73" s="28">
        <f t="shared" si="17"/>
        <v>164.05062517345414</v>
      </c>
      <c r="P73" s="28">
        <f t="shared" si="17"/>
        <v>36.698797488209493</v>
      </c>
      <c r="Q73" s="28">
        <f t="shared" si="17"/>
        <v>-100.65667009897106</v>
      </c>
      <c r="R73" s="28">
        <f t="shared" si="17"/>
        <v>-251.68502949820686</v>
      </c>
      <c r="S73" s="28">
        <f t="shared" si="17"/>
        <v>2896.835784742806</v>
      </c>
      <c r="T73" s="28">
        <f t="shared" si="17"/>
        <v>3877.2738884697892</v>
      </c>
      <c r="U73" s="28">
        <f t="shared" si="17"/>
        <v>4149.5699817002678</v>
      </c>
      <c r="V73" s="28">
        <f t="shared" si="17"/>
        <v>4535.6335142307325</v>
      </c>
      <c r="W73" s="28">
        <f t="shared" si="17"/>
        <v>4692.2730349191888</v>
      </c>
      <c r="X73" s="28">
        <f t="shared" si="17"/>
        <v>2541.7906714274868</v>
      </c>
      <c r="Y73" s="28">
        <f t="shared" si="17"/>
        <v>0</v>
      </c>
      <c r="AA73" s="606">
        <f t="shared" si="6"/>
        <v>60128.510547361897</v>
      </c>
      <c r="AB73" s="607">
        <f t="shared" si="2"/>
        <v>30064.255273680948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2256.7644859684528</v>
      </c>
      <c r="F76" s="28">
        <f t="shared" si="19"/>
        <v>1471.8587104152341</v>
      </c>
      <c r="G76" s="95">
        <f t="shared" si="19"/>
        <v>1490.3978159499861</v>
      </c>
      <c r="H76" s="28">
        <f t="shared" si="19"/>
        <v>1611.045929584699</v>
      </c>
      <c r="I76" s="28">
        <f t="shared" si="19"/>
        <v>1649.8695161434407</v>
      </c>
      <c r="J76" s="28">
        <f t="shared" si="19"/>
        <v>1907.6195871247492</v>
      </c>
      <c r="K76" s="28">
        <f t="shared" si="19"/>
        <v>2104.6336828481349</v>
      </c>
      <c r="L76" s="28">
        <f t="shared" si="19"/>
        <v>2223.4520667396209</v>
      </c>
      <c r="M76" s="28">
        <f t="shared" si="19"/>
        <v>2427.8010674624584</v>
      </c>
      <c r="N76" s="28">
        <f t="shared" si="19"/>
        <v>1958.0578391007984</v>
      </c>
      <c r="O76" s="28">
        <f t="shared" si="19"/>
        <v>1020.1877086119167</v>
      </c>
      <c r="P76" s="28">
        <f t="shared" si="19"/>
        <v>1157.6972220316391</v>
      </c>
      <c r="Q76" s="28">
        <f t="shared" si="19"/>
        <v>1305.1780640873321</v>
      </c>
      <c r="R76" s="28">
        <f t="shared" si="19"/>
        <v>1463.7076677042928</v>
      </c>
      <c r="S76" s="28">
        <f t="shared" si="19"/>
        <v>1623.8184437046873</v>
      </c>
      <c r="T76" s="28">
        <f t="shared" si="19"/>
        <v>1032.7644442348947</v>
      </c>
      <c r="U76" s="28">
        <f t="shared" si="19"/>
        <v>1168.9124908501337</v>
      </c>
      <c r="V76" s="28">
        <f t="shared" si="19"/>
        <v>1361.9442571153663</v>
      </c>
      <c r="W76" s="28">
        <f t="shared" si="19"/>
        <v>1440.2640174595945</v>
      </c>
      <c r="X76" s="28">
        <f t="shared" si="19"/>
        <v>365.0228357137434</v>
      </c>
      <c r="Y76" s="28">
        <f t="shared" si="19"/>
        <v>0</v>
      </c>
      <c r="AA76" s="606">
        <f t="shared" si="6"/>
        <v>28784.23336688272</v>
      </c>
      <c r="AB76" s="607">
        <f>AA76</f>
        <v>28784.23336688272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377.5859875440533</v>
      </c>
      <c r="F77" s="28">
        <f t="shared" si="20"/>
        <v>3593.7399732965105</v>
      </c>
      <c r="G77" s="95">
        <f t="shared" si="20"/>
        <v>5603.9632862972703</v>
      </c>
      <c r="H77" s="28">
        <f t="shared" si="20"/>
        <v>3472.0330904627626</v>
      </c>
      <c r="I77" s="28">
        <f t="shared" si="20"/>
        <v>2175.6129883765416</v>
      </c>
      <c r="J77" s="28">
        <f t="shared" si="20"/>
        <v>2194.1755273556764</v>
      </c>
      <c r="K77" s="28">
        <f t="shared" si="20"/>
        <v>1203.2768065261516</v>
      </c>
      <c r="L77" s="28">
        <f t="shared" si="20"/>
        <v>221.39190266511605</v>
      </c>
      <c r="M77" s="28">
        <f t="shared" si="20"/>
        <v>190.07914146786106</v>
      </c>
      <c r="N77" s="28">
        <f t="shared" si="20"/>
        <v>139.09025795567482</v>
      </c>
      <c r="O77" s="28">
        <f t="shared" si="20"/>
        <v>82.025312586727068</v>
      </c>
      <c r="P77" s="28">
        <f t="shared" si="20"/>
        <v>18.349398744104747</v>
      </c>
      <c r="Q77" s="28">
        <f t="shared" si="20"/>
        <v>-50.328335049485531</v>
      </c>
      <c r="R77" s="28">
        <f t="shared" si="20"/>
        <v>-125.84251474910343</v>
      </c>
      <c r="S77" s="28">
        <f t="shared" si="20"/>
        <v>1448.417892371403</v>
      </c>
      <c r="T77" s="28">
        <f t="shared" si="20"/>
        <v>1938.6369442348946</v>
      </c>
      <c r="U77" s="28">
        <f t="shared" si="20"/>
        <v>2074.7849908501339</v>
      </c>
      <c r="V77" s="28">
        <f t="shared" si="20"/>
        <v>2267.8167571153663</v>
      </c>
      <c r="W77" s="28">
        <f t="shared" si="20"/>
        <v>2346.1365174595944</v>
      </c>
      <c r="X77" s="28">
        <f t="shared" si="20"/>
        <v>1270.8953357137434</v>
      </c>
      <c r="Y77" s="28">
        <f t="shared" si="20"/>
        <v>0</v>
      </c>
      <c r="AA77" s="606">
        <f t="shared" si="6"/>
        <v>30064.255273680948</v>
      </c>
      <c r="AB77" s="607">
        <f>AA77</f>
        <v>30064.255273680948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1612.53365528428</v>
      </c>
      <c r="G88" s="200">
        <f t="shared" ref="G88:Y88" si="22">G69</f>
        <v>1615.3730470648179</v>
      </c>
      <c r="H88" s="200">
        <f t="shared" si="22"/>
        <v>1711.6844385441154</v>
      </c>
      <c r="I88" s="200">
        <f t="shared" si="22"/>
        <v>1752.9092849812014</v>
      </c>
      <c r="J88" s="200">
        <f t="shared" si="22"/>
        <v>2109.3522646410111</v>
      </c>
      <c r="K88" s="200">
        <f t="shared" si="22"/>
        <v>2211.8633591937833</v>
      </c>
      <c r="L88" s="200">
        <f t="shared" si="22"/>
        <v>2334.7695149574547</v>
      </c>
      <c r="M88" s="200">
        <f t="shared" si="22"/>
        <v>2426.0636357369049</v>
      </c>
      <c r="N88" s="200">
        <f t="shared" si="22"/>
        <v>2488.5501018315417</v>
      </c>
      <c r="O88" s="200">
        <f t="shared" si="22"/>
        <v>2550.1818957614969</v>
      </c>
      <c r="P88" s="200">
        <f t="shared" si="22"/>
        <v>2593.1859834869201</v>
      </c>
      <c r="Q88" s="200">
        <f t="shared" si="22"/>
        <v>2638.5395752885743</v>
      </c>
      <c r="R88" s="200">
        <f t="shared" si="22"/>
        <v>2683.9082147022527</v>
      </c>
      <c r="S88" s="200">
        <f t="shared" si="22"/>
        <v>6030.7848890895038</v>
      </c>
      <c r="T88" s="200">
        <f t="shared" si="22"/>
        <v>6278.9860542020879</v>
      </c>
      <c r="U88" s="200">
        <f t="shared" si="22"/>
        <v>6719.9513873688538</v>
      </c>
      <c r="V88" s="200">
        <f t="shared" si="22"/>
        <v>7345.1554886327649</v>
      </c>
      <c r="W88" s="200">
        <f t="shared" si="22"/>
        <v>7598.8227286140709</v>
      </c>
      <c r="X88" s="200">
        <f t="shared" si="22"/>
        <v>4116.2601966437032</v>
      </c>
      <c r="Y88" s="200">
        <f t="shared" si="22"/>
        <v>0</v>
      </c>
      <c r="AA88" s="606">
        <f t="shared" si="6"/>
        <v>66818.87571602533</v>
      </c>
      <c r="AB88" s="607">
        <f t="shared" si="18"/>
        <v>33409.437858012665</v>
      </c>
    </row>
    <row r="89" spans="1:30" s="199" customFormat="1">
      <c r="A89" s="199" t="s">
        <v>53</v>
      </c>
      <c r="F89" s="110">
        <f>F126+F127</f>
        <v>5574.9462913087409</v>
      </c>
      <c r="G89" s="110">
        <f t="shared" ref="G89:Y89" si="23">G126+G127</f>
        <v>9592.5535255297218</v>
      </c>
      <c r="H89" s="110">
        <f t="shared" si="23"/>
        <v>5232.3817423814098</v>
      </c>
      <c r="I89" s="110">
        <f t="shared" si="23"/>
        <v>2598.3166917718813</v>
      </c>
      <c r="J89" s="110">
        <f t="shared" si="23"/>
        <v>2278.9987900703413</v>
      </c>
      <c r="K89" s="110">
        <f t="shared" si="23"/>
        <v>194.69025385852004</v>
      </c>
      <c r="L89" s="110">
        <f t="shared" si="23"/>
        <v>-1891.9857096272226</v>
      </c>
      <c r="M89" s="110">
        <f t="shared" si="23"/>
        <v>-2045.9053528011827</v>
      </c>
      <c r="N89" s="110">
        <f t="shared" si="23"/>
        <v>-2210.3695859201921</v>
      </c>
      <c r="O89" s="110">
        <f t="shared" si="23"/>
        <v>-2386.1312705880428</v>
      </c>
      <c r="P89" s="110">
        <f t="shared" si="23"/>
        <v>-2556.4871859987106</v>
      </c>
      <c r="Q89" s="110">
        <f t="shared" si="23"/>
        <v>-2739.1962453875453</v>
      </c>
      <c r="R89" s="110">
        <f t="shared" si="23"/>
        <v>-2935.5932442004596</v>
      </c>
      <c r="S89" s="110">
        <f t="shared" si="23"/>
        <v>-3133.9491043466978</v>
      </c>
      <c r="T89" s="110">
        <f t="shared" si="23"/>
        <v>-2401.7121657322987</v>
      </c>
      <c r="U89" s="110">
        <f t="shared" si="23"/>
        <v>-2570.3814056685865</v>
      </c>
      <c r="V89" s="110">
        <f t="shared" si="23"/>
        <v>-2809.5219744020324</v>
      </c>
      <c r="W89" s="110">
        <f t="shared" si="23"/>
        <v>-2906.5496936948821</v>
      </c>
      <c r="X89" s="110">
        <f t="shared" si="23"/>
        <v>-1574.4695252162162</v>
      </c>
      <c r="Y89" s="110">
        <f t="shared" si="23"/>
        <v>0</v>
      </c>
      <c r="AA89" s="606">
        <f t="shared" si="6"/>
        <v>-6690.365168663453</v>
      </c>
      <c r="AB89" s="607">
        <f t="shared" si="18"/>
        <v>-3345.1825843317265</v>
      </c>
    </row>
    <row r="90" spans="1:30" s="199" customFormat="1">
      <c r="A90" s="199" t="s">
        <v>238</v>
      </c>
      <c r="F90" s="110">
        <f>F56</f>
        <v>2883.8402773199996</v>
      </c>
      <c r="G90" s="110">
        <f t="shared" ref="G90:Y90" si="24">G56</f>
        <v>2883.8402773199996</v>
      </c>
      <c r="H90" s="110">
        <f t="shared" si="24"/>
        <v>3044.0536260599997</v>
      </c>
      <c r="I90" s="110">
        <f t="shared" si="24"/>
        <v>3044.0536260599997</v>
      </c>
      <c r="J90" s="110">
        <f t="shared" si="24"/>
        <v>3044.0536260599997</v>
      </c>
      <c r="K90" s="110">
        <f t="shared" si="24"/>
        <v>3204.2669747999994</v>
      </c>
      <c r="L90" s="110">
        <f t="shared" si="24"/>
        <v>3204.2669747999994</v>
      </c>
      <c r="M90" s="110">
        <f t="shared" si="24"/>
        <v>3364.48032354</v>
      </c>
      <c r="N90" s="110">
        <f t="shared" si="24"/>
        <v>2159.4862486441625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26832.341954604162</v>
      </c>
      <c r="AB90" s="607">
        <f t="shared" si="18"/>
        <v>13416.170977302081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32930.081573149626</v>
      </c>
      <c r="Y91" s="111"/>
      <c r="AA91" s="606">
        <f t="shared" si="6"/>
        <v>32930.081573149626</v>
      </c>
      <c r="AB91" s="607">
        <f t="shared" si="18"/>
        <v>16465.040786574813</v>
      </c>
    </row>
    <row r="92" spans="1:30" s="199" customFormat="1">
      <c r="A92" s="199" t="s">
        <v>55</v>
      </c>
      <c r="E92" s="346">
        <v>-59108.830513743735</v>
      </c>
      <c r="F92" s="200">
        <f>SUM(F88:F91)</f>
        <v>10071.320223913021</v>
      </c>
      <c r="G92" s="200">
        <f t="shared" ref="G92:Y92" si="25">SUM(G88:G91)</f>
        <v>14091.76684991454</v>
      </c>
      <c r="H92" s="200">
        <f t="shared" si="25"/>
        <v>9988.1198069855254</v>
      </c>
      <c r="I92" s="200">
        <f t="shared" si="25"/>
        <v>7395.2796028130833</v>
      </c>
      <c r="J92" s="200">
        <f t="shared" si="25"/>
        <v>7432.404680771353</v>
      </c>
      <c r="K92" s="200">
        <f t="shared" si="25"/>
        <v>5610.8205878523022</v>
      </c>
      <c r="L92" s="200">
        <f t="shared" si="25"/>
        <v>3647.0507801302315</v>
      </c>
      <c r="M92" s="200">
        <f t="shared" si="25"/>
        <v>3744.6386064757221</v>
      </c>
      <c r="N92" s="200">
        <f t="shared" si="25"/>
        <v>2437.6667645555121</v>
      </c>
      <c r="O92" s="200">
        <f t="shared" si="25"/>
        <v>164.05062517345414</v>
      </c>
      <c r="P92" s="200">
        <f t="shared" si="25"/>
        <v>36.698797488209493</v>
      </c>
      <c r="Q92" s="200">
        <f t="shared" si="25"/>
        <v>-100.65667009897106</v>
      </c>
      <c r="R92" s="200">
        <f t="shared" si="25"/>
        <v>-251.68502949820686</v>
      </c>
      <c r="S92" s="200">
        <f t="shared" si="25"/>
        <v>2896.835784742806</v>
      </c>
      <c r="T92" s="200">
        <f t="shared" si="25"/>
        <v>3877.2738884697892</v>
      </c>
      <c r="U92" s="200">
        <f t="shared" si="25"/>
        <v>4149.5699817002678</v>
      </c>
      <c r="V92" s="200">
        <f t="shared" si="25"/>
        <v>4535.6335142307325</v>
      </c>
      <c r="W92" s="200">
        <f t="shared" si="25"/>
        <v>4692.2730349191888</v>
      </c>
      <c r="X92" s="200">
        <f t="shared" si="25"/>
        <v>35471.872244577113</v>
      </c>
      <c r="Y92" s="200">
        <f t="shared" si="25"/>
        <v>0</v>
      </c>
      <c r="AA92" s="606">
        <f t="shared" si="6"/>
        <v>119890.93407511567</v>
      </c>
      <c r="AB92" s="607">
        <f t="shared" si="18"/>
        <v>59945.467037557835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-4.3388738066231434E-11</v>
      </c>
      <c r="R95" s="204"/>
      <c r="U95" s="205" t="s">
        <v>241</v>
      </c>
      <c r="V95" s="206"/>
      <c r="W95" s="206"/>
      <c r="X95" s="206"/>
      <c r="Y95" s="207">
        <f>X88</f>
        <v>4116.2601966437032</v>
      </c>
      <c r="AA95" s="606">
        <f t="shared" si="6"/>
        <v>4116.2601966437032</v>
      </c>
      <c r="AB95" s="607">
        <f t="shared" si="18"/>
        <v>2058.1300983218516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4116.2601966437032</v>
      </c>
      <c r="AA97" s="606">
        <f t="shared" si="6"/>
        <v>4116.2601966437032</v>
      </c>
      <c r="AB97" s="607">
        <f t="shared" si="18"/>
        <v>2058.1300983218516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32930.081573149626</v>
      </c>
      <c r="AA99" s="606">
        <f t="shared" si="6"/>
        <v>32930.081573149626</v>
      </c>
      <c r="AB99" s="607">
        <f t="shared" si="18"/>
        <v>16465.040786574813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[18]DEBT!$F$37</f>
        <v>38702.225140916002</v>
      </c>
      <c r="F101" s="203"/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59108.830513743735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97811.055654659736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88029.950089193764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88029.950089193764</v>
      </c>
      <c r="F109" s="203">
        <f>ROUND(D109/$B$109,0)</f>
        <v>2934</v>
      </c>
      <c r="G109" s="203">
        <f>F109</f>
        <v>2934</v>
      </c>
      <c r="H109" s="203">
        <f t="shared" ref="H109:X110" si="28">G109</f>
        <v>2934</v>
      </c>
      <c r="I109" s="203">
        <f t="shared" si="28"/>
        <v>2934</v>
      </c>
      <c r="J109" s="203">
        <f t="shared" si="28"/>
        <v>2934</v>
      </c>
      <c r="K109" s="203">
        <f t="shared" si="28"/>
        <v>2934</v>
      </c>
      <c r="L109" s="203">
        <f t="shared" si="28"/>
        <v>2934</v>
      </c>
      <c r="M109" s="203">
        <f t="shared" si="28"/>
        <v>2934</v>
      </c>
      <c r="N109" s="203">
        <f t="shared" si="28"/>
        <v>2934</v>
      </c>
      <c r="O109" s="203">
        <f t="shared" si="28"/>
        <v>2934</v>
      </c>
      <c r="P109" s="203">
        <f t="shared" si="28"/>
        <v>2934</v>
      </c>
      <c r="Q109" s="203">
        <f t="shared" si="28"/>
        <v>2934</v>
      </c>
      <c r="R109" s="203">
        <f t="shared" si="28"/>
        <v>2934</v>
      </c>
      <c r="S109" s="203">
        <f t="shared" si="28"/>
        <v>2934</v>
      </c>
      <c r="T109" s="203">
        <f t="shared" si="28"/>
        <v>2934</v>
      </c>
      <c r="U109" s="203">
        <f t="shared" si="28"/>
        <v>2934</v>
      </c>
      <c r="V109" s="203">
        <f t="shared" si="28"/>
        <v>2934</v>
      </c>
      <c r="W109" s="203">
        <f t="shared" si="28"/>
        <v>2934</v>
      </c>
      <c r="X109" s="203">
        <f t="shared" si="28"/>
        <v>2934</v>
      </c>
      <c r="Y109" s="739"/>
      <c r="AA109" s="606">
        <f t="shared" si="26"/>
        <v>55746</v>
      </c>
      <c r="AB109" s="607">
        <f t="shared" si="18"/>
        <v>27873</v>
      </c>
    </row>
    <row r="110" spans="1:28" s="199" customFormat="1">
      <c r="A110" s="199" t="s">
        <v>571</v>
      </c>
      <c r="D110" s="214">
        <f>D104*'FPLE_Wind Summary'!V18</f>
        <v>10026.316459098809</v>
      </c>
      <c r="F110" s="203">
        <f>ROUND(D110/$B$109,0)</f>
        <v>334</v>
      </c>
      <c r="G110" s="203">
        <f>F110</f>
        <v>334</v>
      </c>
      <c r="H110" s="203">
        <f t="shared" si="28"/>
        <v>334</v>
      </c>
      <c r="I110" s="203">
        <f t="shared" si="28"/>
        <v>334</v>
      </c>
      <c r="J110" s="203">
        <f t="shared" si="28"/>
        <v>334</v>
      </c>
      <c r="K110" s="203">
        <f t="shared" si="28"/>
        <v>334</v>
      </c>
      <c r="L110" s="203">
        <f t="shared" si="28"/>
        <v>334</v>
      </c>
      <c r="M110" s="203">
        <f t="shared" si="28"/>
        <v>334</v>
      </c>
      <c r="N110" s="203">
        <f t="shared" si="28"/>
        <v>334</v>
      </c>
      <c r="O110" s="203">
        <f t="shared" si="28"/>
        <v>334</v>
      </c>
      <c r="P110" s="203">
        <f t="shared" si="28"/>
        <v>334</v>
      </c>
      <c r="Q110" s="203">
        <f t="shared" si="28"/>
        <v>334</v>
      </c>
      <c r="R110" s="203">
        <f t="shared" si="28"/>
        <v>334</v>
      </c>
      <c r="S110" s="203">
        <f t="shared" si="28"/>
        <v>334</v>
      </c>
      <c r="T110" s="203">
        <f t="shared" si="28"/>
        <v>334</v>
      </c>
      <c r="U110" s="203">
        <f t="shared" si="28"/>
        <v>334</v>
      </c>
      <c r="V110" s="203">
        <f t="shared" si="28"/>
        <v>334</v>
      </c>
      <c r="W110" s="203">
        <f t="shared" si="28"/>
        <v>334</v>
      </c>
      <c r="X110" s="203">
        <f t="shared" si="28"/>
        <v>334</v>
      </c>
      <c r="Y110" s="739"/>
      <c r="AA110" s="606">
        <f t="shared" si="26"/>
        <v>6346</v>
      </c>
      <c r="AB110" s="607">
        <f t="shared" si="18"/>
        <v>3173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88029.950089193764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17605.990017838754</v>
      </c>
      <c r="G115" s="203">
        <f t="shared" si="29"/>
        <v>28169.584028542005</v>
      </c>
      <c r="H115" s="203">
        <f t="shared" si="29"/>
        <v>16901.750417125204</v>
      </c>
      <c r="I115" s="203">
        <f t="shared" si="29"/>
        <v>10141.050250275121</v>
      </c>
      <c r="J115" s="203">
        <f t="shared" si="29"/>
        <v>10141.050250275121</v>
      </c>
      <c r="K115" s="203">
        <f t="shared" si="29"/>
        <v>5070.5251251375603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88029.950089193764</v>
      </c>
      <c r="AB115" s="607">
        <f t="shared" si="18"/>
        <v>44014.975044596882</v>
      </c>
    </row>
    <row r="116" spans="1:28" s="199" customFormat="1">
      <c r="A116" s="199" t="s">
        <v>571</v>
      </c>
      <c r="D116" s="214">
        <f>D110</f>
        <v>10026.316459098809</v>
      </c>
      <c r="F116" s="203">
        <f>$D$116*F114</f>
        <v>2005.2632918197619</v>
      </c>
      <c r="G116" s="203">
        <f t="shared" ref="G116:X116" si="30">$D$116*G114</f>
        <v>3208.4212669116191</v>
      </c>
      <c r="H116" s="203">
        <f t="shared" si="30"/>
        <v>1925.0527601469714</v>
      </c>
      <c r="I116" s="203">
        <f t="shared" si="30"/>
        <v>1155.0316560881827</v>
      </c>
      <c r="J116" s="203">
        <f t="shared" si="30"/>
        <v>1155.0316560881827</v>
      </c>
      <c r="K116" s="203">
        <f t="shared" si="30"/>
        <v>577.51582804409134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10026.316459098809</v>
      </c>
      <c r="AB116" s="607">
        <f t="shared" si="18"/>
        <v>5013.1582295494045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6108.364960067327</v>
      </c>
      <c r="G121" s="203">
        <f t="shared" ref="G121:Y121" si="32">G39</f>
        <v>6054.3684614548702</v>
      </c>
      <c r="H121" s="203">
        <f t="shared" si="32"/>
        <v>6067.3171526613396</v>
      </c>
      <c r="I121" s="203">
        <f t="shared" si="32"/>
        <v>6071.2583245503401</v>
      </c>
      <c r="J121" s="203">
        <f>J39</f>
        <v>6770.0687096951624</v>
      </c>
      <c r="K121" s="203">
        <f t="shared" si="32"/>
        <v>6977.7998531619687</v>
      </c>
      <c r="L121" s="203">
        <f t="shared" si="32"/>
        <v>7169.8186449039104</v>
      </c>
      <c r="M121" s="203">
        <f t="shared" si="32"/>
        <v>7356.2992511771954</v>
      </c>
      <c r="N121" s="203">
        <f t="shared" si="32"/>
        <v>7542.3242018605915</v>
      </c>
      <c r="O121" s="203">
        <f t="shared" si="32"/>
        <v>7727.8843869552056</v>
      </c>
      <c r="P121" s="203">
        <f t="shared" si="32"/>
        <v>7867.124123154058</v>
      </c>
      <c r="Q121" s="203">
        <f t="shared" si="32"/>
        <v>8005.8803237068933</v>
      </c>
      <c r="R121" s="203">
        <f t="shared" si="32"/>
        <v>8144.1433211993772</v>
      </c>
      <c r="S121" s="203">
        <f t="shared" si="32"/>
        <v>8281.9032549331987</v>
      </c>
      <c r="T121" s="203">
        <f t="shared" si="32"/>
        <v>6278.9860542020879</v>
      </c>
      <c r="U121" s="203">
        <f t="shared" si="32"/>
        <v>6719.9513873688538</v>
      </c>
      <c r="V121" s="203">
        <f t="shared" si="32"/>
        <v>7345.1554886327649</v>
      </c>
      <c r="W121" s="203">
        <f t="shared" si="32"/>
        <v>7598.8227286140709</v>
      </c>
      <c r="X121" s="203">
        <f t="shared" si="32"/>
        <v>4116.2601966437032</v>
      </c>
      <c r="Y121" s="203">
        <f t="shared" si="32"/>
        <v>0</v>
      </c>
      <c r="AA121" s="606">
        <f t="shared" si="26"/>
        <v>132203.73082494293</v>
      </c>
      <c r="AB121" s="607">
        <f t="shared" si="18"/>
        <v>66101.865412471467</v>
      </c>
    </row>
    <row r="122" spans="1:28" s="199" customFormat="1">
      <c r="A122" s="199" t="s">
        <v>74</v>
      </c>
      <c r="F122" s="203">
        <f>-F115</f>
        <v>-17605.990017838754</v>
      </c>
      <c r="G122" s="203">
        <f t="shared" ref="G122:Y122" si="33">-G115</f>
        <v>-28169.584028542005</v>
      </c>
      <c r="H122" s="203">
        <f t="shared" si="33"/>
        <v>-16901.750417125204</v>
      </c>
      <c r="I122" s="203">
        <f t="shared" si="33"/>
        <v>-10141.050250275121</v>
      </c>
      <c r="J122" s="203">
        <f t="shared" si="33"/>
        <v>-10141.050250275121</v>
      </c>
      <c r="K122" s="203">
        <f t="shared" si="33"/>
        <v>-5070.5251251375603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-88029.950089193764</v>
      </c>
      <c r="AB122" s="607">
        <f t="shared" si="18"/>
        <v>-44014.975044596882</v>
      </c>
    </row>
    <row r="123" spans="1:28" s="199" customFormat="1">
      <c r="A123" s="199" t="s">
        <v>75</v>
      </c>
      <c r="F123" s="218">
        <f>-F46</f>
        <v>-3077.3979260422766</v>
      </c>
      <c r="G123" s="218">
        <f t="shared" ref="G123:Y123" si="34">-G46</f>
        <v>-2963.355741487303</v>
      </c>
      <c r="H123" s="218">
        <f t="shared" si="34"/>
        <v>-2844.9961273829613</v>
      </c>
      <c r="I123" s="218">
        <f t="shared" si="34"/>
        <v>-2723.1928893651061</v>
      </c>
      <c r="J123" s="218">
        <f t="shared" si="34"/>
        <v>-2587.1852308457719</v>
      </c>
      <c r="K123" s="218">
        <f t="shared" si="34"/>
        <v>-2416.2688557591014</v>
      </c>
      <c r="L123" s="218">
        <f t="shared" si="34"/>
        <v>-2223.4507765974458</v>
      </c>
      <c r="M123" s="218">
        <f t="shared" si="34"/>
        <v>-2007.527086991096</v>
      </c>
      <c r="N123" s="218">
        <f t="shared" si="34"/>
        <v>-1763.5801863829652</v>
      </c>
      <c r="O123" s="218">
        <f t="shared" si="34"/>
        <v>-1489.6326991433295</v>
      </c>
      <c r="P123" s="218">
        <f t="shared" si="34"/>
        <v>-1183.4974930920691</v>
      </c>
      <c r="Q123" s="218">
        <f t="shared" si="34"/>
        <v>-844.58295014468354</v>
      </c>
      <c r="R123" s="218">
        <f t="shared" si="34"/>
        <v>-469.38974159033165</v>
      </c>
      <c r="S123" s="218">
        <f t="shared" si="34"/>
        <v>-88.572263177126729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-26682.629968001569</v>
      </c>
      <c r="AB123" s="607">
        <f t="shared" si="18"/>
        <v>-13341.314984000785</v>
      </c>
    </row>
    <row r="124" spans="1:28" s="199" customFormat="1">
      <c r="A124" s="199" t="s">
        <v>76</v>
      </c>
      <c r="F124" s="203">
        <f>SUM(F121:F123)</f>
        <v>-14575.022983813704</v>
      </c>
      <c r="G124" s="203">
        <f t="shared" ref="G124:Y124" si="35">SUM(G121:G123)</f>
        <v>-25078.571308574439</v>
      </c>
      <c r="H124" s="203">
        <f t="shared" si="35"/>
        <v>-13679.429391846825</v>
      </c>
      <c r="I124" s="203">
        <f t="shared" si="35"/>
        <v>-6792.984815089887</v>
      </c>
      <c r="J124" s="203">
        <f t="shared" si="35"/>
        <v>-5958.1667714257301</v>
      </c>
      <c r="K124" s="203">
        <f t="shared" si="35"/>
        <v>-508.99412773469294</v>
      </c>
      <c r="L124" s="203">
        <f t="shared" si="35"/>
        <v>4946.3678683064645</v>
      </c>
      <c r="M124" s="203">
        <f t="shared" si="35"/>
        <v>5348.772164186099</v>
      </c>
      <c r="N124" s="203">
        <f t="shared" si="35"/>
        <v>5778.7440154776268</v>
      </c>
      <c r="O124" s="203">
        <f t="shared" si="35"/>
        <v>6238.2516878118759</v>
      </c>
      <c r="P124" s="203">
        <f t="shared" si="35"/>
        <v>6683.6266300619891</v>
      </c>
      <c r="Q124" s="203">
        <f t="shared" si="35"/>
        <v>7161.2973735622099</v>
      </c>
      <c r="R124" s="203">
        <f t="shared" si="35"/>
        <v>7674.7535796090451</v>
      </c>
      <c r="S124" s="203">
        <f t="shared" si="35"/>
        <v>8193.3309917560728</v>
      </c>
      <c r="T124" s="203">
        <f t="shared" si="35"/>
        <v>6278.9860542020879</v>
      </c>
      <c r="U124" s="203">
        <f t="shared" si="35"/>
        <v>6719.9513873688538</v>
      </c>
      <c r="V124" s="203">
        <f t="shared" si="35"/>
        <v>7345.1554886327649</v>
      </c>
      <c r="W124" s="203">
        <f t="shared" si="35"/>
        <v>7598.8227286140709</v>
      </c>
      <c r="X124" s="203">
        <f t="shared" si="35"/>
        <v>4116.2601966437032</v>
      </c>
      <c r="Y124" s="203">
        <f t="shared" si="35"/>
        <v>0</v>
      </c>
      <c r="AA124" s="606">
        <f t="shared" si="26"/>
        <v>17491.150767747575</v>
      </c>
      <c r="AB124" s="607">
        <f t="shared" si="18"/>
        <v>8745.5753838737874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728.75114919068528</v>
      </c>
      <c r="G126" s="203">
        <f t="shared" ref="G126:Y126" si="36">-G124*$C$126</f>
        <v>1253.9285654287221</v>
      </c>
      <c r="H126" s="203">
        <f t="shared" si="36"/>
        <v>683.97146959234124</v>
      </c>
      <c r="I126" s="203">
        <f t="shared" si="36"/>
        <v>339.64924075449437</v>
      </c>
      <c r="J126" s="203">
        <f t="shared" si="36"/>
        <v>297.90833857128649</v>
      </c>
      <c r="K126" s="203">
        <f t="shared" si="36"/>
        <v>25.449706386734647</v>
      </c>
      <c r="L126" s="203">
        <f t="shared" si="36"/>
        <v>-247.31839341532324</v>
      </c>
      <c r="M126" s="203">
        <f t="shared" si="36"/>
        <v>-267.43860820930496</v>
      </c>
      <c r="N126" s="203">
        <f t="shared" si="36"/>
        <v>-288.93720077388133</v>
      </c>
      <c r="O126" s="203">
        <f t="shared" si="36"/>
        <v>-311.91258439059379</v>
      </c>
      <c r="P126" s="203">
        <f t="shared" si="36"/>
        <v>-334.1813315030995</v>
      </c>
      <c r="Q126" s="203">
        <f t="shared" si="36"/>
        <v>-358.06486867811054</v>
      </c>
      <c r="R126" s="203">
        <f t="shared" si="36"/>
        <v>-383.7376789804523</v>
      </c>
      <c r="S126" s="203">
        <f t="shared" si="36"/>
        <v>-409.66654958780367</v>
      </c>
      <c r="T126" s="203">
        <f t="shared" si="36"/>
        <v>-313.9493027101044</v>
      </c>
      <c r="U126" s="203">
        <f t="shared" si="36"/>
        <v>-335.99756936844273</v>
      </c>
      <c r="V126" s="203">
        <f t="shared" si="36"/>
        <v>-367.25777443163827</v>
      </c>
      <c r="W126" s="203">
        <f t="shared" si="36"/>
        <v>-379.94113643070358</v>
      </c>
      <c r="X126" s="203">
        <f t="shared" si="36"/>
        <v>-205.81300983218517</v>
      </c>
      <c r="Y126" s="203">
        <f t="shared" si="36"/>
        <v>0</v>
      </c>
      <c r="AA126" s="606">
        <f t="shared" si="26"/>
        <v>-874.5575383873786</v>
      </c>
      <c r="AB126" s="607">
        <f t="shared" si="18"/>
        <v>-437.2787691936893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4846.1951421180556</v>
      </c>
      <c r="G127" s="203">
        <f t="shared" ref="G127:Y127" si="37">-(G124+G126)*$C$127</f>
        <v>8338.6249601010004</v>
      </c>
      <c r="H127" s="203">
        <f t="shared" si="37"/>
        <v>4548.4102727890686</v>
      </c>
      <c r="I127" s="203">
        <f t="shared" si="37"/>
        <v>2258.6674510173871</v>
      </c>
      <c r="J127" s="203">
        <f t="shared" si="37"/>
        <v>1981.090451499055</v>
      </c>
      <c r="K127" s="203">
        <f t="shared" si="37"/>
        <v>169.24054747178539</v>
      </c>
      <c r="L127" s="203">
        <f t="shared" si="37"/>
        <v>-1644.6673162118993</v>
      </c>
      <c r="M127" s="203">
        <f t="shared" si="37"/>
        <v>-1778.4667445918778</v>
      </c>
      <c r="N127" s="203">
        <f t="shared" si="37"/>
        <v>-1921.4323851463109</v>
      </c>
      <c r="O127" s="203">
        <f t="shared" si="37"/>
        <v>-2074.2186861974487</v>
      </c>
      <c r="P127" s="203">
        <f t="shared" si="37"/>
        <v>-2222.3058544956111</v>
      </c>
      <c r="Q127" s="203">
        <f t="shared" si="37"/>
        <v>-2381.1313767094348</v>
      </c>
      <c r="R127" s="203">
        <f t="shared" si="37"/>
        <v>-2551.8555652200075</v>
      </c>
      <c r="S127" s="203">
        <f t="shared" si="37"/>
        <v>-2724.2825547588941</v>
      </c>
      <c r="T127" s="203">
        <f t="shared" si="37"/>
        <v>-2087.7628630221943</v>
      </c>
      <c r="U127" s="203">
        <f t="shared" si="37"/>
        <v>-2234.3838363001437</v>
      </c>
      <c r="V127" s="203">
        <f t="shared" si="37"/>
        <v>-2442.2641999703942</v>
      </c>
      <c r="W127" s="203">
        <f t="shared" si="37"/>
        <v>-2526.6085572641787</v>
      </c>
      <c r="X127" s="203">
        <f t="shared" si="37"/>
        <v>-1368.6565153840311</v>
      </c>
      <c r="Y127" s="203">
        <f t="shared" si="37"/>
        <v>0</v>
      </c>
      <c r="AA127" s="606">
        <f t="shared" si="26"/>
        <v>-5815.8076302760783</v>
      </c>
      <c r="AB127" s="607">
        <f t="shared" si="18"/>
        <v>-2907.9038151380391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3077.3979260422766</v>
      </c>
      <c r="G137" s="354">
        <f t="shared" ref="G137:Y137" si="40">G46</f>
        <v>2963.355741487303</v>
      </c>
      <c r="H137" s="354">
        <f t="shared" si="40"/>
        <v>2844.9961273829613</v>
      </c>
      <c r="I137" s="354">
        <f t="shared" si="40"/>
        <v>2723.1928893651061</v>
      </c>
      <c r="J137" s="354">
        <f t="shared" si="40"/>
        <v>2587.1852308457719</v>
      </c>
      <c r="K137" s="354">
        <f t="shared" si="40"/>
        <v>2416.2688557591014</v>
      </c>
      <c r="L137" s="354">
        <f t="shared" si="40"/>
        <v>2223.4507765974458</v>
      </c>
      <c r="M137" s="354">
        <f t="shared" si="40"/>
        <v>2007.527086991096</v>
      </c>
      <c r="N137" s="354">
        <f t="shared" si="40"/>
        <v>1763.5801863829652</v>
      </c>
      <c r="O137" s="354">
        <f t="shared" si="40"/>
        <v>1489.6326991433295</v>
      </c>
      <c r="P137" s="354">
        <f t="shared" si="40"/>
        <v>1183.4974930920691</v>
      </c>
      <c r="Q137" s="354">
        <f t="shared" si="40"/>
        <v>844.58295014468354</v>
      </c>
      <c r="R137" s="354">
        <f t="shared" si="40"/>
        <v>469.38974159033165</v>
      </c>
      <c r="S137" s="354">
        <f t="shared" si="40"/>
        <v>88.572263177126729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26682.629968001569</v>
      </c>
      <c r="AB137" s="607">
        <f t="shared" si="39"/>
        <v>26682.629968001569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72.840558626389949</v>
      </c>
      <c r="X138" s="218">
        <f t="shared" si="41"/>
        <v>36.639798804945741</v>
      </c>
      <c r="Y138" s="218">
        <f t="shared" si="41"/>
        <v>0</v>
      </c>
      <c r="AA138" s="606">
        <f t="shared" si="26"/>
        <v>1150.5082887508318</v>
      </c>
      <c r="AB138" s="607">
        <f t="shared" si="39"/>
        <v>1150.5082887508318</v>
      </c>
    </row>
    <row r="139" spans="1:28" s="199" customFormat="1">
      <c r="A139" s="199" t="s">
        <v>79</v>
      </c>
      <c r="F139" s="203">
        <f>F137+F138</f>
        <v>3129.4179260422766</v>
      </c>
      <c r="G139" s="203">
        <f t="shared" ref="G139:Y139" si="42">G137+G138</f>
        <v>3016.4161414873029</v>
      </c>
      <c r="H139" s="203">
        <f t="shared" si="42"/>
        <v>2899.1177353829612</v>
      </c>
      <c r="I139" s="203">
        <f t="shared" si="42"/>
        <v>2778.3969295251063</v>
      </c>
      <c r="J139" s="203">
        <f t="shared" si="42"/>
        <v>2643.493351808972</v>
      </c>
      <c r="K139" s="203">
        <f t="shared" si="42"/>
        <v>2473.7031391415653</v>
      </c>
      <c r="L139" s="203">
        <f t="shared" si="42"/>
        <v>2282.033745647559</v>
      </c>
      <c r="M139" s="203">
        <f t="shared" si="42"/>
        <v>2067.2817154222116</v>
      </c>
      <c r="N139" s="203">
        <f t="shared" si="42"/>
        <v>1824.529907382703</v>
      </c>
      <c r="O139" s="203">
        <f t="shared" si="42"/>
        <v>1551.8014145630623</v>
      </c>
      <c r="P139" s="203">
        <f t="shared" si="42"/>
        <v>1246.9095828201964</v>
      </c>
      <c r="Q139" s="203">
        <f t="shared" si="42"/>
        <v>909.26328166737335</v>
      </c>
      <c r="R139" s="203">
        <f t="shared" si="42"/>
        <v>535.36367974347525</v>
      </c>
      <c r="S139" s="203">
        <f t="shared" si="42"/>
        <v>155.86568009333322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72.840558626389949</v>
      </c>
      <c r="X139" s="203">
        <f t="shared" si="42"/>
        <v>36.639798804945741</v>
      </c>
      <c r="Y139" s="203">
        <f t="shared" si="42"/>
        <v>0</v>
      </c>
      <c r="AA139" s="606">
        <f t="shared" si="26"/>
        <v>27833.138256752398</v>
      </c>
      <c r="AB139" s="607">
        <f t="shared" si="39"/>
        <v>27833.138256752398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156.47089630211383</v>
      </c>
      <c r="G140" s="203">
        <f t="shared" ref="G140:Y140" si="43">G139*$C$140</f>
        <v>150.82080707436515</v>
      </c>
      <c r="H140" s="203">
        <f t="shared" si="43"/>
        <v>144.95588676914807</v>
      </c>
      <c r="I140" s="203">
        <f t="shared" si="43"/>
        <v>138.91984647625532</v>
      </c>
      <c r="J140" s="203">
        <f t="shared" si="43"/>
        <v>132.17466759044859</v>
      </c>
      <c r="K140" s="203">
        <f t="shared" si="43"/>
        <v>123.68515695707828</v>
      </c>
      <c r="L140" s="203">
        <f t="shared" si="43"/>
        <v>114.10168728237795</v>
      </c>
      <c r="M140" s="203">
        <f t="shared" si="43"/>
        <v>103.36408577111058</v>
      </c>
      <c r="N140" s="203">
        <f t="shared" si="43"/>
        <v>91.226495369135151</v>
      </c>
      <c r="O140" s="203">
        <f t="shared" si="43"/>
        <v>77.590070728153123</v>
      </c>
      <c r="P140" s="203">
        <f t="shared" si="43"/>
        <v>62.345479141009825</v>
      </c>
      <c r="Q140" s="203">
        <f t="shared" si="43"/>
        <v>45.463164083368667</v>
      </c>
      <c r="R140" s="203">
        <f t="shared" si="43"/>
        <v>26.768183987173764</v>
      </c>
      <c r="S140" s="203">
        <f t="shared" si="43"/>
        <v>7.7932840046666616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3.6420279313194976</v>
      </c>
      <c r="X140" s="203">
        <f t="shared" si="43"/>
        <v>1.8319899402472872</v>
      </c>
      <c r="Y140" s="203">
        <f t="shared" si="43"/>
        <v>0</v>
      </c>
      <c r="AA140" s="606">
        <f t="shared" si="26"/>
        <v>1391.6569128376198</v>
      </c>
      <c r="AB140" s="607">
        <f t="shared" si="39"/>
        <v>1391.6569128376198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1040.5314604090568</v>
      </c>
      <c r="G141" s="218">
        <f t="shared" ref="G141:Y141" si="44">(G139-G140)*$C$141</f>
        <v>1002.958367044528</v>
      </c>
      <c r="H141" s="218">
        <f t="shared" si="44"/>
        <v>963.95664701483452</v>
      </c>
      <c r="I141" s="218">
        <f t="shared" si="44"/>
        <v>923.8169790670978</v>
      </c>
      <c r="J141" s="218">
        <f t="shared" si="44"/>
        <v>878.96153947648304</v>
      </c>
      <c r="K141" s="218">
        <f t="shared" si="44"/>
        <v>822.5062937645705</v>
      </c>
      <c r="L141" s="218">
        <f t="shared" si="44"/>
        <v>758.77622042781331</v>
      </c>
      <c r="M141" s="218">
        <f t="shared" si="44"/>
        <v>687.37117037788528</v>
      </c>
      <c r="N141" s="218">
        <f t="shared" si="44"/>
        <v>606.65619420474866</v>
      </c>
      <c r="O141" s="218">
        <f t="shared" si="44"/>
        <v>515.97397034221819</v>
      </c>
      <c r="P141" s="218">
        <f t="shared" si="44"/>
        <v>414.59743628771531</v>
      </c>
      <c r="Q141" s="218">
        <f t="shared" si="44"/>
        <v>302.33004115440161</v>
      </c>
      <c r="R141" s="218">
        <f t="shared" si="44"/>
        <v>178.0084235147055</v>
      </c>
      <c r="S141" s="218">
        <f t="shared" si="44"/>
        <v>51.82533863103329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24.219485743274653</v>
      </c>
      <c r="X141" s="218">
        <f t="shared" si="44"/>
        <v>12.182733102644457</v>
      </c>
      <c r="Y141" s="218">
        <f t="shared" si="44"/>
        <v>0</v>
      </c>
      <c r="AA141" s="606">
        <f t="shared" si="26"/>
        <v>9254.5184703701725</v>
      </c>
      <c r="AB141" s="607">
        <f t="shared" si="39"/>
        <v>9254.5184703701725</v>
      </c>
    </row>
    <row r="142" spans="1:28" s="199" customFormat="1">
      <c r="A142" s="199" t="s">
        <v>82</v>
      </c>
      <c r="F142" s="203">
        <f>F139-F140-F141</f>
        <v>1932.4155693311059</v>
      </c>
      <c r="G142" s="203">
        <f t="shared" ref="G142:Y142" si="45">G139-G140-G141</f>
        <v>1862.6369673684094</v>
      </c>
      <c r="H142" s="203">
        <f t="shared" si="45"/>
        <v>1790.2052015989786</v>
      </c>
      <c r="I142" s="203">
        <f t="shared" si="45"/>
        <v>1715.6601039817533</v>
      </c>
      <c r="J142" s="203">
        <f t="shared" si="45"/>
        <v>1632.3571447420402</v>
      </c>
      <c r="K142" s="203">
        <f t="shared" si="45"/>
        <v>1527.5116884199167</v>
      </c>
      <c r="L142" s="203">
        <f t="shared" si="45"/>
        <v>1409.1558379373678</v>
      </c>
      <c r="M142" s="203">
        <f t="shared" si="45"/>
        <v>1276.5464592732155</v>
      </c>
      <c r="N142" s="203">
        <f t="shared" si="45"/>
        <v>1126.6472178088193</v>
      </c>
      <c r="O142" s="203">
        <f t="shared" si="45"/>
        <v>958.23737349269106</v>
      </c>
      <c r="P142" s="203">
        <f t="shared" si="45"/>
        <v>769.96666739147145</v>
      </c>
      <c r="Q142" s="203">
        <f t="shared" si="45"/>
        <v>561.47007642960307</v>
      </c>
      <c r="R142" s="203">
        <f t="shared" si="45"/>
        <v>330.58707224159599</v>
      </c>
      <c r="S142" s="203">
        <f t="shared" si="45"/>
        <v>96.247057457633261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44.979044951795792</v>
      </c>
      <c r="X142" s="203">
        <f t="shared" si="45"/>
        <v>22.625075762053996</v>
      </c>
      <c r="Y142" s="203">
        <f t="shared" si="45"/>
        <v>0</v>
      </c>
      <c r="AA142" s="606">
        <f t="shared" si="26"/>
        <v>17186.962873544606</v>
      </c>
      <c r="AB142" s="607">
        <f t="shared" si="39"/>
        <v>17186.962873544606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1471.8587104152341</v>
      </c>
      <c r="G144" s="220">
        <f t="shared" ref="G144:Y144" si="46">G76</f>
        <v>1490.3978159499861</v>
      </c>
      <c r="H144" s="220">
        <f t="shared" si="46"/>
        <v>1611.045929584699</v>
      </c>
      <c r="I144" s="220">
        <f t="shared" si="46"/>
        <v>1649.8695161434407</v>
      </c>
      <c r="J144" s="220">
        <f t="shared" si="46"/>
        <v>1907.6195871247492</v>
      </c>
      <c r="K144" s="220">
        <f t="shared" si="46"/>
        <v>2104.6336828481349</v>
      </c>
      <c r="L144" s="220">
        <f t="shared" si="46"/>
        <v>2223.4520667396209</v>
      </c>
      <c r="M144" s="220">
        <f t="shared" si="46"/>
        <v>2427.8010674624584</v>
      </c>
      <c r="N144" s="220">
        <f t="shared" si="46"/>
        <v>1958.0578391007984</v>
      </c>
      <c r="O144" s="220">
        <f t="shared" si="46"/>
        <v>1020.1877086119167</v>
      </c>
      <c r="P144" s="220">
        <f t="shared" si="46"/>
        <v>1157.6972220316391</v>
      </c>
      <c r="Q144" s="220">
        <f t="shared" si="46"/>
        <v>1305.1780640873321</v>
      </c>
      <c r="R144" s="220">
        <f t="shared" si="46"/>
        <v>1463.7076677042928</v>
      </c>
      <c r="S144" s="220">
        <f t="shared" si="46"/>
        <v>1623.8184437046873</v>
      </c>
      <c r="T144" s="220">
        <f t="shared" si="46"/>
        <v>1032.7644442348947</v>
      </c>
      <c r="U144" s="220">
        <f t="shared" si="46"/>
        <v>1168.9124908501337</v>
      </c>
      <c r="V144" s="220">
        <f t="shared" si="46"/>
        <v>1361.9442571153663</v>
      </c>
      <c r="W144" s="220">
        <f t="shared" si="46"/>
        <v>1440.2640174595945</v>
      </c>
      <c r="X144" s="220">
        <f t="shared" si="46"/>
        <v>365.0228357137434</v>
      </c>
      <c r="Y144" s="220">
        <f t="shared" si="46"/>
        <v>0</v>
      </c>
      <c r="AA144" s="606">
        <f t="shared" si="26"/>
        <v>28784.23336688272</v>
      </c>
      <c r="AB144" s="607">
        <f t="shared" si="39"/>
        <v>28784.23336688272</v>
      </c>
    </row>
    <row r="145" spans="1:28" s="199" customFormat="1">
      <c r="A145" s="124" t="s">
        <v>91</v>
      </c>
      <c r="F145" s="213">
        <f>F142+F144</f>
        <v>3404.2742797463397</v>
      </c>
      <c r="G145" s="213">
        <f t="shared" ref="G145:Y145" si="47">G142+G144</f>
        <v>3353.0347833183955</v>
      </c>
      <c r="H145" s="213">
        <f t="shared" si="47"/>
        <v>3401.2511311836779</v>
      </c>
      <c r="I145" s="213">
        <f t="shared" si="47"/>
        <v>3365.529620125194</v>
      </c>
      <c r="J145" s="213">
        <f t="shared" si="47"/>
        <v>3539.9767318667891</v>
      </c>
      <c r="K145" s="213">
        <f t="shared" si="47"/>
        <v>3632.1453712680513</v>
      </c>
      <c r="L145" s="213">
        <f t="shared" si="47"/>
        <v>3632.6079046769887</v>
      </c>
      <c r="M145" s="213">
        <f t="shared" si="47"/>
        <v>3704.3475267356739</v>
      </c>
      <c r="N145" s="213">
        <f t="shared" si="47"/>
        <v>3084.7050569096177</v>
      </c>
      <c r="O145" s="213">
        <f t="shared" si="47"/>
        <v>1978.4250821046078</v>
      </c>
      <c r="P145" s="213">
        <f t="shared" si="47"/>
        <v>1927.6638894231105</v>
      </c>
      <c r="Q145" s="213">
        <f t="shared" si="47"/>
        <v>1866.6481405169352</v>
      </c>
      <c r="R145" s="213">
        <f t="shared" si="47"/>
        <v>1794.2947399458888</v>
      </c>
      <c r="S145" s="213">
        <f t="shared" si="47"/>
        <v>1720.0655011623205</v>
      </c>
      <c r="T145" s="213">
        <f t="shared" si="47"/>
        <v>1075.1492028795674</v>
      </c>
      <c r="U145" s="213">
        <f t="shared" si="47"/>
        <v>1212.1449446676997</v>
      </c>
      <c r="V145" s="213">
        <f t="shared" si="47"/>
        <v>1406.0413600092838</v>
      </c>
      <c r="W145" s="213">
        <f t="shared" si="47"/>
        <v>1485.2430624113902</v>
      </c>
      <c r="X145" s="213">
        <f t="shared" si="47"/>
        <v>387.6479114757974</v>
      </c>
      <c r="Y145" s="213">
        <f t="shared" si="47"/>
        <v>0</v>
      </c>
      <c r="AA145" s="606">
        <f t="shared" si="26"/>
        <v>45971.196240427329</v>
      </c>
      <c r="AB145" s="607">
        <f t="shared" si="39"/>
        <v>45971.196240427329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32.122350000000004</v>
      </c>
      <c r="G150" s="200">
        <f t="shared" ref="G150:X150" si="48">(1-((G140+G141)/G139))*G138</f>
        <v>32.764797000000002</v>
      </c>
      <c r="H150" s="200">
        <f t="shared" si="48"/>
        <v>33.420092940000004</v>
      </c>
      <c r="I150" s="200">
        <f t="shared" si="48"/>
        <v>34.088494798800006</v>
      </c>
      <c r="J150" s="200">
        <f t="shared" si="48"/>
        <v>34.770264694776003</v>
      </c>
      <c r="K150" s="200">
        <f t="shared" si="48"/>
        <v>35.465669988671515</v>
      </c>
      <c r="L150" s="200">
        <f t="shared" si="48"/>
        <v>36.174983388444957</v>
      </c>
      <c r="M150" s="200">
        <f t="shared" si="48"/>
        <v>36.898483056213855</v>
      </c>
      <c r="N150" s="200">
        <f t="shared" si="48"/>
        <v>37.63645271733813</v>
      </c>
      <c r="O150" s="200">
        <f t="shared" si="48"/>
        <v>38.389181771684889</v>
      </c>
      <c r="P150" s="200">
        <f t="shared" si="48"/>
        <v>39.156965407118591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41.553684945757517</v>
      </c>
      <c r="T150" s="200">
        <f t="shared" si="48"/>
        <v>42.384758644672679</v>
      </c>
      <c r="U150" s="200">
        <f t="shared" si="48"/>
        <v>43.232453817566117</v>
      </c>
      <c r="V150" s="200">
        <f t="shared" si="48"/>
        <v>44.097102893917445</v>
      </c>
      <c r="W150" s="200">
        <f t="shared" si="48"/>
        <v>44.979044951795807</v>
      </c>
      <c r="X150" s="200">
        <f t="shared" si="48"/>
        <v>22.625075762053992</v>
      </c>
      <c r="Y150" s="200"/>
      <c r="AA150" s="606">
        <f t="shared" si="26"/>
        <v>710.43886830363863</v>
      </c>
      <c r="AB150" s="607">
        <f t="shared" si="39"/>
        <v>710.43886830363863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34.088494798800006</v>
      </c>
      <c r="J152" s="200">
        <f t="shared" si="49"/>
        <v>34.770264694776003</v>
      </c>
      <c r="K152" s="200">
        <f t="shared" si="49"/>
        <v>35.465669988671515</v>
      </c>
      <c r="L152" s="200">
        <f t="shared" si="49"/>
        <v>36.174983388444957</v>
      </c>
      <c r="M152" s="200">
        <f t="shared" si="49"/>
        <v>36.898483056213855</v>
      </c>
      <c r="N152" s="200">
        <f t="shared" si="49"/>
        <v>37.63645271733813</v>
      </c>
      <c r="O152" s="200">
        <f t="shared" si="49"/>
        <v>38.389181771684889</v>
      </c>
      <c r="P152" s="200">
        <f t="shared" si="49"/>
        <v>39.156965407118591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41.553684945757517</v>
      </c>
      <c r="T152" s="200">
        <f t="shared" si="49"/>
        <v>42.384758644672679</v>
      </c>
      <c r="U152" s="200">
        <f t="shared" si="49"/>
        <v>43.232453817566117</v>
      </c>
      <c r="V152" s="200">
        <f t="shared" si="49"/>
        <v>44.097102893917445</v>
      </c>
      <c r="W152" s="200">
        <f t="shared" si="49"/>
        <v>44.979044951795807</v>
      </c>
      <c r="X152" s="200">
        <f t="shared" si="49"/>
        <v>22.625075762053992</v>
      </c>
      <c r="Y152" s="200">
        <f t="shared" si="49"/>
        <v>0</v>
      </c>
      <c r="AA152" s="606">
        <f t="shared" si="26"/>
        <v>710.43886830363863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324.34846512879989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244</v>
      </c>
      <c r="B160" s="135"/>
      <c r="C160" s="135"/>
      <c r="D160" s="136">
        <f>-E92*C76</f>
        <v>29554.415256871867</v>
      </c>
    </row>
    <row r="161" spans="1:25" s="199" customFormat="1">
      <c r="A161" s="134" t="s">
        <v>85</v>
      </c>
      <c r="B161" s="135"/>
      <c r="C161" s="135"/>
      <c r="D161" s="356">
        <f>[18]DEBT!$E$55</f>
        <v>49795</v>
      </c>
      <c r="F161" s="221"/>
    </row>
    <row r="162" spans="1:25" s="199" customFormat="1">
      <c r="A162" s="134" t="s">
        <v>245</v>
      </c>
      <c r="B162" s="135"/>
      <c r="C162" s="135"/>
      <c r="D162" s="356">
        <f>-[18]FINANCIALS!$G$117*C60</f>
        <v>-5789.5053826005151</v>
      </c>
      <c r="F162" s="221"/>
    </row>
    <row r="163" spans="1:25" s="199" customFormat="1">
      <c r="A163" s="134" t="s">
        <v>86</v>
      </c>
      <c r="B163" s="135"/>
      <c r="C163" s="135"/>
      <c r="D163" s="139">
        <f>C155</f>
        <v>324.34846512879989</v>
      </c>
    </row>
    <row r="164" spans="1:25" s="199" customFormat="1" ht="13.5" thickBot="1">
      <c r="A164" s="140" t="s">
        <v>87</v>
      </c>
      <c r="B164" s="109"/>
      <c r="C164" s="109"/>
      <c r="D164" s="198">
        <f>SUM(D160:D163)</f>
        <v>73884.258339400156</v>
      </c>
    </row>
    <row r="165" spans="1:25" outlineLevel="1">
      <c r="A165" s="21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8"/>
      <c r="B167" s="8"/>
      <c r="C167" s="35"/>
      <c r="D167" s="8"/>
      <c r="E167" s="8"/>
      <c r="F167" s="8"/>
      <c r="G167" s="8"/>
      <c r="H167" s="35"/>
      <c r="I167" s="8"/>
      <c r="J167" s="8"/>
      <c r="K167" s="8"/>
      <c r="L167" s="8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>
      <c r="A168" s="8"/>
      <c r="B168" s="8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8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8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57"/>
      <c r="H186" s="358"/>
      <c r="I186" s="358"/>
      <c r="J186" s="358"/>
      <c r="K186" s="358"/>
      <c r="L186" s="358"/>
      <c r="M186" s="358"/>
      <c r="N186" s="358"/>
      <c r="O186" s="358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3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360" customFormat="1" outlineLevel="1">
      <c r="A340" s="359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60"/>
      <c r="C345" s="60"/>
      <c r="D345" s="60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59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361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17"/>
      <c r="C353" s="17"/>
      <c r="D353" s="17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362"/>
      <c r="H356" s="362"/>
      <c r="I356" s="362"/>
      <c r="J356" s="362"/>
      <c r="K356" s="362"/>
      <c r="L356" s="362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361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24"/>
      <c r="F362" s="24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361"/>
      <c r="B368" s="8"/>
      <c r="C368" s="8"/>
      <c r="D368" s="8"/>
      <c r="E368" s="24"/>
      <c r="F368" s="24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24"/>
      <c r="F377" s="24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49"/>
      <c r="H388" s="49"/>
      <c r="I388" s="49"/>
      <c r="J388" s="49"/>
      <c r="K388" s="49"/>
      <c r="L388" s="49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9"/>
      <c r="C501" s="49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8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21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8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21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</row>
    <row r="518" spans="1:25" outlineLevel="1">
      <c r="A518" s="8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8"/>
      <c r="F523" s="8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361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17"/>
      <c r="C542" s="17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257"/>
      <c r="C554" s="25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3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78"/>
      <c r="C584" s="78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3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  <row r="85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[20]FINANCIALS!N$9</f>
        <v>38348</v>
      </c>
      <c r="F11" s="336">
        <f>[20]FINANCIALS!O$9</f>
        <v>23304</v>
      </c>
      <c r="G11" s="336">
        <f>[20]FINANCIALS!P$9</f>
        <v>10501</v>
      </c>
      <c r="H11" s="336">
        <f>[20]FINANCIALS!Q$9</f>
        <v>10653</v>
      </c>
      <c r="I11" s="336">
        <f>[20]FINANCIALS!R$9</f>
        <v>10804</v>
      </c>
      <c r="J11" s="336">
        <f>[20]FINANCIALS!S$9</f>
        <v>12755.477905752216</v>
      </c>
      <c r="K11" s="336">
        <f>[20]FINANCIALS!T$9</f>
        <v>13289.84523425847</v>
      </c>
      <c r="L11" s="336">
        <f>[20]FINANCIALS!U$9</f>
        <v>13557.028898511593</v>
      </c>
      <c r="M11" s="336">
        <f>[20]FINANCIALS!V$9</f>
        <v>13777.887025901135</v>
      </c>
      <c r="N11" s="336">
        <f>[20]FINANCIALS!W$9</f>
        <v>14004.708322730199</v>
      </c>
      <c r="O11" s="336">
        <f>[20]FINANCIALS!X$9</f>
        <v>14237.653794573645</v>
      </c>
      <c r="P11" s="336">
        <f>[20]FINANCIALS!Y$9</f>
        <v>14485.749349696986</v>
      </c>
      <c r="Q11" s="336">
        <f>[20]FINANCIALS!Z$9</f>
        <v>14740.791580363777</v>
      </c>
      <c r="R11" s="336">
        <f>[20]FINANCIALS!AA$9</f>
        <v>15002.974993489242</v>
      </c>
      <c r="S11" s="336">
        <f>[20]FINANCIALS!AB$9</f>
        <v>15272.499542182219</v>
      </c>
      <c r="T11" s="336">
        <f>[20]FINANCIALS!AC$9</f>
        <v>15549.570778238598</v>
      </c>
      <c r="U11" s="336">
        <f>[20]FINANCIALS!AD$9</f>
        <v>15834.400008904558</v>
      </c>
      <c r="V11" s="336">
        <f>[20]FINANCIALS!AE$9</f>
        <v>16127.204458029162</v>
      </c>
      <c r="W11" s="336">
        <f>[20]FINANCIALS!AF$9</f>
        <v>16428.207431729257</v>
      </c>
      <c r="X11" s="336">
        <f>[20]FINANCIALS!AG$9</f>
        <v>16737.638488692952</v>
      </c>
      <c r="Y11" s="336">
        <f>[20]FINANCIALS!AH$9</f>
        <v>17055.733615251633</v>
      </c>
      <c r="AA11" s="606">
        <f t="shared" si="1"/>
        <v>294119.37142830563</v>
      </c>
      <c r="AB11" s="607">
        <f t="shared" ref="AB11:AB74" si="2">AA11*$C$60</f>
        <v>147059.68571415282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38348</v>
      </c>
      <c r="F20" s="90">
        <f t="shared" si="3"/>
        <v>23304</v>
      </c>
      <c r="G20" s="90">
        <f t="shared" si="3"/>
        <v>10501</v>
      </c>
      <c r="H20" s="90">
        <f t="shared" si="3"/>
        <v>10653</v>
      </c>
      <c r="I20" s="90">
        <f t="shared" si="3"/>
        <v>10804</v>
      </c>
      <c r="J20" s="90">
        <f t="shared" si="3"/>
        <v>12755.477905752216</v>
      </c>
      <c r="K20" s="90">
        <f t="shared" si="3"/>
        <v>13289.84523425847</v>
      </c>
      <c r="L20" s="90">
        <f t="shared" si="3"/>
        <v>13557.028898511593</v>
      </c>
      <c r="M20" s="90">
        <f t="shared" si="3"/>
        <v>13777.887025901135</v>
      </c>
      <c r="N20" s="90">
        <f t="shared" si="3"/>
        <v>14004.708322730199</v>
      </c>
      <c r="O20" s="90">
        <f t="shared" si="3"/>
        <v>14237.653794573645</v>
      </c>
      <c r="P20" s="90">
        <f t="shared" si="3"/>
        <v>14485.749349696986</v>
      </c>
      <c r="Q20" s="90">
        <f t="shared" si="3"/>
        <v>14740.791580363777</v>
      </c>
      <c r="R20" s="90">
        <f t="shared" si="3"/>
        <v>15002.974993489242</v>
      </c>
      <c r="S20" s="90">
        <f t="shared" si="3"/>
        <v>15272.499542182219</v>
      </c>
      <c r="T20" s="90">
        <f t="shared" si="3"/>
        <v>15549.570778238598</v>
      </c>
      <c r="U20" s="90">
        <f t="shared" si="3"/>
        <v>15834.400008904558</v>
      </c>
      <c r="V20" s="90">
        <f t="shared" si="3"/>
        <v>16127.204458029162</v>
      </c>
      <c r="W20" s="90">
        <f t="shared" si="3"/>
        <v>16428.207431729257</v>
      </c>
      <c r="X20" s="90">
        <f t="shared" si="3"/>
        <v>16737.638488692952</v>
      </c>
      <c r="Y20" s="90">
        <f t="shared" si="3"/>
        <v>17055.733615251633</v>
      </c>
      <c r="AA20" s="606">
        <f t="shared" si="1"/>
        <v>294119.37142830563</v>
      </c>
      <c r="AB20" s="607">
        <f t="shared" si="2"/>
        <v>147059.68571415282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[20]FINANCIALS!N$14+[20]FINANCIALS!N$16+[20]FINANCIALS!N$24</f>
        <v>2556</v>
      </c>
      <c r="F25" s="336">
        <f>[20]FINANCIALS!O$14+[20]FINANCIALS!O$16+[20]FINANCIALS!O$24</f>
        <v>2256</v>
      </c>
      <c r="G25" s="336">
        <f>[20]FINANCIALS!P$14+[20]FINANCIALS!P$16+[20]FINANCIALS!P$24</f>
        <v>2052</v>
      </c>
      <c r="H25" s="336">
        <f>[20]FINANCIALS!Q$14+[20]FINANCIALS!Q$16+[20]FINANCIALS!Q$24</f>
        <v>2144</v>
      </c>
      <c r="I25" s="336">
        <f>[20]FINANCIALS!R$14+[20]FINANCIALS!R$16+[20]FINANCIALS!R$24</f>
        <v>2135</v>
      </c>
      <c r="J25" s="336">
        <f>[20]FINANCIALS!S$14+[20]FINANCIALS!S$16+[20]FINANCIALS!S$24</f>
        <v>2227.413</v>
      </c>
      <c r="K25" s="336">
        <f>[20]FINANCIALS!T$14+[20]FINANCIALS!T$16+[20]FINANCIALS!T$24</f>
        <v>2283.3978509999997</v>
      </c>
      <c r="L25" s="336">
        <f>[20]FINANCIALS!U$14+[20]FINANCIALS!U$16+[20]FINANCIALS!U$24</f>
        <v>2340.8942929769996</v>
      </c>
      <c r="M25" s="336">
        <f>[20]FINANCIALS!V$14+[20]FINANCIALS!V$16+[20]FINANCIALS!V$24</f>
        <v>2399.9431388873786</v>
      </c>
      <c r="N25" s="336">
        <f>[20]FINANCIALS!W$14+[20]FINANCIALS!W$16+[20]FINANCIALS!W$24</f>
        <v>2460.5863036373376</v>
      </c>
      <c r="O25" s="336">
        <f>[20]FINANCIALS!X$14+[20]FINANCIALS!X$16+[20]FINANCIALS!X$24</f>
        <v>2522.8668338355455</v>
      </c>
      <c r="P25" s="336">
        <f>[20]FINANCIALS!Y$14+[20]FINANCIALS!Y$16+[20]FINANCIALS!Y$24</f>
        <v>2589.1979051829408</v>
      </c>
      <c r="Q25" s="336">
        <f>[20]FINANCIALS!Z$14+[20]FINANCIALS!Z$16+[20]FINANCIALS!Z$24</f>
        <v>2657.3862465280631</v>
      </c>
      <c r="R25" s="336">
        <f>[20]FINANCIALS!AA$14+[20]FINANCIALS!AA$16+[20]FINANCIALS!AA$24</f>
        <v>2727.4838614308487</v>
      </c>
      <c r="S25" s="336">
        <f>[20]FINANCIALS!AB$14+[20]FINANCIALS!AB$16+[20]FINANCIALS!AB$24</f>
        <v>2799.5442095509125</v>
      </c>
      <c r="T25" s="336">
        <f>[20]FINANCIALS!AC$14+[20]FINANCIALS!AC$16+[20]FINANCIALS!AC$24</f>
        <v>2875.2179552007242</v>
      </c>
      <c r="U25" s="336">
        <f>[20]FINANCIALS!AD$14+[20]FINANCIALS!AD$16+[20]FINANCIALS!AD$24</f>
        <v>2954.2184704350971</v>
      </c>
      <c r="V25" s="336">
        <f>[20]FINANCIALS!AE$14+[20]FINANCIALS!AE$16+[20]FINANCIALS!AE$24</f>
        <v>3035.4310000960327</v>
      </c>
      <c r="W25" s="336">
        <f>[20]FINANCIALS!AF$14+[20]FINANCIALS!AF$16+[20]FINANCIALS!AF$24</f>
        <v>3118.9174805874745</v>
      </c>
      <c r="X25" s="336">
        <f>[20]FINANCIALS!AG$14+[20]FINANCIALS!AG$16+[20]FINANCIALS!AG$24</f>
        <v>3204.7415825326766</v>
      </c>
      <c r="Y25" s="336">
        <f>[20]FINANCIALS!AH$14+[20]FINANCIALS!AH$16+[20]FINANCIALS!AH$24</f>
        <v>3292.9687593323442</v>
      </c>
      <c r="AA25" s="606">
        <f t="shared" si="1"/>
        <v>52077.208891214366</v>
      </c>
      <c r="AB25" s="607">
        <f t="shared" si="2"/>
        <v>26038.604445607183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[20]FINANCIALS!N$18</f>
        <v>168</v>
      </c>
      <c r="F28" s="336">
        <f>[20]FINANCIALS!O$18</f>
        <v>172</v>
      </c>
      <c r="G28" s="336">
        <f>[20]FINANCIALS!P$18</f>
        <v>176</v>
      </c>
      <c r="H28" s="336">
        <f>[20]FINANCIALS!Q$18</f>
        <v>180</v>
      </c>
      <c r="I28" s="336">
        <f>[20]FINANCIALS!R$18</f>
        <v>180</v>
      </c>
      <c r="J28" s="336">
        <f>[20]FINANCIALS!S$18</f>
        <v>184.85999999999999</v>
      </c>
      <c r="K28" s="336">
        <f>[20]FINANCIALS!T$18</f>
        <v>189.85121999999996</v>
      </c>
      <c r="L28" s="336">
        <f>[20]FINANCIALS!U$18</f>
        <v>194.97720293999993</v>
      </c>
      <c r="M28" s="336">
        <f>[20]FINANCIALS!V$18</f>
        <v>200.2415874193799</v>
      </c>
      <c r="N28" s="336">
        <f>[20]FINANCIALS!W$18</f>
        <v>205.64811027970313</v>
      </c>
      <c r="O28" s="336">
        <f>[20]FINANCIALS!X$18</f>
        <v>211.20060925725511</v>
      </c>
      <c r="P28" s="336">
        <f>[20]FINANCIALS!Y$18</f>
        <v>217.11422631645826</v>
      </c>
      <c r="Q28" s="336">
        <f>[20]FINANCIALS!Z$18</f>
        <v>223.19342465331908</v>
      </c>
      <c r="R28" s="336">
        <f>[20]FINANCIALS!AA$18</f>
        <v>229.44284054361202</v>
      </c>
      <c r="S28" s="336">
        <f>[20]FINANCIALS!AB$18</f>
        <v>235.86724007883316</v>
      </c>
      <c r="T28" s="336">
        <f>[20]FINANCIALS!AC$18</f>
        <v>242.47152280104049</v>
      </c>
      <c r="U28" s="336">
        <f>[20]FINANCIALS!AD$18</f>
        <v>249.26072543946964</v>
      </c>
      <c r="V28" s="336">
        <f>[20]FINANCIALS!AE$18</f>
        <v>256.24002575177479</v>
      </c>
      <c r="W28" s="336">
        <f>[20]FINANCIALS!AF$18</f>
        <v>263.4147464728245</v>
      </c>
      <c r="X28" s="336">
        <f>[20]FINANCIALS!AG$18</f>
        <v>270.7903593740636</v>
      </c>
      <c r="Y28" s="336">
        <f>[20]FINANCIALS!AH$18</f>
        <v>278.37248943653736</v>
      </c>
      <c r="AA28" s="606">
        <f t="shared" si="1"/>
        <v>4360.9463307642709</v>
      </c>
      <c r="AB28" s="607">
        <f t="shared" si="2"/>
        <v>2180.4731653821354</v>
      </c>
    </row>
    <row r="29" spans="1:28">
      <c r="A29" s="4" t="s">
        <v>4</v>
      </c>
      <c r="D29" s="90">
        <v>0</v>
      </c>
      <c r="E29" s="336">
        <f>[20]FINANCIALS!N$19+[20]FINANCIALS!N$20+[20]FINANCIALS!N$22</f>
        <v>182</v>
      </c>
      <c r="F29" s="336">
        <f>[20]FINANCIALS!O$19+[20]FINANCIALS!O$20+[20]FINANCIALS!O$22</f>
        <v>323</v>
      </c>
      <c r="G29" s="336">
        <f>[20]FINANCIALS!P$19+[20]FINANCIALS!P$20+[20]FINANCIALS!P$22</f>
        <v>186</v>
      </c>
      <c r="H29" s="336">
        <f>[20]FINANCIALS!Q$19+[20]FINANCIALS!Q$20+[20]FINANCIALS!Q$22</f>
        <v>190</v>
      </c>
      <c r="I29" s="336">
        <f>[20]FINANCIALS!R$19+[20]FINANCIALS!R$20+[20]FINANCIALS!R$22</f>
        <v>193</v>
      </c>
      <c r="J29" s="336">
        <f>[20]FINANCIALS!S$19+[20]FINANCIALS!S$20+[20]FINANCIALS!S$22</f>
        <v>121.18599999999999</v>
      </c>
      <c r="K29" s="336">
        <f>[20]FINANCIALS!T$19+[20]FINANCIALS!T$20+[20]FINANCIALS!T$22</f>
        <v>124.45802199999999</v>
      </c>
      <c r="L29" s="336">
        <f>[20]FINANCIALS!U$19+[20]FINANCIALS!U$20+[20]FINANCIALS!U$22</f>
        <v>127.81838859399997</v>
      </c>
      <c r="M29" s="336">
        <f>[20]FINANCIALS!V$19+[20]FINANCIALS!V$20+[20]FINANCIALS!V$22</f>
        <v>131.26948508603795</v>
      </c>
      <c r="N29" s="336">
        <f>[20]FINANCIALS!W$19+[20]FINANCIALS!W$20+[20]FINANCIALS!W$22</f>
        <v>134.81376118336095</v>
      </c>
      <c r="O29" s="336">
        <f>[20]FINANCIALS!X$19+[20]FINANCIALS!X$20+[20]FINANCIALS!X$22</f>
        <v>138.45373273531169</v>
      </c>
      <c r="P29" s="336">
        <f>[20]FINANCIALS!Y$19+[20]FINANCIALS!Y$20+[20]FINANCIALS!Y$22</f>
        <v>142.33043725190041</v>
      </c>
      <c r="Q29" s="336">
        <f>[20]FINANCIALS!Z$19+[20]FINANCIALS!Z$20+[20]FINANCIALS!Z$22</f>
        <v>146.31568949495363</v>
      </c>
      <c r="R29" s="336">
        <f>[20]FINANCIALS!AA$19+[20]FINANCIALS!AA$20+[20]FINANCIALS!AA$22</f>
        <v>150.41252880081234</v>
      </c>
      <c r="S29" s="336">
        <f>[20]FINANCIALS!AB$19+[20]FINANCIALS!AB$20+[20]FINANCIALS!AB$22</f>
        <v>154.62407960723507</v>
      </c>
      <c r="T29" s="336">
        <f>[20]FINANCIALS!AC$19+[20]FINANCIALS!AC$20+[20]FINANCIALS!AC$22</f>
        <v>158.95355383623766</v>
      </c>
      <c r="U29" s="336">
        <f>[20]FINANCIALS!AD$19+[20]FINANCIALS!AD$20+[20]FINANCIALS!AD$22</f>
        <v>163.40425334365233</v>
      </c>
      <c r="V29" s="336">
        <f>[20]FINANCIALS!AE$19+[20]FINANCIALS!AE$20+[20]FINANCIALS!AE$22</f>
        <v>167.97957243727458</v>
      </c>
      <c r="W29" s="336">
        <f>[20]FINANCIALS!AF$19+[20]FINANCIALS!AF$20+[20]FINANCIALS!AF$22</f>
        <v>172.68300046551829</v>
      </c>
      <c r="X29" s="336">
        <f>[20]FINANCIALS!AG$19+[20]FINANCIALS!AG$20+[20]FINANCIALS!AG$22</f>
        <v>177.51812447855281</v>
      </c>
      <c r="Y29" s="336">
        <f>[20]FINANCIALS!AH$19+[20]FINANCIALS!AH$20+[20]FINANCIALS!AH$22</f>
        <v>182.48863196395229</v>
      </c>
      <c r="AA29" s="606">
        <f t="shared" si="1"/>
        <v>3286.7092612788001</v>
      </c>
      <c r="AB29" s="607">
        <f t="shared" si="2"/>
        <v>1643.3546306394001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[20]FINANCIALS!N$15</f>
        <v>544</v>
      </c>
      <c r="F31" s="336">
        <f>[20]FINANCIALS!O$15</f>
        <v>522</v>
      </c>
      <c r="G31" s="336">
        <f>[20]FINANCIALS!P$15</f>
        <v>483</v>
      </c>
      <c r="H31" s="336">
        <f>[20]FINANCIALS!Q$15</f>
        <v>459</v>
      </c>
      <c r="I31" s="336">
        <f>[20]FINANCIALS!R$15</f>
        <v>416</v>
      </c>
      <c r="J31" s="336">
        <f>[20]FINANCIALS!S$15</f>
        <v>200.12879699999996</v>
      </c>
      <c r="K31" s="336">
        <f>[20]FINANCIALS!T$15</f>
        <v>200.12879699999996</v>
      </c>
      <c r="L31" s="336">
        <f>[20]FINANCIALS!U$15</f>
        <v>200.12879699999996</v>
      </c>
      <c r="M31" s="336">
        <f>[20]FINANCIALS!V$15</f>
        <v>200.12879699999996</v>
      </c>
      <c r="N31" s="336">
        <f>[20]FINANCIALS!W$15</f>
        <v>200.12879699999996</v>
      </c>
      <c r="O31" s="336">
        <f>[20]FINANCIALS!X$15</f>
        <v>200.12879699999996</v>
      </c>
      <c r="P31" s="336">
        <f>[20]FINANCIALS!Y$15</f>
        <v>200.12879699999996</v>
      </c>
      <c r="Q31" s="336">
        <f>[20]FINANCIALS!Z$15</f>
        <v>200.12879699999996</v>
      </c>
      <c r="R31" s="336">
        <f>[20]FINANCIALS!AA$15</f>
        <v>200.12879699999996</v>
      </c>
      <c r="S31" s="336">
        <f>[20]FINANCIALS!AB$15</f>
        <v>200.12879699999996</v>
      </c>
      <c r="T31" s="336">
        <f>[20]FINANCIALS!AC$15</f>
        <v>200.12879699999996</v>
      </c>
      <c r="U31" s="336">
        <f>[20]FINANCIALS!AD$15</f>
        <v>200.12879699999996</v>
      </c>
      <c r="V31" s="336">
        <f>[20]FINANCIALS!AE$15</f>
        <v>200.12879699999996</v>
      </c>
      <c r="W31" s="336">
        <f>[20]FINANCIALS!AF$15</f>
        <v>200.12879699999996</v>
      </c>
      <c r="X31" s="336">
        <f>[20]FINANCIALS!AG$15</f>
        <v>200.12879699999996</v>
      </c>
      <c r="Y31" s="336">
        <f>[20]FINANCIALS!AH$15</f>
        <v>200.12879699999996</v>
      </c>
      <c r="AA31" s="606">
        <f t="shared" si="1"/>
        <v>5082.0607519999994</v>
      </c>
      <c r="AB31" s="607">
        <f t="shared" si="2"/>
        <v>2541.0303759999997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[20]FINANCIALS!N$21</f>
        <v>300</v>
      </c>
      <c r="F34" s="336">
        <f>[20]FINANCIALS!O$21</f>
        <v>307</v>
      </c>
      <c r="G34" s="336">
        <f>[20]FINANCIALS!P$21</f>
        <v>314</v>
      </c>
      <c r="H34" s="336">
        <f>[20]FINANCIALS!Q$21</f>
        <v>321</v>
      </c>
      <c r="I34" s="336">
        <f>[20]FINANCIALS!R$21</f>
        <v>329</v>
      </c>
      <c r="J34" s="336">
        <f>[20]FINANCIALS!S$21</f>
        <v>337.88299999999998</v>
      </c>
      <c r="K34" s="336">
        <f>[20]FINANCIALS!T$21</f>
        <v>347.00584099999998</v>
      </c>
      <c r="L34" s="336">
        <f>[20]FINANCIALS!U$21</f>
        <v>356.37499870699992</v>
      </c>
      <c r="M34" s="336">
        <f>[20]FINANCIALS!V$21</f>
        <v>365.99712367208889</v>
      </c>
      <c r="N34" s="336">
        <f>[20]FINANCIALS!W$21</f>
        <v>375.87904601123523</v>
      </c>
      <c r="O34" s="336">
        <f>[20]FINANCIALS!X$21</f>
        <v>386.02778025353854</v>
      </c>
      <c r="P34" s="336">
        <f>[20]FINANCIALS!Y$21</f>
        <v>396.8365581006376</v>
      </c>
      <c r="Q34" s="336">
        <f>[20]FINANCIALS!Z$21</f>
        <v>407.94798172745544</v>
      </c>
      <c r="R34" s="336">
        <f>[20]FINANCIALS!AA$21</f>
        <v>419.37052521582422</v>
      </c>
      <c r="S34" s="336">
        <f>[20]FINANCIALS!AB$21</f>
        <v>431.11289992186732</v>
      </c>
      <c r="T34" s="336">
        <f>[20]FINANCIALS!AC$21</f>
        <v>443.1840611196796</v>
      </c>
      <c r="U34" s="336">
        <f>[20]FINANCIALS!AD$21</f>
        <v>455.59321483103065</v>
      </c>
      <c r="V34" s="336">
        <f>[20]FINANCIALS!AE$21</f>
        <v>468.3498248462995</v>
      </c>
      <c r="W34" s="336">
        <f>[20]FINANCIALS!AF$21</f>
        <v>481.46361994199589</v>
      </c>
      <c r="X34" s="336">
        <f>[20]FINANCIALS!AG$21</f>
        <v>494.9446013003718</v>
      </c>
      <c r="Y34" s="336">
        <f>[20]FINANCIALS!AH$21</f>
        <v>508.80305013678225</v>
      </c>
      <c r="AA34" s="606">
        <f t="shared" si="1"/>
        <v>7947.7741267858046</v>
      </c>
      <c r="AB34" s="607">
        <f t="shared" si="2"/>
        <v>3973.8870633929023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3750</v>
      </c>
      <c r="F36" s="90">
        <f t="shared" si="4"/>
        <v>3580</v>
      </c>
      <c r="G36" s="90">
        <f t="shared" si="4"/>
        <v>3211</v>
      </c>
      <c r="H36" s="90">
        <f t="shared" si="4"/>
        <v>3294</v>
      </c>
      <c r="I36" s="90">
        <f t="shared" si="4"/>
        <v>3253</v>
      </c>
      <c r="J36" s="90">
        <f t="shared" si="4"/>
        <v>3071.4707969999999</v>
      </c>
      <c r="K36" s="90">
        <f t="shared" si="4"/>
        <v>3144.8417309999995</v>
      </c>
      <c r="L36" s="90">
        <f t="shared" si="4"/>
        <v>3220.1936802179994</v>
      </c>
      <c r="M36" s="90">
        <f t="shared" si="4"/>
        <v>3297.5801320648852</v>
      </c>
      <c r="N36" s="90">
        <f t="shared" si="4"/>
        <v>3377.0560181116371</v>
      </c>
      <c r="O36" s="90">
        <f t="shared" si="4"/>
        <v>3458.6777530816507</v>
      </c>
      <c r="P36" s="90">
        <f t="shared" si="4"/>
        <v>3545.6079238519369</v>
      </c>
      <c r="Q36" s="90">
        <f t="shared" si="4"/>
        <v>3634.9721394037915</v>
      </c>
      <c r="R36" s="90">
        <f t="shared" si="4"/>
        <v>3726.838552991097</v>
      </c>
      <c r="S36" s="90">
        <f t="shared" si="4"/>
        <v>3821.277226158848</v>
      </c>
      <c r="T36" s="90">
        <f t="shared" si="4"/>
        <v>3919.9558899576814</v>
      </c>
      <c r="U36" s="90">
        <f t="shared" si="4"/>
        <v>4022.6054610492497</v>
      </c>
      <c r="V36" s="90">
        <f t="shared" si="4"/>
        <v>4128.1292201313818</v>
      </c>
      <c r="W36" s="90">
        <f t="shared" si="4"/>
        <v>4236.6076444678129</v>
      </c>
      <c r="X36" s="90">
        <f t="shared" si="4"/>
        <v>4348.1234646856647</v>
      </c>
      <c r="Y36" s="90">
        <f t="shared" si="4"/>
        <v>4462.7617278696162</v>
      </c>
      <c r="AA36" s="606">
        <f t="shared" si="1"/>
        <v>72754.699362043248</v>
      </c>
      <c r="AB36" s="607">
        <f t="shared" si="2"/>
        <v>36377.349681021624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34598</v>
      </c>
      <c r="F39" s="93">
        <f t="shared" si="5"/>
        <v>19724</v>
      </c>
      <c r="G39" s="93">
        <f t="shared" si="5"/>
        <v>7290</v>
      </c>
      <c r="H39" s="93">
        <f t="shared" si="5"/>
        <v>7359</v>
      </c>
      <c r="I39" s="93">
        <f t="shared" si="5"/>
        <v>7551</v>
      </c>
      <c r="J39" s="93">
        <f t="shared" si="5"/>
        <v>9684.0071087522156</v>
      </c>
      <c r="K39" s="93">
        <f t="shared" si="5"/>
        <v>10145.003503258471</v>
      </c>
      <c r="L39" s="93">
        <f t="shared" si="5"/>
        <v>10336.835218293594</v>
      </c>
      <c r="M39" s="93">
        <f t="shared" si="5"/>
        <v>10480.306893836248</v>
      </c>
      <c r="N39" s="93">
        <f t="shared" si="5"/>
        <v>10627.652304618561</v>
      </c>
      <c r="O39" s="93">
        <f t="shared" si="5"/>
        <v>10778.976041491995</v>
      </c>
      <c r="P39" s="93">
        <f t="shared" si="5"/>
        <v>10940.14142584505</v>
      </c>
      <c r="Q39" s="93">
        <f t="shared" si="5"/>
        <v>11105.819440959986</v>
      </c>
      <c r="R39" s="93">
        <f t="shared" si="5"/>
        <v>11276.136440498145</v>
      </c>
      <c r="S39" s="93">
        <f t="shared" si="5"/>
        <v>11451.22231602337</v>
      </c>
      <c r="T39" s="93">
        <f t="shared" si="5"/>
        <v>11629.614888280918</v>
      </c>
      <c r="U39" s="93">
        <f t="shared" si="5"/>
        <v>11811.794547855308</v>
      </c>
      <c r="V39" s="93">
        <f t="shared" si="5"/>
        <v>11999.075237897781</v>
      </c>
      <c r="W39" s="93">
        <f t="shared" si="5"/>
        <v>12191.599787261444</v>
      </c>
      <c r="X39" s="93">
        <f t="shared" si="5"/>
        <v>12389.515024007287</v>
      </c>
      <c r="Y39" s="93">
        <f t="shared" si="5"/>
        <v>12592.971887382017</v>
      </c>
      <c r="AA39" s="606">
        <f>SUM(F39:Y39)</f>
        <v>221364.6720662624</v>
      </c>
      <c r="AB39" s="607">
        <f t="shared" si="2"/>
        <v>110682.3360331312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4309</v>
      </c>
      <c r="G41" s="90">
        <f t="shared" ref="G41:Y41" si="7">+G109</f>
        <v>4309</v>
      </c>
      <c r="H41" s="90">
        <f t="shared" si="7"/>
        <v>4309</v>
      </c>
      <c r="I41" s="90">
        <f t="shared" si="7"/>
        <v>4309</v>
      </c>
      <c r="J41" s="90">
        <f t="shared" si="7"/>
        <v>4309</v>
      </c>
      <c r="K41" s="90">
        <f t="shared" si="7"/>
        <v>4309</v>
      </c>
      <c r="L41" s="90">
        <f t="shared" si="7"/>
        <v>4309</v>
      </c>
      <c r="M41" s="90">
        <f t="shared" si="7"/>
        <v>4309</v>
      </c>
      <c r="N41" s="90">
        <f t="shared" si="7"/>
        <v>4309</v>
      </c>
      <c r="O41" s="90">
        <f t="shared" si="7"/>
        <v>4309</v>
      </c>
      <c r="P41" s="90">
        <f t="shared" si="7"/>
        <v>4309</v>
      </c>
      <c r="Q41" s="90">
        <f t="shared" si="7"/>
        <v>4309</v>
      </c>
      <c r="R41" s="90">
        <f t="shared" si="7"/>
        <v>4309</v>
      </c>
      <c r="S41" s="90">
        <f t="shared" si="7"/>
        <v>4309</v>
      </c>
      <c r="T41" s="90">
        <f t="shared" si="7"/>
        <v>4309</v>
      </c>
      <c r="U41" s="90">
        <f t="shared" si="7"/>
        <v>4309</v>
      </c>
      <c r="V41" s="90">
        <f t="shared" si="7"/>
        <v>4309</v>
      </c>
      <c r="W41" s="90">
        <f t="shared" si="7"/>
        <v>4309</v>
      </c>
      <c r="X41" s="90">
        <f t="shared" si="7"/>
        <v>4309</v>
      </c>
      <c r="Y41" s="90">
        <f t="shared" si="7"/>
        <v>4309</v>
      </c>
      <c r="AA41" s="606">
        <f t="shared" si="6"/>
        <v>86180</v>
      </c>
      <c r="AB41" s="607">
        <f t="shared" si="2"/>
        <v>43090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34598</v>
      </c>
      <c r="F44" s="93">
        <f t="shared" si="8"/>
        <v>15415</v>
      </c>
      <c r="G44" s="93">
        <f t="shared" si="8"/>
        <v>2981</v>
      </c>
      <c r="H44" s="93">
        <f t="shared" si="8"/>
        <v>3050</v>
      </c>
      <c r="I44" s="93">
        <f t="shared" si="8"/>
        <v>3242</v>
      </c>
      <c r="J44" s="93">
        <f t="shared" si="8"/>
        <v>5375.0071087522156</v>
      </c>
      <c r="K44" s="93">
        <f t="shared" si="8"/>
        <v>5836.003503258471</v>
      </c>
      <c r="L44" s="93">
        <f t="shared" si="8"/>
        <v>6027.8352182935942</v>
      </c>
      <c r="M44" s="93">
        <f t="shared" si="8"/>
        <v>6171.3068938362485</v>
      </c>
      <c r="N44" s="93">
        <f t="shared" si="8"/>
        <v>6318.6523046185612</v>
      </c>
      <c r="O44" s="93">
        <f t="shared" si="8"/>
        <v>6469.9760414919947</v>
      </c>
      <c r="P44" s="93">
        <f t="shared" si="8"/>
        <v>6631.1414258450495</v>
      </c>
      <c r="Q44" s="93">
        <f t="shared" si="8"/>
        <v>6796.8194409599855</v>
      </c>
      <c r="R44" s="93">
        <f t="shared" si="8"/>
        <v>6967.136440498145</v>
      </c>
      <c r="S44" s="93">
        <f t="shared" si="8"/>
        <v>7142.2223160233698</v>
      </c>
      <c r="T44" s="93">
        <f t="shared" si="8"/>
        <v>7320.6148882809175</v>
      </c>
      <c r="U44" s="93">
        <f t="shared" si="8"/>
        <v>7502.7945478553083</v>
      </c>
      <c r="V44" s="93">
        <f t="shared" si="8"/>
        <v>7690.0752378977813</v>
      </c>
      <c r="W44" s="93">
        <f t="shared" si="8"/>
        <v>7882.5997872614444</v>
      </c>
      <c r="X44" s="93">
        <f t="shared" si="8"/>
        <v>8080.5150240072871</v>
      </c>
      <c r="Y44" s="93">
        <f t="shared" si="8"/>
        <v>8283.9718873820166</v>
      </c>
      <c r="AA44" s="606">
        <f t="shared" si="6"/>
        <v>135184.67206626237</v>
      </c>
      <c r="AB44" s="607">
        <f t="shared" si="2"/>
        <v>67592.336033131185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>
        <v>0</v>
      </c>
      <c r="C46" s="25"/>
      <c r="D46" s="1330" t="s">
        <v>752</v>
      </c>
      <c r="E46" s="1329">
        <f>E39*$C$60*0.5</f>
        <v>8649.5</v>
      </c>
      <c r="F46" s="1329">
        <f t="shared" ref="F46:Y46" si="9">F39*$C$60*0.5</f>
        <v>4931</v>
      </c>
      <c r="G46" s="1329">
        <f t="shared" si="9"/>
        <v>1822.5</v>
      </c>
      <c r="H46" s="1329">
        <f t="shared" si="9"/>
        <v>1839.75</v>
      </c>
      <c r="I46" s="1329">
        <f t="shared" si="9"/>
        <v>1887.75</v>
      </c>
      <c r="J46" s="1329">
        <f t="shared" si="9"/>
        <v>2421.0017771880539</v>
      </c>
      <c r="K46" s="1329">
        <f t="shared" si="9"/>
        <v>2536.2508758146178</v>
      </c>
      <c r="L46" s="1329">
        <f t="shared" si="9"/>
        <v>2584.2088045733985</v>
      </c>
      <c r="M46" s="1329">
        <f t="shared" si="9"/>
        <v>2620.0767234590621</v>
      </c>
      <c r="N46" s="1329">
        <f t="shared" si="9"/>
        <v>2656.9130761546403</v>
      </c>
      <c r="O46" s="1329">
        <f t="shared" si="9"/>
        <v>2694.7440103729987</v>
      </c>
      <c r="P46" s="1329">
        <f t="shared" si="9"/>
        <v>2735.0353564612624</v>
      </c>
      <c r="Q46" s="1329">
        <f t="shared" si="9"/>
        <v>2776.4548602399964</v>
      </c>
      <c r="R46" s="1329">
        <f t="shared" si="9"/>
        <v>2819.0341101245363</v>
      </c>
      <c r="S46" s="1329">
        <f t="shared" si="9"/>
        <v>2862.8055790058424</v>
      </c>
      <c r="T46" s="1329">
        <f t="shared" si="9"/>
        <v>2907.4037220702294</v>
      </c>
      <c r="U46" s="1329">
        <f t="shared" si="9"/>
        <v>2952.9486369638271</v>
      </c>
      <c r="V46" s="1329">
        <f t="shared" si="9"/>
        <v>2999.7688094744453</v>
      </c>
      <c r="W46" s="1329">
        <f t="shared" si="9"/>
        <v>3047.8999468153611</v>
      </c>
      <c r="X46" s="1329">
        <f t="shared" si="9"/>
        <v>3097.3787560018218</v>
      </c>
      <c r="Y46" s="1329">
        <f t="shared" si="9"/>
        <v>3148.2429718455041</v>
      </c>
      <c r="AA46" s="606">
        <f t="shared" si="6"/>
        <v>55341.1680165656</v>
      </c>
      <c r="AB46" s="607">
        <f t="shared" si="2"/>
        <v>27670.5840082828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10">E44-E46</f>
        <v>25948.5</v>
      </c>
      <c r="F49" s="93">
        <f t="shared" si="10"/>
        <v>10484</v>
      </c>
      <c r="G49" s="93">
        <f t="shared" si="10"/>
        <v>1158.5</v>
      </c>
      <c r="H49" s="93">
        <f t="shared" si="10"/>
        <v>1210.25</v>
      </c>
      <c r="I49" s="93">
        <f t="shared" si="10"/>
        <v>1354.25</v>
      </c>
      <c r="J49" s="93">
        <f t="shared" si="10"/>
        <v>2954.0053315641617</v>
      </c>
      <c r="K49" s="93">
        <f t="shared" si="10"/>
        <v>3299.7526274438533</v>
      </c>
      <c r="L49" s="93">
        <f t="shared" si="10"/>
        <v>3443.6264137201956</v>
      </c>
      <c r="M49" s="93">
        <f t="shared" si="10"/>
        <v>3551.2301703771864</v>
      </c>
      <c r="N49" s="93">
        <f t="shared" si="10"/>
        <v>3661.7392284639209</v>
      </c>
      <c r="O49" s="93">
        <f t="shared" si="10"/>
        <v>3775.232031118996</v>
      </c>
      <c r="P49" s="93">
        <f t="shared" si="10"/>
        <v>3896.1060693837871</v>
      </c>
      <c r="Q49" s="93">
        <f t="shared" si="10"/>
        <v>4020.3645807199891</v>
      </c>
      <c r="R49" s="93">
        <f t="shared" si="10"/>
        <v>4148.1023303736092</v>
      </c>
      <c r="S49" s="93">
        <f t="shared" si="10"/>
        <v>4279.4167370175273</v>
      </c>
      <c r="T49" s="93">
        <f t="shared" si="10"/>
        <v>4413.2111662106881</v>
      </c>
      <c r="U49" s="93">
        <f t="shared" si="10"/>
        <v>4549.8459108914813</v>
      </c>
      <c r="V49" s="93">
        <f t="shared" si="10"/>
        <v>4690.306428423336</v>
      </c>
      <c r="W49" s="93">
        <f t="shared" si="10"/>
        <v>4834.6998404460828</v>
      </c>
      <c r="X49" s="93">
        <f t="shared" si="10"/>
        <v>4983.1362680054654</v>
      </c>
      <c r="Y49" s="93">
        <f t="shared" si="10"/>
        <v>5135.7289155365124</v>
      </c>
      <c r="AA49" s="606">
        <f t="shared" si="6"/>
        <v>79843.504049696785</v>
      </c>
      <c r="AB49" s="607">
        <f t="shared" si="2"/>
        <v>39921.752024848392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1">E49*-$C$51</f>
        <v>-1297.4250000000002</v>
      </c>
      <c r="F51" s="90">
        <f t="shared" si="11"/>
        <v>-524.20000000000005</v>
      </c>
      <c r="G51" s="55">
        <f t="shared" si="11"/>
        <v>-57.925000000000004</v>
      </c>
      <c r="H51" s="90">
        <f t="shared" si="11"/>
        <v>-60.512500000000003</v>
      </c>
      <c r="I51" s="90">
        <f t="shared" si="11"/>
        <v>-67.712500000000006</v>
      </c>
      <c r="J51" s="90">
        <f t="shared" si="11"/>
        <v>-147.7002665782081</v>
      </c>
      <c r="K51" s="90">
        <f t="shared" si="11"/>
        <v>-164.98763137219268</v>
      </c>
      <c r="L51" s="90">
        <f t="shared" si="11"/>
        <v>-172.1813206860098</v>
      </c>
      <c r="M51" s="90">
        <f t="shared" si="11"/>
        <v>-177.56150851885934</v>
      </c>
      <c r="N51" s="90">
        <f t="shared" si="11"/>
        <v>-183.08696142319604</v>
      </c>
      <c r="O51" s="90">
        <f t="shared" si="11"/>
        <v>-188.76160155594982</v>
      </c>
      <c r="P51" s="90">
        <f t="shared" si="11"/>
        <v>-194.80530346918937</v>
      </c>
      <c r="Q51" s="90">
        <f t="shared" si="11"/>
        <v>-201.01822903599947</v>
      </c>
      <c r="R51" s="90">
        <f t="shared" si="11"/>
        <v>-207.40511651868047</v>
      </c>
      <c r="S51" s="90">
        <f t="shared" si="11"/>
        <v>-213.97083685087637</v>
      </c>
      <c r="T51" s="90">
        <f t="shared" si="11"/>
        <v>-220.66055831053441</v>
      </c>
      <c r="U51" s="90">
        <f t="shared" si="11"/>
        <v>-227.49229554457406</v>
      </c>
      <c r="V51" s="90">
        <f t="shared" si="11"/>
        <v>-234.51532142116682</v>
      </c>
      <c r="W51" s="90">
        <f t="shared" si="11"/>
        <v>-241.73499202230414</v>
      </c>
      <c r="X51" s="90">
        <f t="shared" si="11"/>
        <v>-249.15681340027328</v>
      </c>
      <c r="Y51" s="90">
        <f t="shared" si="11"/>
        <v>-256.78644577682564</v>
      </c>
      <c r="AA51" s="606">
        <f t="shared" si="6"/>
        <v>-3992.1752024848397</v>
      </c>
      <c r="AB51" s="607">
        <f t="shared" si="2"/>
        <v>-1996.0876012424199</v>
      </c>
    </row>
    <row r="52" spans="1:28">
      <c r="A52" s="4" t="s">
        <v>29</v>
      </c>
      <c r="C52" s="341">
        <v>0.35</v>
      </c>
      <c r="D52" s="89"/>
      <c r="E52" s="89">
        <f>((E49+E51)*-$C$52)+E56</f>
        <v>-8627.8762499999993</v>
      </c>
      <c r="F52" s="89">
        <f t="shared" ref="F52:Y52" si="12">((F49+F51)*-$C$52)+F56</f>
        <v>-3485.9299999999994</v>
      </c>
      <c r="G52" s="89">
        <f t="shared" si="12"/>
        <v>-385.20125000000002</v>
      </c>
      <c r="H52" s="89">
        <f t="shared" si="12"/>
        <v>-402.40812499999998</v>
      </c>
      <c r="I52" s="89">
        <f t="shared" si="12"/>
        <v>-450.28812499999992</v>
      </c>
      <c r="J52" s="89">
        <f t="shared" si="12"/>
        <v>-982.20677274508375</v>
      </c>
      <c r="K52" s="89">
        <f t="shared" si="12"/>
        <v>-1097.1677486250812</v>
      </c>
      <c r="L52" s="89">
        <f t="shared" si="12"/>
        <v>-1145.0057825619649</v>
      </c>
      <c r="M52" s="89">
        <f t="shared" si="12"/>
        <v>-1180.7840316504144</v>
      </c>
      <c r="N52" s="89">
        <f t="shared" si="12"/>
        <v>-1217.5282934642537</v>
      </c>
      <c r="O52" s="89">
        <f t="shared" si="12"/>
        <v>-1255.2646503470662</v>
      </c>
      <c r="P52" s="89">
        <f t="shared" si="12"/>
        <v>-1295.4552680701092</v>
      </c>
      <c r="Q52" s="89">
        <f t="shared" si="12"/>
        <v>-1336.7712230893962</v>
      </c>
      <c r="R52" s="89">
        <f t="shared" si="12"/>
        <v>-1379.2440248492248</v>
      </c>
      <c r="S52" s="89">
        <f t="shared" si="12"/>
        <v>-1422.9060650583278</v>
      </c>
      <c r="T52" s="89">
        <f t="shared" si="12"/>
        <v>-1467.3927127650536</v>
      </c>
      <c r="U52" s="89">
        <f t="shared" si="12"/>
        <v>-1512.8237653714173</v>
      </c>
      <c r="V52" s="89">
        <f t="shared" si="12"/>
        <v>-1559.5268874507592</v>
      </c>
      <c r="W52" s="89">
        <f t="shared" si="12"/>
        <v>-1607.5376969483225</v>
      </c>
      <c r="X52" s="89">
        <f t="shared" si="12"/>
        <v>-1656.8928091118171</v>
      </c>
      <c r="Y52" s="89">
        <f t="shared" si="12"/>
        <v>-1707.6298644158903</v>
      </c>
      <c r="AA52" s="606">
        <f t="shared" si="6"/>
        <v>-26547.965096524178</v>
      </c>
      <c r="AB52" s="607">
        <f t="shared" si="2"/>
        <v>-13273.982548262089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3">SUM(E49:E52)</f>
        <v>16023.198750000001</v>
      </c>
      <c r="F54" s="93">
        <f t="shared" si="13"/>
        <v>6473.87</v>
      </c>
      <c r="G54" s="93">
        <f t="shared" si="13"/>
        <v>715.37374999999997</v>
      </c>
      <c r="H54" s="93">
        <f t="shared" si="13"/>
        <v>747.32937500000003</v>
      </c>
      <c r="I54" s="93">
        <f t="shared" si="13"/>
        <v>836.24937499999999</v>
      </c>
      <c r="J54" s="93">
        <f t="shared" si="13"/>
        <v>1824.09829224087</v>
      </c>
      <c r="K54" s="93">
        <f t="shared" si="13"/>
        <v>2037.5972474465796</v>
      </c>
      <c r="L54" s="93">
        <f t="shared" si="13"/>
        <v>2126.4393104722212</v>
      </c>
      <c r="M54" s="93">
        <f t="shared" si="13"/>
        <v>2192.8846302079128</v>
      </c>
      <c r="N54" s="93">
        <f t="shared" si="13"/>
        <v>2261.1239735764711</v>
      </c>
      <c r="O54" s="93">
        <f t="shared" si="13"/>
        <v>2331.2057792159803</v>
      </c>
      <c r="P54" s="93">
        <f t="shared" si="13"/>
        <v>2405.8454978444888</v>
      </c>
      <c r="Q54" s="93">
        <f t="shared" si="13"/>
        <v>2482.5751285945935</v>
      </c>
      <c r="R54" s="93">
        <f t="shared" si="13"/>
        <v>2561.4531890057037</v>
      </c>
      <c r="S54" s="93">
        <f t="shared" si="13"/>
        <v>2642.5398351083231</v>
      </c>
      <c r="T54" s="93">
        <f t="shared" si="13"/>
        <v>2725.1578951350998</v>
      </c>
      <c r="U54" s="93">
        <f t="shared" si="13"/>
        <v>2809.5298499754895</v>
      </c>
      <c r="V54" s="93">
        <f t="shared" si="13"/>
        <v>2896.26421955141</v>
      </c>
      <c r="W54" s="93">
        <f t="shared" si="13"/>
        <v>2985.4271514754564</v>
      </c>
      <c r="X54" s="93">
        <f t="shared" si="13"/>
        <v>3077.0866454933748</v>
      </c>
      <c r="Y54" s="93">
        <f t="shared" si="13"/>
        <v>3171.3126053437963</v>
      </c>
      <c r="AA54" s="606">
        <f t="shared" si="6"/>
        <v>49303.363750687779</v>
      </c>
      <c r="AB54" s="607">
        <f t="shared" si="2"/>
        <v>24651.681875343889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5">E39</f>
        <v>34598</v>
      </c>
      <c r="F64" s="20">
        <f t="shared" si="15"/>
        <v>19724</v>
      </c>
      <c r="G64" s="24">
        <f t="shared" si="15"/>
        <v>7290</v>
      </c>
      <c r="H64" s="20">
        <f t="shared" si="15"/>
        <v>7359</v>
      </c>
      <c r="I64" s="20">
        <f t="shared" si="15"/>
        <v>7551</v>
      </c>
      <c r="J64" s="20">
        <f t="shared" si="15"/>
        <v>9684.0071087522156</v>
      </c>
      <c r="K64" s="20">
        <f t="shared" si="15"/>
        <v>10145.003503258471</v>
      </c>
      <c r="L64" s="20">
        <f t="shared" si="15"/>
        <v>10336.835218293594</v>
      </c>
      <c r="M64" s="20">
        <f t="shared" si="15"/>
        <v>10480.306893836248</v>
      </c>
      <c r="N64" s="20">
        <f t="shared" si="15"/>
        <v>10627.652304618561</v>
      </c>
      <c r="O64" s="20">
        <f t="shared" si="15"/>
        <v>10778.976041491995</v>
      </c>
      <c r="P64" s="20">
        <f t="shared" si="15"/>
        <v>10940.14142584505</v>
      </c>
      <c r="Q64" s="20">
        <f t="shared" si="15"/>
        <v>11105.819440959986</v>
      </c>
      <c r="R64" s="20">
        <f t="shared" si="15"/>
        <v>11276.136440498145</v>
      </c>
      <c r="S64" s="20">
        <f t="shared" si="15"/>
        <v>11451.22231602337</v>
      </c>
      <c r="T64" s="20">
        <f t="shared" si="15"/>
        <v>11629.614888280918</v>
      </c>
      <c r="U64" s="20">
        <f t="shared" si="15"/>
        <v>11811.794547855308</v>
      </c>
      <c r="V64" s="20">
        <f t="shared" si="15"/>
        <v>11999.075237897781</v>
      </c>
      <c r="W64" s="20">
        <f t="shared" si="15"/>
        <v>12191.599787261444</v>
      </c>
      <c r="X64" s="20">
        <f t="shared" si="15"/>
        <v>12389.515024007287</v>
      </c>
      <c r="Y64" s="20">
        <f t="shared" si="15"/>
        <v>12592.971887382017</v>
      </c>
      <c r="AA64" s="606">
        <f t="shared" si="6"/>
        <v>221364.6720662624</v>
      </c>
      <c r="AB64" s="607">
        <f t="shared" si="2"/>
        <v>110682.3360331312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330" t="s">
        <v>753</v>
      </c>
      <c r="E66" s="1331">
        <f>-E39*$C$60</f>
        <v>-17299</v>
      </c>
      <c r="F66" s="1331">
        <f t="shared" ref="F66:Y66" si="16">-F39*$C$60</f>
        <v>-9862</v>
      </c>
      <c r="G66" s="1331">
        <f t="shared" si="16"/>
        <v>-3645</v>
      </c>
      <c r="H66" s="1331">
        <f t="shared" si="16"/>
        <v>-3679.5</v>
      </c>
      <c r="I66" s="1331">
        <f t="shared" si="16"/>
        <v>-3775.5</v>
      </c>
      <c r="J66" s="1331">
        <f t="shared" si="16"/>
        <v>-4842.0035543761078</v>
      </c>
      <c r="K66" s="1331">
        <f t="shared" si="16"/>
        <v>-5072.5017516292355</v>
      </c>
      <c r="L66" s="1331">
        <f t="shared" si="16"/>
        <v>-5168.4176091467971</v>
      </c>
      <c r="M66" s="1331">
        <f t="shared" si="16"/>
        <v>-5240.1534469181242</v>
      </c>
      <c r="N66" s="1331">
        <f t="shared" si="16"/>
        <v>-5313.8261523092806</v>
      </c>
      <c r="O66" s="1331">
        <f t="shared" si="16"/>
        <v>-5389.4880207459973</v>
      </c>
      <c r="P66" s="1331">
        <f t="shared" si="16"/>
        <v>-5470.0707129225248</v>
      </c>
      <c r="Q66" s="1331">
        <f t="shared" si="16"/>
        <v>-5552.9097204799928</v>
      </c>
      <c r="R66" s="1331">
        <f t="shared" si="16"/>
        <v>-5638.0682202490725</v>
      </c>
      <c r="S66" s="1331">
        <f t="shared" si="16"/>
        <v>-5725.6111580116849</v>
      </c>
      <c r="T66" s="1331">
        <f t="shared" si="16"/>
        <v>-5814.8074441404588</v>
      </c>
      <c r="U66" s="1331">
        <f t="shared" si="16"/>
        <v>-5905.8972739276542</v>
      </c>
      <c r="V66" s="1331">
        <f t="shared" si="16"/>
        <v>-5999.5376189488907</v>
      </c>
      <c r="W66" s="1331">
        <f t="shared" si="16"/>
        <v>-6095.7998936307222</v>
      </c>
      <c r="X66" s="1331">
        <f t="shared" si="16"/>
        <v>-6194.7575120036436</v>
      </c>
      <c r="Y66" s="1331">
        <f t="shared" si="16"/>
        <v>-6296.4859436910083</v>
      </c>
      <c r="AA66" s="606">
        <f t="shared" si="6"/>
        <v>-110682.3360331312</v>
      </c>
      <c r="AB66" s="607">
        <f t="shared" si="2"/>
        <v>-55341.1680165656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7">SUM(E64:E66)</f>
        <v>17299</v>
      </c>
      <c r="F69" s="95">
        <f t="shared" si="17"/>
        <v>9862</v>
      </c>
      <c r="G69" s="95">
        <f t="shared" si="17"/>
        <v>3645</v>
      </c>
      <c r="H69" s="95">
        <f t="shared" si="17"/>
        <v>3679.5</v>
      </c>
      <c r="I69" s="95">
        <f t="shared" si="17"/>
        <v>3775.5</v>
      </c>
      <c r="J69" s="95">
        <f t="shared" si="17"/>
        <v>4842.0035543761078</v>
      </c>
      <c r="K69" s="95">
        <f t="shared" si="17"/>
        <v>5072.5017516292355</v>
      </c>
      <c r="L69" s="95">
        <f t="shared" si="17"/>
        <v>5168.4176091467971</v>
      </c>
      <c r="M69" s="95">
        <f t="shared" si="17"/>
        <v>5240.1534469181242</v>
      </c>
      <c r="N69" s="95">
        <f t="shared" si="17"/>
        <v>5313.8261523092806</v>
      </c>
      <c r="O69" s="95">
        <f t="shared" si="17"/>
        <v>5389.4880207459973</v>
      </c>
      <c r="P69" s="95">
        <f t="shared" si="17"/>
        <v>5470.0707129225248</v>
      </c>
      <c r="Q69" s="95">
        <f t="shared" si="17"/>
        <v>5552.9097204799928</v>
      </c>
      <c r="R69" s="95">
        <f t="shared" si="17"/>
        <v>5638.0682202490725</v>
      </c>
      <c r="S69" s="95">
        <f t="shared" si="17"/>
        <v>5725.6111580116849</v>
      </c>
      <c r="T69" s="95">
        <f t="shared" si="17"/>
        <v>5814.8074441404588</v>
      </c>
      <c r="U69" s="95">
        <f t="shared" si="17"/>
        <v>5905.8972739276542</v>
      </c>
      <c r="V69" s="95">
        <f t="shared" si="17"/>
        <v>5999.5376189488907</v>
      </c>
      <c r="W69" s="95">
        <f t="shared" si="17"/>
        <v>6095.7998936307222</v>
      </c>
      <c r="X69" s="95">
        <f t="shared" si="17"/>
        <v>6194.7575120036436</v>
      </c>
      <c r="Y69" s="95">
        <f t="shared" si="17"/>
        <v>6296.4859436910083</v>
      </c>
      <c r="AA69" s="606">
        <f t="shared" si="6"/>
        <v>110682.3360331312</v>
      </c>
      <c r="AB69" s="607">
        <f t="shared" si="2"/>
        <v>55341.1680165656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8">F89</f>
        <v>4230.3184764349344</v>
      </c>
      <c r="G71" s="100">
        <f t="shared" si="18"/>
        <v>13730.506812295895</v>
      </c>
      <c r="H71" s="100">
        <f t="shared" si="18"/>
        <v>7381.9822123775357</v>
      </c>
      <c r="I71" s="100">
        <f t="shared" si="18"/>
        <v>3529.6640774265215</v>
      </c>
      <c r="J71" s="100">
        <f t="shared" si="18"/>
        <v>2917.7576631032298</v>
      </c>
      <c r="K71" s="100">
        <f t="shared" si="18"/>
        <v>-62.419278784013017</v>
      </c>
      <c r="L71" s="100">
        <f t="shared" si="18"/>
        <v>-2965.379603247975</v>
      </c>
      <c r="M71" s="100">
        <f t="shared" si="18"/>
        <v>-3006.5380401692737</v>
      </c>
      <c r="N71" s="100">
        <f t="shared" si="18"/>
        <v>-3048.8077548874498</v>
      </c>
      <c r="O71" s="100">
        <f t="shared" si="18"/>
        <v>-3092.2187519030163</v>
      </c>
      <c r="P71" s="100">
        <f t="shared" si="18"/>
        <v>-3138.4530715392984</v>
      </c>
      <c r="Q71" s="100">
        <f t="shared" si="18"/>
        <v>-3185.9819521253962</v>
      </c>
      <c r="R71" s="100">
        <f t="shared" si="18"/>
        <v>-3234.8416413679056</v>
      </c>
      <c r="S71" s="100">
        <f t="shared" si="18"/>
        <v>-3285.0694019092043</v>
      </c>
      <c r="T71" s="100">
        <f t="shared" si="18"/>
        <v>-3336.245771075588</v>
      </c>
      <c r="U71" s="100">
        <f t="shared" si="18"/>
        <v>-3388.5085609159914</v>
      </c>
      <c r="V71" s="100">
        <f t="shared" si="18"/>
        <v>-3442.2347088719262</v>
      </c>
      <c r="W71" s="100">
        <f t="shared" si="18"/>
        <v>-3497.4651889706265</v>
      </c>
      <c r="X71" s="100">
        <f t="shared" si="18"/>
        <v>-3554.2421225120911</v>
      </c>
      <c r="Y71" s="100">
        <f t="shared" si="18"/>
        <v>-3612.6088101927162</v>
      </c>
      <c r="AA71" s="606">
        <f t="shared" si="6"/>
        <v>-14060.785416834355</v>
      </c>
      <c r="AB71" s="607">
        <f t="shared" si="2"/>
        <v>-7030.3927084171773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9">E69+E71</f>
        <v>17299</v>
      </c>
      <c r="F73" s="28">
        <f t="shared" si="19"/>
        <v>14092.318476434935</v>
      </c>
      <c r="G73" s="28">
        <f t="shared" si="19"/>
        <v>17375.506812295895</v>
      </c>
      <c r="H73" s="28">
        <f t="shared" si="19"/>
        <v>11061.482212377536</v>
      </c>
      <c r="I73" s="28">
        <f t="shared" si="19"/>
        <v>7305.1640774265215</v>
      </c>
      <c r="J73" s="28">
        <f t="shared" si="19"/>
        <v>7759.7612174793376</v>
      </c>
      <c r="K73" s="28">
        <f t="shared" si="19"/>
        <v>5010.0824728452226</v>
      </c>
      <c r="L73" s="28">
        <f t="shared" si="19"/>
        <v>2203.0380058988221</v>
      </c>
      <c r="M73" s="28">
        <f t="shared" si="19"/>
        <v>2233.6154067488505</v>
      </c>
      <c r="N73" s="28">
        <f t="shared" si="19"/>
        <v>2265.0183974218307</v>
      </c>
      <c r="O73" s="28">
        <f t="shared" si="19"/>
        <v>2297.2692688429811</v>
      </c>
      <c r="P73" s="28">
        <f t="shared" si="19"/>
        <v>2331.6176413832263</v>
      </c>
      <c r="Q73" s="28">
        <f t="shared" si="19"/>
        <v>2366.9277683545965</v>
      </c>
      <c r="R73" s="28">
        <f t="shared" si="19"/>
        <v>2403.2265788811669</v>
      </c>
      <c r="S73" s="28">
        <f t="shared" si="19"/>
        <v>2440.5417561024806</v>
      </c>
      <c r="T73" s="28">
        <f t="shared" si="19"/>
        <v>2478.5616730648708</v>
      </c>
      <c r="U73" s="28">
        <f t="shared" si="19"/>
        <v>2517.3887130116627</v>
      </c>
      <c r="V73" s="28">
        <f t="shared" si="19"/>
        <v>2557.3029100769645</v>
      </c>
      <c r="W73" s="28">
        <f t="shared" si="19"/>
        <v>2598.3347046600957</v>
      </c>
      <c r="X73" s="28">
        <f t="shared" si="19"/>
        <v>2640.5153894915525</v>
      </c>
      <c r="Y73" s="28">
        <f t="shared" si="19"/>
        <v>2683.8771334982921</v>
      </c>
      <c r="AA73" s="606">
        <f t="shared" si="6"/>
        <v>96621.550616296838</v>
      </c>
      <c r="AB73" s="607">
        <f t="shared" si="2"/>
        <v>48310.775308148419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21">$C$76*E54</f>
        <v>8011.5993750000007</v>
      </c>
      <c r="F76" s="28">
        <f t="shared" si="21"/>
        <v>3236.9349999999999</v>
      </c>
      <c r="G76" s="95">
        <f t="shared" si="21"/>
        <v>357.68687499999999</v>
      </c>
      <c r="H76" s="28">
        <f t="shared" si="21"/>
        <v>373.66468750000001</v>
      </c>
      <c r="I76" s="28">
        <f t="shared" si="21"/>
        <v>418.12468749999999</v>
      </c>
      <c r="J76" s="28">
        <f t="shared" si="21"/>
        <v>912.04914612043501</v>
      </c>
      <c r="K76" s="28">
        <f t="shared" si="21"/>
        <v>1018.7986237232898</v>
      </c>
      <c r="L76" s="28">
        <f t="shared" si="21"/>
        <v>1063.2196552361106</v>
      </c>
      <c r="M76" s="28">
        <f t="shared" si="21"/>
        <v>1096.4423151039564</v>
      </c>
      <c r="N76" s="28">
        <f t="shared" si="21"/>
        <v>1130.5619867882356</v>
      </c>
      <c r="O76" s="28">
        <f t="shared" si="21"/>
        <v>1165.6028896079902</v>
      </c>
      <c r="P76" s="28">
        <f t="shared" si="21"/>
        <v>1202.9227489222444</v>
      </c>
      <c r="Q76" s="28">
        <f t="shared" si="21"/>
        <v>1241.2875642972967</v>
      </c>
      <c r="R76" s="28">
        <f t="shared" si="21"/>
        <v>1280.7265945028519</v>
      </c>
      <c r="S76" s="28">
        <f t="shared" si="21"/>
        <v>1321.2699175541616</v>
      </c>
      <c r="T76" s="28">
        <f t="shared" si="21"/>
        <v>1362.5789475675499</v>
      </c>
      <c r="U76" s="28">
        <f t="shared" si="21"/>
        <v>1404.7649249877447</v>
      </c>
      <c r="V76" s="28">
        <f t="shared" si="21"/>
        <v>1448.132109775705</v>
      </c>
      <c r="W76" s="28">
        <f t="shared" si="21"/>
        <v>1492.7135757377282</v>
      </c>
      <c r="X76" s="28">
        <f t="shared" si="21"/>
        <v>1538.5433227466874</v>
      </c>
      <c r="Y76" s="28">
        <f t="shared" si="21"/>
        <v>1585.6563026718982</v>
      </c>
      <c r="AA76" s="606">
        <f t="shared" si="6"/>
        <v>24651.681875343889</v>
      </c>
      <c r="AB76" s="607">
        <f>AA76</f>
        <v>24651.681875343889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2">$C$77*E73</f>
        <v>8649.5</v>
      </c>
      <c r="F77" s="28">
        <f t="shared" si="22"/>
        <v>7046.1592382174676</v>
      </c>
      <c r="G77" s="95">
        <f t="shared" si="22"/>
        <v>8687.7534061479473</v>
      </c>
      <c r="H77" s="28">
        <f t="shared" si="22"/>
        <v>5530.7411061887678</v>
      </c>
      <c r="I77" s="28">
        <f t="shared" si="22"/>
        <v>3652.5820387132608</v>
      </c>
      <c r="J77" s="28">
        <f t="shared" si="22"/>
        <v>3879.8806087396688</v>
      </c>
      <c r="K77" s="28">
        <f t="shared" si="22"/>
        <v>2505.0412364226113</v>
      </c>
      <c r="L77" s="28">
        <f t="shared" si="22"/>
        <v>1101.5190029494111</v>
      </c>
      <c r="M77" s="28">
        <f t="shared" si="22"/>
        <v>1116.8077033744253</v>
      </c>
      <c r="N77" s="28">
        <f t="shared" si="22"/>
        <v>1132.5091987109154</v>
      </c>
      <c r="O77" s="28">
        <f t="shared" si="22"/>
        <v>1148.6346344214905</v>
      </c>
      <c r="P77" s="28">
        <f t="shared" si="22"/>
        <v>1165.8088206916132</v>
      </c>
      <c r="Q77" s="28">
        <f t="shared" si="22"/>
        <v>1183.4638841772983</v>
      </c>
      <c r="R77" s="28">
        <f t="shared" si="22"/>
        <v>1201.6132894405835</v>
      </c>
      <c r="S77" s="28">
        <f t="shared" si="22"/>
        <v>1220.2708780512403</v>
      </c>
      <c r="T77" s="28">
        <f t="shared" si="22"/>
        <v>1239.2808365324354</v>
      </c>
      <c r="U77" s="28">
        <f t="shared" si="22"/>
        <v>1258.6943565058314</v>
      </c>
      <c r="V77" s="28">
        <f t="shared" si="22"/>
        <v>1278.6514550384823</v>
      </c>
      <c r="W77" s="28">
        <f t="shared" si="22"/>
        <v>1299.1673523300478</v>
      </c>
      <c r="X77" s="28">
        <f t="shared" si="22"/>
        <v>1320.2576947457762</v>
      </c>
      <c r="Y77" s="28">
        <f t="shared" si="22"/>
        <v>1341.938566749146</v>
      </c>
      <c r="AA77" s="606">
        <f t="shared" si="6"/>
        <v>48310.775308148419</v>
      </c>
      <c r="AB77" s="607">
        <f>AA77</f>
        <v>48310.775308148419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20105</v>
      </c>
    </row>
    <row r="87" spans="1:30" s="199" customFormat="1">
      <c r="AA87" s="606">
        <f t="shared" si="6"/>
        <v>0</v>
      </c>
      <c r="AB87" s="607">
        <f t="shared" si="20"/>
        <v>0</v>
      </c>
    </row>
    <row r="88" spans="1:30" s="199" customFormat="1">
      <c r="A88" s="14" t="s">
        <v>34</v>
      </c>
      <c r="F88" s="200">
        <f>F69</f>
        <v>9862</v>
      </c>
      <c r="G88" s="200">
        <f t="shared" ref="G88:Y88" si="24">G69</f>
        <v>3645</v>
      </c>
      <c r="H88" s="200">
        <f t="shared" si="24"/>
        <v>3679.5</v>
      </c>
      <c r="I88" s="200">
        <f t="shared" si="24"/>
        <v>3775.5</v>
      </c>
      <c r="J88" s="200">
        <f t="shared" si="24"/>
        <v>4842.0035543761078</v>
      </c>
      <c r="K88" s="200">
        <f t="shared" si="24"/>
        <v>5072.5017516292355</v>
      </c>
      <c r="L88" s="200">
        <f t="shared" si="24"/>
        <v>5168.4176091467971</v>
      </c>
      <c r="M88" s="200">
        <f t="shared" si="24"/>
        <v>5240.1534469181242</v>
      </c>
      <c r="N88" s="200">
        <f t="shared" si="24"/>
        <v>5313.8261523092806</v>
      </c>
      <c r="O88" s="200">
        <f t="shared" si="24"/>
        <v>5389.4880207459973</v>
      </c>
      <c r="P88" s="200">
        <f t="shared" si="24"/>
        <v>5470.0707129225248</v>
      </c>
      <c r="Q88" s="200">
        <f t="shared" si="24"/>
        <v>5552.9097204799928</v>
      </c>
      <c r="R88" s="200">
        <f t="shared" si="24"/>
        <v>5638.0682202490725</v>
      </c>
      <c r="S88" s="200">
        <f t="shared" si="24"/>
        <v>5725.6111580116849</v>
      </c>
      <c r="T88" s="200">
        <f t="shared" si="24"/>
        <v>5814.8074441404588</v>
      </c>
      <c r="U88" s="200">
        <f t="shared" si="24"/>
        <v>5905.8972739276542</v>
      </c>
      <c r="V88" s="200">
        <f t="shared" si="24"/>
        <v>5999.5376189488907</v>
      </c>
      <c r="W88" s="200">
        <f t="shared" si="24"/>
        <v>6095.7998936307222</v>
      </c>
      <c r="X88" s="200">
        <f t="shared" si="24"/>
        <v>6194.7575120036436</v>
      </c>
      <c r="Y88" s="200">
        <f t="shared" si="24"/>
        <v>6296.4859436910083</v>
      </c>
      <c r="AA88" s="606">
        <f t="shared" si="6"/>
        <v>110682.3360331312</v>
      </c>
      <c r="AB88" s="607">
        <f t="shared" si="20"/>
        <v>55341.1680165656</v>
      </c>
    </row>
    <row r="89" spans="1:30" s="199" customFormat="1">
      <c r="A89" s="199" t="s">
        <v>53</v>
      </c>
      <c r="F89" s="110">
        <f>F126+F127</f>
        <v>4230.3184764349344</v>
      </c>
      <c r="G89" s="110">
        <f t="shared" ref="G89:Y89" si="25">G126+G127</f>
        <v>13730.506812295895</v>
      </c>
      <c r="H89" s="110">
        <f t="shared" si="25"/>
        <v>7381.9822123775357</v>
      </c>
      <c r="I89" s="110">
        <f t="shared" si="25"/>
        <v>3529.6640774265215</v>
      </c>
      <c r="J89" s="110">
        <f t="shared" si="25"/>
        <v>2917.7576631032298</v>
      </c>
      <c r="K89" s="110">
        <f t="shared" si="25"/>
        <v>-62.419278784013017</v>
      </c>
      <c r="L89" s="110">
        <f t="shared" si="25"/>
        <v>-2965.379603247975</v>
      </c>
      <c r="M89" s="110">
        <f t="shared" si="25"/>
        <v>-3006.5380401692737</v>
      </c>
      <c r="N89" s="110">
        <f t="shared" si="25"/>
        <v>-3048.8077548874498</v>
      </c>
      <c r="O89" s="110">
        <f t="shared" si="25"/>
        <v>-3092.2187519030163</v>
      </c>
      <c r="P89" s="110">
        <f t="shared" si="25"/>
        <v>-3138.4530715392984</v>
      </c>
      <c r="Q89" s="110">
        <f t="shared" si="25"/>
        <v>-3185.9819521253962</v>
      </c>
      <c r="R89" s="110">
        <f t="shared" si="25"/>
        <v>-3234.8416413679056</v>
      </c>
      <c r="S89" s="110">
        <f t="shared" si="25"/>
        <v>-3285.0694019092043</v>
      </c>
      <c r="T89" s="110">
        <f t="shared" si="25"/>
        <v>-3336.245771075588</v>
      </c>
      <c r="U89" s="110">
        <f t="shared" si="25"/>
        <v>-3388.5085609159914</v>
      </c>
      <c r="V89" s="110">
        <f t="shared" si="25"/>
        <v>-3442.2347088719262</v>
      </c>
      <c r="W89" s="110">
        <f t="shared" si="25"/>
        <v>-3497.4651889706265</v>
      </c>
      <c r="X89" s="110">
        <f t="shared" si="25"/>
        <v>-3554.2421225120911</v>
      </c>
      <c r="Y89" s="110">
        <f t="shared" si="25"/>
        <v>-3612.6088101927162</v>
      </c>
      <c r="AA89" s="606">
        <f t="shared" si="6"/>
        <v>-14060.785416834355</v>
      </c>
      <c r="AB89" s="607">
        <f t="shared" si="20"/>
        <v>-7030.3927084171773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6">G56</f>
        <v>0</v>
      </c>
      <c r="H90" s="110">
        <f t="shared" si="26"/>
        <v>0</v>
      </c>
      <c r="I90" s="110">
        <f t="shared" si="26"/>
        <v>0</v>
      </c>
      <c r="J90" s="110">
        <f t="shared" si="26"/>
        <v>0</v>
      </c>
      <c r="K90" s="110">
        <f t="shared" si="26"/>
        <v>0</v>
      </c>
      <c r="L90" s="110">
        <f t="shared" si="26"/>
        <v>0</v>
      </c>
      <c r="M90" s="110">
        <f t="shared" si="26"/>
        <v>0</v>
      </c>
      <c r="N90" s="110">
        <f t="shared" si="26"/>
        <v>0</v>
      </c>
      <c r="O90" s="110">
        <f t="shared" si="26"/>
        <v>0</v>
      </c>
      <c r="P90" s="110">
        <f t="shared" si="26"/>
        <v>0</v>
      </c>
      <c r="Q90" s="110">
        <f t="shared" si="26"/>
        <v>0</v>
      </c>
      <c r="R90" s="110">
        <f t="shared" si="26"/>
        <v>0</v>
      </c>
      <c r="S90" s="110">
        <f t="shared" si="26"/>
        <v>0</v>
      </c>
      <c r="T90" s="110">
        <f t="shared" si="26"/>
        <v>0</v>
      </c>
      <c r="U90" s="110">
        <f t="shared" si="26"/>
        <v>0</v>
      </c>
      <c r="V90" s="110">
        <f t="shared" si="26"/>
        <v>0</v>
      </c>
      <c r="W90" s="110">
        <f t="shared" si="26"/>
        <v>0</v>
      </c>
      <c r="X90" s="110">
        <f t="shared" si="26"/>
        <v>0</v>
      </c>
      <c r="Y90" s="110">
        <f t="shared" si="26"/>
        <v>0</v>
      </c>
      <c r="AA90" s="606">
        <f t="shared" si="6"/>
        <v>0</v>
      </c>
      <c r="AB90" s="607">
        <f t="shared" si="20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100743.77509905613</v>
      </c>
      <c r="AA91" s="606">
        <f t="shared" si="6"/>
        <v>100743.77509905613</v>
      </c>
      <c r="AB91" s="607">
        <f t="shared" si="20"/>
        <v>50371.887549528066</v>
      </c>
    </row>
    <row r="92" spans="1:30" s="199" customFormat="1">
      <c r="A92" s="199" t="s">
        <v>55</v>
      </c>
      <c r="E92" s="346">
        <v>-78323.865806346177</v>
      </c>
      <c r="F92" s="200">
        <f>SUM(F88:F91)</f>
        <v>14092.318476434935</v>
      </c>
      <c r="G92" s="200">
        <f t="shared" ref="G92:Y92" si="27">SUM(G88:G91)</f>
        <v>17375.506812295895</v>
      </c>
      <c r="H92" s="200">
        <f t="shared" si="27"/>
        <v>11061.482212377536</v>
      </c>
      <c r="I92" s="200">
        <f t="shared" si="27"/>
        <v>7305.1640774265215</v>
      </c>
      <c r="J92" s="200">
        <f t="shared" si="27"/>
        <v>7759.7612174793376</v>
      </c>
      <c r="K92" s="200">
        <f t="shared" si="27"/>
        <v>5010.0824728452226</v>
      </c>
      <c r="L92" s="200">
        <f t="shared" si="27"/>
        <v>2203.0380058988221</v>
      </c>
      <c r="M92" s="200">
        <f t="shared" si="27"/>
        <v>2233.6154067488505</v>
      </c>
      <c r="N92" s="200">
        <f t="shared" si="27"/>
        <v>2265.0183974218307</v>
      </c>
      <c r="O92" s="200">
        <f t="shared" si="27"/>
        <v>2297.2692688429811</v>
      </c>
      <c r="P92" s="200">
        <f t="shared" si="27"/>
        <v>2331.6176413832263</v>
      </c>
      <c r="Q92" s="200">
        <f t="shared" si="27"/>
        <v>2366.9277683545965</v>
      </c>
      <c r="R92" s="200">
        <f t="shared" si="27"/>
        <v>2403.2265788811669</v>
      </c>
      <c r="S92" s="200">
        <f t="shared" si="27"/>
        <v>2440.5417561024806</v>
      </c>
      <c r="T92" s="200">
        <f t="shared" si="27"/>
        <v>2478.5616730648708</v>
      </c>
      <c r="U92" s="200">
        <f t="shared" si="27"/>
        <v>2517.3887130116627</v>
      </c>
      <c r="V92" s="200">
        <f t="shared" si="27"/>
        <v>2557.3029100769645</v>
      </c>
      <c r="W92" s="200">
        <f t="shared" si="27"/>
        <v>2598.3347046600957</v>
      </c>
      <c r="X92" s="200">
        <f t="shared" si="27"/>
        <v>2640.5153894915525</v>
      </c>
      <c r="Y92" s="200">
        <f t="shared" si="27"/>
        <v>103427.65223255442</v>
      </c>
      <c r="AA92" s="606">
        <f t="shared" si="6"/>
        <v>197365.32571535296</v>
      </c>
      <c r="AB92" s="607">
        <f t="shared" si="20"/>
        <v>98682.662857676478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20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20"/>
        <v>0</v>
      </c>
    </row>
    <row r="95" spans="1:30" s="199" customFormat="1" ht="13.5" thickBot="1">
      <c r="A95" s="199" t="s">
        <v>57</v>
      </c>
      <c r="E95" s="347">
        <f>NPV(C96,E92:Y92)</f>
        <v>6.6751904717279132E-12</v>
      </c>
      <c r="R95" s="204"/>
      <c r="U95" s="205" t="s">
        <v>58</v>
      </c>
      <c r="V95" s="206"/>
      <c r="W95" s="206"/>
      <c r="X95" s="206"/>
      <c r="Y95" s="207">
        <f>Y39</f>
        <v>12592.971887382017</v>
      </c>
      <c r="AA95" s="606">
        <f t="shared" si="6"/>
        <v>12592.971887382017</v>
      </c>
      <c r="AB95" s="607">
        <f t="shared" si="20"/>
        <v>6296.4859436910083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20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12592.971887382017</v>
      </c>
      <c r="AA97" s="606">
        <f t="shared" si="6"/>
        <v>12592.971887382017</v>
      </c>
      <c r="AB97" s="607">
        <f t="shared" si="20"/>
        <v>6296.4859436910083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20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100743.77509905613</v>
      </c>
      <c r="AA99" s="606">
        <f t="shared" si="6"/>
        <v>100743.77509905613</v>
      </c>
      <c r="AB99" s="607">
        <f t="shared" si="20"/>
        <v>50371.887549528066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20"/>
        <v>0</v>
      </c>
    </row>
    <row r="101" spans="1:28" s="199" customFormat="1">
      <c r="A101" s="199" t="s">
        <v>64</v>
      </c>
      <c r="D101" s="350">
        <f>[20]FINANCIALS!$N$70+[20]FINANCIALS!$N$64</f>
        <v>65302.001680000001</v>
      </c>
      <c r="AA101" s="606">
        <f t="shared" si="6"/>
        <v>0</v>
      </c>
      <c r="AB101" s="607">
        <f t="shared" si="20"/>
        <v>0</v>
      </c>
    </row>
    <row r="102" spans="1:28" s="199" customFormat="1" ht="15">
      <c r="A102" s="199" t="s">
        <v>65</v>
      </c>
      <c r="D102" s="111">
        <f>-E92</f>
        <v>78323.865806346177</v>
      </c>
      <c r="AA102" s="606">
        <f t="shared" si="6"/>
        <v>0</v>
      </c>
      <c r="AB102" s="607">
        <f t="shared" si="20"/>
        <v>0</v>
      </c>
    </row>
    <row r="103" spans="1:28" s="199" customFormat="1">
      <c r="D103" s="213">
        <f>D101+D102</f>
        <v>143625.86748634616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8">SUM(F104:Y104)</f>
        <v>0</v>
      </c>
      <c r="AB104" s="607">
        <f t="shared" si="20"/>
        <v>0</v>
      </c>
    </row>
    <row r="105" spans="1:28" s="199" customFormat="1">
      <c r="A105" s="199" t="s">
        <v>67</v>
      </c>
      <c r="D105" s="213">
        <f>D103*D104</f>
        <v>129263.28073771155</v>
      </c>
      <c r="AA105" s="606">
        <f t="shared" si="28"/>
        <v>0</v>
      </c>
      <c r="AB105" s="607">
        <f t="shared" si="20"/>
        <v>0</v>
      </c>
    </row>
    <row r="106" spans="1:28" s="199" customFormat="1">
      <c r="AA106" s="606">
        <f t="shared" si="28"/>
        <v>0</v>
      </c>
      <c r="AB106" s="607">
        <f t="shared" si="20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9">G107+1</f>
        <v>2003</v>
      </c>
      <c r="I107" s="109">
        <f t="shared" si="29"/>
        <v>2004</v>
      </c>
      <c r="J107" s="109">
        <f t="shared" si="29"/>
        <v>2005</v>
      </c>
      <c r="K107" s="109">
        <f t="shared" si="29"/>
        <v>2006</v>
      </c>
      <c r="L107" s="109">
        <f t="shared" si="29"/>
        <v>2007</v>
      </c>
      <c r="M107" s="109">
        <f t="shared" si="29"/>
        <v>2008</v>
      </c>
      <c r="N107" s="109">
        <f t="shared" si="29"/>
        <v>2009</v>
      </c>
      <c r="O107" s="109">
        <f t="shared" si="29"/>
        <v>2010</v>
      </c>
      <c r="P107" s="109">
        <f t="shared" si="29"/>
        <v>2011</v>
      </c>
      <c r="Q107" s="109">
        <f t="shared" si="29"/>
        <v>2012</v>
      </c>
      <c r="R107" s="109">
        <f t="shared" si="29"/>
        <v>2013</v>
      </c>
      <c r="S107" s="109">
        <f t="shared" si="29"/>
        <v>2014</v>
      </c>
      <c r="T107" s="109">
        <f t="shared" si="29"/>
        <v>2015</v>
      </c>
      <c r="U107" s="109">
        <f t="shared" si="29"/>
        <v>2016</v>
      </c>
      <c r="V107" s="109">
        <f t="shared" si="29"/>
        <v>2017</v>
      </c>
      <c r="W107" s="109">
        <f t="shared" si="29"/>
        <v>2018</v>
      </c>
      <c r="X107" s="109">
        <f t="shared" si="29"/>
        <v>2019</v>
      </c>
      <c r="Y107" s="109">
        <f t="shared" si="29"/>
        <v>2020</v>
      </c>
      <c r="AA107" s="606">
        <f t="shared" si="28"/>
        <v>40210</v>
      </c>
      <c r="AB107" s="607">
        <f t="shared" si="20"/>
        <v>20105</v>
      </c>
    </row>
    <row r="108" spans="1:28" s="199" customFormat="1">
      <c r="A108" s="124" t="s">
        <v>68</v>
      </c>
      <c r="AA108" s="606">
        <f t="shared" si="28"/>
        <v>0</v>
      </c>
      <c r="AB108" s="607">
        <f t="shared" si="20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129263.28073771155</v>
      </c>
      <c r="F109" s="203">
        <f>ROUND(D109/$B$109,0)</f>
        <v>4309</v>
      </c>
      <c r="G109" s="203">
        <f>F109</f>
        <v>4309</v>
      </c>
      <c r="H109" s="203">
        <f t="shared" ref="H109:Y110" si="30">G109</f>
        <v>4309</v>
      </c>
      <c r="I109" s="203">
        <f t="shared" si="30"/>
        <v>4309</v>
      </c>
      <c r="J109" s="203">
        <f t="shared" si="30"/>
        <v>4309</v>
      </c>
      <c r="K109" s="203">
        <f t="shared" si="30"/>
        <v>4309</v>
      </c>
      <c r="L109" s="203">
        <f t="shared" si="30"/>
        <v>4309</v>
      </c>
      <c r="M109" s="203">
        <f t="shared" si="30"/>
        <v>4309</v>
      </c>
      <c r="N109" s="203">
        <f t="shared" si="30"/>
        <v>4309</v>
      </c>
      <c r="O109" s="203">
        <f t="shared" si="30"/>
        <v>4309</v>
      </c>
      <c r="P109" s="203">
        <f t="shared" si="30"/>
        <v>4309</v>
      </c>
      <c r="Q109" s="203">
        <f t="shared" si="30"/>
        <v>4309</v>
      </c>
      <c r="R109" s="203">
        <f t="shared" si="30"/>
        <v>4309</v>
      </c>
      <c r="S109" s="203">
        <f t="shared" si="30"/>
        <v>4309</v>
      </c>
      <c r="T109" s="203">
        <f t="shared" si="30"/>
        <v>4309</v>
      </c>
      <c r="U109" s="203">
        <f t="shared" si="30"/>
        <v>4309</v>
      </c>
      <c r="V109" s="203">
        <f t="shared" si="30"/>
        <v>4309</v>
      </c>
      <c r="W109" s="203">
        <f t="shared" si="30"/>
        <v>4309</v>
      </c>
      <c r="X109" s="203">
        <f t="shared" si="30"/>
        <v>4309</v>
      </c>
      <c r="Y109" s="203">
        <f t="shared" si="30"/>
        <v>4309</v>
      </c>
      <c r="AA109" s="606">
        <f t="shared" si="28"/>
        <v>86180</v>
      </c>
      <c r="AB109" s="607">
        <f t="shared" si="20"/>
        <v>43090</v>
      </c>
    </row>
    <row r="110" spans="1:28" s="199" customFormat="1">
      <c r="A110" s="199" t="s">
        <v>571</v>
      </c>
      <c r="D110" s="214">
        <f>D104*'FPLE_Wind Summary'!V19</f>
        <v>6546.6889087303171</v>
      </c>
      <c r="F110" s="203">
        <f>ROUND(D110/$B$109,0)</f>
        <v>218</v>
      </c>
      <c r="G110" s="203">
        <f>F110</f>
        <v>218</v>
      </c>
      <c r="H110" s="203">
        <f t="shared" si="30"/>
        <v>218</v>
      </c>
      <c r="I110" s="203">
        <f t="shared" si="30"/>
        <v>218</v>
      </c>
      <c r="J110" s="203">
        <f t="shared" si="30"/>
        <v>218</v>
      </c>
      <c r="K110" s="203">
        <f t="shared" si="30"/>
        <v>218</v>
      </c>
      <c r="L110" s="203">
        <f t="shared" si="30"/>
        <v>218</v>
      </c>
      <c r="M110" s="203">
        <f t="shared" si="30"/>
        <v>218</v>
      </c>
      <c r="N110" s="203">
        <f t="shared" si="30"/>
        <v>218</v>
      </c>
      <c r="O110" s="203">
        <f t="shared" si="30"/>
        <v>218</v>
      </c>
      <c r="P110" s="203">
        <f t="shared" si="30"/>
        <v>218</v>
      </c>
      <c r="Q110" s="203">
        <f t="shared" si="30"/>
        <v>218</v>
      </c>
      <c r="R110" s="203">
        <f t="shared" si="30"/>
        <v>218</v>
      </c>
      <c r="S110" s="203">
        <f t="shared" si="30"/>
        <v>218</v>
      </c>
      <c r="T110" s="203">
        <f t="shared" si="30"/>
        <v>218</v>
      </c>
      <c r="U110" s="203">
        <f t="shared" si="30"/>
        <v>218</v>
      </c>
      <c r="V110" s="203">
        <f t="shared" si="30"/>
        <v>218</v>
      </c>
      <c r="W110" s="203">
        <f t="shared" si="30"/>
        <v>218</v>
      </c>
      <c r="X110" s="203">
        <f t="shared" si="30"/>
        <v>218</v>
      </c>
      <c r="Y110" s="203">
        <f t="shared" si="30"/>
        <v>218</v>
      </c>
      <c r="AA110" s="606">
        <f t="shared" si="28"/>
        <v>4360</v>
      </c>
      <c r="AB110" s="607">
        <f t="shared" si="20"/>
        <v>2180</v>
      </c>
    </row>
    <row r="111" spans="1:28" s="199" customFormat="1">
      <c r="AA111" s="606">
        <f t="shared" si="28"/>
        <v>0</v>
      </c>
      <c r="AB111" s="607">
        <f t="shared" si="20"/>
        <v>0</v>
      </c>
    </row>
    <row r="112" spans="1:28" s="199" customFormat="1">
      <c r="A112" s="124" t="s">
        <v>70</v>
      </c>
      <c r="AA112" s="606">
        <f t="shared" si="28"/>
        <v>0</v>
      </c>
      <c r="AB112" s="607">
        <f t="shared" si="20"/>
        <v>0</v>
      </c>
    </row>
    <row r="113" spans="1:28" s="199" customFormat="1">
      <c r="A113" s="126" t="s">
        <v>71</v>
      </c>
      <c r="D113" s="214">
        <f>D109</f>
        <v>129263.28073771155</v>
      </c>
      <c r="AA113" s="606">
        <f t="shared" si="28"/>
        <v>0</v>
      </c>
      <c r="AB113" s="607">
        <f t="shared" si="20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8"/>
        <v>0.99999999999999989</v>
      </c>
      <c r="AB114" s="607">
        <f t="shared" si="20"/>
        <v>0.49999999999999994</v>
      </c>
    </row>
    <row r="115" spans="1:28" s="199" customFormat="1">
      <c r="A115" s="199" t="s">
        <v>70</v>
      </c>
      <c r="F115" s="203">
        <f t="shared" ref="F115:Y115" si="31">$D$113*F114</f>
        <v>25852.656147542311</v>
      </c>
      <c r="G115" s="203">
        <f t="shared" si="31"/>
        <v>41364.249836067698</v>
      </c>
      <c r="H115" s="203">
        <f t="shared" si="31"/>
        <v>24818.549901640617</v>
      </c>
      <c r="I115" s="203">
        <f t="shared" si="31"/>
        <v>14891.12994098437</v>
      </c>
      <c r="J115" s="203">
        <f t="shared" si="31"/>
        <v>14891.12994098437</v>
      </c>
      <c r="K115" s="203">
        <f t="shared" si="31"/>
        <v>7445.5649704921852</v>
      </c>
      <c r="L115" s="203">
        <f t="shared" si="31"/>
        <v>0</v>
      </c>
      <c r="M115" s="203">
        <f t="shared" si="31"/>
        <v>0</v>
      </c>
      <c r="N115" s="203">
        <f t="shared" si="31"/>
        <v>0</v>
      </c>
      <c r="O115" s="203">
        <f t="shared" si="31"/>
        <v>0</v>
      </c>
      <c r="P115" s="203">
        <f t="shared" si="31"/>
        <v>0</v>
      </c>
      <c r="Q115" s="203">
        <f t="shared" si="31"/>
        <v>0</v>
      </c>
      <c r="R115" s="203">
        <f t="shared" si="31"/>
        <v>0</v>
      </c>
      <c r="S115" s="203">
        <f t="shared" si="31"/>
        <v>0</v>
      </c>
      <c r="T115" s="203">
        <f t="shared" si="31"/>
        <v>0</v>
      </c>
      <c r="U115" s="203">
        <f t="shared" si="31"/>
        <v>0</v>
      </c>
      <c r="V115" s="203">
        <f t="shared" si="31"/>
        <v>0</v>
      </c>
      <c r="W115" s="203">
        <f t="shared" si="31"/>
        <v>0</v>
      </c>
      <c r="X115" s="203">
        <f t="shared" si="31"/>
        <v>0</v>
      </c>
      <c r="Y115" s="203">
        <f t="shared" si="31"/>
        <v>0</v>
      </c>
      <c r="AA115" s="606">
        <f t="shared" si="28"/>
        <v>129263.28073771152</v>
      </c>
      <c r="AB115" s="607">
        <f t="shared" si="20"/>
        <v>64631.640368855762</v>
      </c>
    </row>
    <row r="116" spans="1:28" s="199" customFormat="1">
      <c r="A116" s="199" t="s">
        <v>571</v>
      </c>
      <c r="D116" s="214">
        <f>D110</f>
        <v>6546.6889087303171</v>
      </c>
      <c r="F116" s="203">
        <f>$D$116*F114</f>
        <v>1309.3377817460635</v>
      </c>
      <c r="G116" s="203">
        <f t="shared" ref="G116:Y116" si="32">$D$116*G114</f>
        <v>2094.9404507937015</v>
      </c>
      <c r="H116" s="203">
        <f t="shared" si="32"/>
        <v>1256.9642704762209</v>
      </c>
      <c r="I116" s="203">
        <f t="shared" si="32"/>
        <v>754.17856228573248</v>
      </c>
      <c r="J116" s="203">
        <f t="shared" si="32"/>
        <v>754.17856228573248</v>
      </c>
      <c r="K116" s="203">
        <f t="shared" si="32"/>
        <v>377.08928114286624</v>
      </c>
      <c r="L116" s="203">
        <f t="shared" si="32"/>
        <v>0</v>
      </c>
      <c r="M116" s="203">
        <f t="shared" si="32"/>
        <v>0</v>
      </c>
      <c r="N116" s="203">
        <f t="shared" si="32"/>
        <v>0</v>
      </c>
      <c r="O116" s="203">
        <f t="shared" si="32"/>
        <v>0</v>
      </c>
      <c r="P116" s="203">
        <f t="shared" si="32"/>
        <v>0</v>
      </c>
      <c r="Q116" s="203">
        <f t="shared" si="32"/>
        <v>0</v>
      </c>
      <c r="R116" s="203">
        <f t="shared" si="32"/>
        <v>0</v>
      </c>
      <c r="S116" s="203">
        <f t="shared" si="32"/>
        <v>0</v>
      </c>
      <c r="T116" s="203">
        <f t="shared" si="32"/>
        <v>0</v>
      </c>
      <c r="U116" s="203">
        <f t="shared" si="32"/>
        <v>0</v>
      </c>
      <c r="V116" s="203">
        <f t="shared" si="32"/>
        <v>0</v>
      </c>
      <c r="W116" s="203">
        <f t="shared" si="32"/>
        <v>0</v>
      </c>
      <c r="X116" s="203">
        <f t="shared" si="32"/>
        <v>0</v>
      </c>
      <c r="Y116" s="203">
        <f t="shared" si="32"/>
        <v>0</v>
      </c>
      <c r="AA116" s="606">
        <f t="shared" si="28"/>
        <v>6546.6889087303171</v>
      </c>
      <c r="AB116" s="607">
        <f t="shared" si="20"/>
        <v>3273.3444543651585</v>
      </c>
    </row>
    <row r="117" spans="1:28" s="199" customFormat="1">
      <c r="AA117" s="606">
        <f t="shared" si="28"/>
        <v>0</v>
      </c>
      <c r="AB117" s="607">
        <f t="shared" si="20"/>
        <v>0</v>
      </c>
    </row>
    <row r="118" spans="1:28" s="199" customFormat="1">
      <c r="AA118" s="606">
        <f t="shared" si="28"/>
        <v>0</v>
      </c>
      <c r="AB118" s="607">
        <f t="shared" si="20"/>
        <v>0</v>
      </c>
    </row>
    <row r="119" spans="1:28" s="199" customFormat="1" ht="13.5" thickBot="1">
      <c r="F119" s="109">
        <f>F107</f>
        <v>2001</v>
      </c>
      <c r="G119" s="109">
        <f t="shared" ref="G119:Y119" si="33">G107</f>
        <v>2002</v>
      </c>
      <c r="H119" s="109">
        <f t="shared" si="33"/>
        <v>2003</v>
      </c>
      <c r="I119" s="109">
        <f t="shared" si="33"/>
        <v>2004</v>
      </c>
      <c r="J119" s="109">
        <f t="shared" si="33"/>
        <v>2005</v>
      </c>
      <c r="K119" s="109">
        <f t="shared" si="33"/>
        <v>2006</v>
      </c>
      <c r="L119" s="109">
        <f t="shared" si="33"/>
        <v>2007</v>
      </c>
      <c r="M119" s="109">
        <f t="shared" si="33"/>
        <v>2008</v>
      </c>
      <c r="N119" s="109">
        <f t="shared" si="33"/>
        <v>2009</v>
      </c>
      <c r="O119" s="109">
        <f t="shared" si="33"/>
        <v>2010</v>
      </c>
      <c r="P119" s="109">
        <f t="shared" si="33"/>
        <v>2011</v>
      </c>
      <c r="Q119" s="109">
        <f t="shared" si="33"/>
        <v>2012</v>
      </c>
      <c r="R119" s="109">
        <f t="shared" si="33"/>
        <v>2013</v>
      </c>
      <c r="S119" s="109">
        <f t="shared" si="33"/>
        <v>2014</v>
      </c>
      <c r="T119" s="109">
        <f t="shared" si="33"/>
        <v>2015</v>
      </c>
      <c r="U119" s="109">
        <f t="shared" si="33"/>
        <v>2016</v>
      </c>
      <c r="V119" s="109">
        <f t="shared" si="33"/>
        <v>2017</v>
      </c>
      <c r="W119" s="109">
        <f t="shared" si="33"/>
        <v>2018</v>
      </c>
      <c r="X119" s="109">
        <f t="shared" si="33"/>
        <v>2019</v>
      </c>
      <c r="Y119" s="109">
        <f t="shared" si="33"/>
        <v>2020</v>
      </c>
      <c r="AA119" s="606">
        <f t="shared" si="28"/>
        <v>40210</v>
      </c>
      <c r="AB119" s="607">
        <f t="shared" si="20"/>
        <v>20105</v>
      </c>
    </row>
    <row r="120" spans="1:28" s="199" customFormat="1">
      <c r="A120" s="108" t="s">
        <v>73</v>
      </c>
      <c r="AA120" s="606">
        <f t="shared" si="28"/>
        <v>0</v>
      </c>
      <c r="AB120" s="607">
        <f t="shared" si="20"/>
        <v>0</v>
      </c>
    </row>
    <row r="121" spans="1:28" s="199" customFormat="1">
      <c r="A121" s="217" t="str">
        <f>A64</f>
        <v>EBITDA</v>
      </c>
      <c r="F121" s="203">
        <f>F39</f>
        <v>19724</v>
      </c>
      <c r="G121" s="203">
        <f t="shared" ref="G121:Y121" si="34">G39</f>
        <v>7290</v>
      </c>
      <c r="H121" s="203">
        <f t="shared" si="34"/>
        <v>7359</v>
      </c>
      <c r="I121" s="203">
        <f t="shared" si="34"/>
        <v>7551</v>
      </c>
      <c r="J121" s="203">
        <f>J39</f>
        <v>9684.0071087522156</v>
      </c>
      <c r="K121" s="203">
        <f t="shared" si="34"/>
        <v>10145.003503258471</v>
      </c>
      <c r="L121" s="203">
        <f t="shared" si="34"/>
        <v>10336.835218293594</v>
      </c>
      <c r="M121" s="203">
        <f t="shared" si="34"/>
        <v>10480.306893836248</v>
      </c>
      <c r="N121" s="203">
        <f t="shared" si="34"/>
        <v>10627.652304618561</v>
      </c>
      <c r="O121" s="203">
        <f t="shared" si="34"/>
        <v>10778.976041491995</v>
      </c>
      <c r="P121" s="203">
        <f t="shared" si="34"/>
        <v>10940.14142584505</v>
      </c>
      <c r="Q121" s="203">
        <f t="shared" si="34"/>
        <v>11105.819440959986</v>
      </c>
      <c r="R121" s="203">
        <f t="shared" si="34"/>
        <v>11276.136440498145</v>
      </c>
      <c r="S121" s="203">
        <f t="shared" si="34"/>
        <v>11451.22231602337</v>
      </c>
      <c r="T121" s="203">
        <f t="shared" si="34"/>
        <v>11629.614888280918</v>
      </c>
      <c r="U121" s="203">
        <f t="shared" si="34"/>
        <v>11811.794547855308</v>
      </c>
      <c r="V121" s="203">
        <f t="shared" si="34"/>
        <v>11999.075237897781</v>
      </c>
      <c r="W121" s="203">
        <f t="shared" si="34"/>
        <v>12191.599787261444</v>
      </c>
      <c r="X121" s="203">
        <f t="shared" si="34"/>
        <v>12389.515024007287</v>
      </c>
      <c r="Y121" s="203">
        <f t="shared" si="34"/>
        <v>12592.971887382017</v>
      </c>
      <c r="AA121" s="606">
        <f t="shared" si="28"/>
        <v>221364.6720662624</v>
      </c>
      <c r="AB121" s="607">
        <f t="shared" si="20"/>
        <v>110682.3360331312</v>
      </c>
    </row>
    <row r="122" spans="1:28" s="199" customFormat="1">
      <c r="A122" s="199" t="s">
        <v>74</v>
      </c>
      <c r="F122" s="203">
        <f>-F115</f>
        <v>-25852.656147542311</v>
      </c>
      <c r="G122" s="203">
        <f t="shared" ref="G122:Y122" si="35">-G115</f>
        <v>-41364.249836067698</v>
      </c>
      <c r="H122" s="203">
        <f t="shared" si="35"/>
        <v>-24818.549901640617</v>
      </c>
      <c r="I122" s="203">
        <f t="shared" si="35"/>
        <v>-14891.12994098437</v>
      </c>
      <c r="J122" s="203">
        <f t="shared" si="35"/>
        <v>-14891.12994098437</v>
      </c>
      <c r="K122" s="203">
        <f t="shared" si="35"/>
        <v>-7445.5649704921852</v>
      </c>
      <c r="L122" s="203">
        <f t="shared" si="35"/>
        <v>0</v>
      </c>
      <c r="M122" s="203">
        <f t="shared" si="35"/>
        <v>0</v>
      </c>
      <c r="N122" s="203">
        <f t="shared" si="35"/>
        <v>0</v>
      </c>
      <c r="O122" s="203">
        <f t="shared" si="35"/>
        <v>0</v>
      </c>
      <c r="P122" s="203">
        <f t="shared" si="35"/>
        <v>0</v>
      </c>
      <c r="Q122" s="203">
        <f t="shared" si="35"/>
        <v>0</v>
      </c>
      <c r="R122" s="203">
        <f t="shared" si="35"/>
        <v>0</v>
      </c>
      <c r="S122" s="203">
        <f t="shared" si="35"/>
        <v>0</v>
      </c>
      <c r="T122" s="203">
        <f t="shared" si="35"/>
        <v>0</v>
      </c>
      <c r="U122" s="203">
        <f t="shared" si="35"/>
        <v>0</v>
      </c>
      <c r="V122" s="203">
        <f t="shared" si="35"/>
        <v>0</v>
      </c>
      <c r="W122" s="203">
        <f t="shared" si="35"/>
        <v>0</v>
      </c>
      <c r="X122" s="203">
        <f t="shared" si="35"/>
        <v>0</v>
      </c>
      <c r="Y122" s="203">
        <f t="shared" si="35"/>
        <v>0</v>
      </c>
      <c r="AA122" s="606">
        <f t="shared" si="28"/>
        <v>-129263.28073771152</v>
      </c>
      <c r="AB122" s="607">
        <f t="shared" si="20"/>
        <v>-64631.640368855762</v>
      </c>
    </row>
    <row r="123" spans="1:28" s="199" customFormat="1">
      <c r="A123" s="199" t="s">
        <v>75</v>
      </c>
      <c r="F123" s="218">
        <f>-F46</f>
        <v>-4931</v>
      </c>
      <c r="G123" s="218">
        <f t="shared" ref="G123:Y123" si="36">-G46</f>
        <v>-1822.5</v>
      </c>
      <c r="H123" s="218">
        <f t="shared" si="36"/>
        <v>-1839.75</v>
      </c>
      <c r="I123" s="218">
        <f t="shared" si="36"/>
        <v>-1887.75</v>
      </c>
      <c r="J123" s="218">
        <f t="shared" si="36"/>
        <v>-2421.0017771880539</v>
      </c>
      <c r="K123" s="218">
        <f t="shared" si="36"/>
        <v>-2536.2508758146178</v>
      </c>
      <c r="L123" s="218">
        <f t="shared" si="36"/>
        <v>-2584.2088045733985</v>
      </c>
      <c r="M123" s="218">
        <f t="shared" si="36"/>
        <v>-2620.0767234590621</v>
      </c>
      <c r="N123" s="218">
        <f t="shared" si="36"/>
        <v>-2656.9130761546403</v>
      </c>
      <c r="O123" s="218">
        <f t="shared" si="36"/>
        <v>-2694.7440103729987</v>
      </c>
      <c r="P123" s="218">
        <f t="shared" si="36"/>
        <v>-2735.0353564612624</v>
      </c>
      <c r="Q123" s="218">
        <f t="shared" si="36"/>
        <v>-2776.4548602399964</v>
      </c>
      <c r="R123" s="218">
        <f t="shared" si="36"/>
        <v>-2819.0341101245363</v>
      </c>
      <c r="S123" s="218">
        <f t="shared" si="36"/>
        <v>-2862.8055790058424</v>
      </c>
      <c r="T123" s="218">
        <f t="shared" si="36"/>
        <v>-2907.4037220702294</v>
      </c>
      <c r="U123" s="218">
        <f t="shared" si="36"/>
        <v>-2952.9486369638271</v>
      </c>
      <c r="V123" s="218">
        <f t="shared" si="36"/>
        <v>-2999.7688094744453</v>
      </c>
      <c r="W123" s="218">
        <f t="shared" si="36"/>
        <v>-3047.8999468153611</v>
      </c>
      <c r="X123" s="218">
        <f t="shared" si="36"/>
        <v>-3097.3787560018218</v>
      </c>
      <c r="Y123" s="218">
        <f t="shared" si="36"/>
        <v>-3148.2429718455041</v>
      </c>
      <c r="AA123" s="606">
        <f t="shared" si="28"/>
        <v>-55341.1680165656</v>
      </c>
      <c r="AB123" s="607">
        <f t="shared" si="20"/>
        <v>-27670.5840082828</v>
      </c>
    </row>
    <row r="124" spans="1:28" s="199" customFormat="1">
      <c r="A124" s="199" t="s">
        <v>76</v>
      </c>
      <c r="F124" s="203">
        <f>SUM(F121:F123)</f>
        <v>-11059.656147542311</v>
      </c>
      <c r="G124" s="203">
        <f t="shared" ref="G124:Y124" si="37">SUM(G121:G123)</f>
        <v>-35896.749836067698</v>
      </c>
      <c r="H124" s="203">
        <f t="shared" si="37"/>
        <v>-19299.299901640617</v>
      </c>
      <c r="I124" s="203">
        <f t="shared" si="37"/>
        <v>-9227.8799409843705</v>
      </c>
      <c r="J124" s="203">
        <f t="shared" si="37"/>
        <v>-7628.1246094202088</v>
      </c>
      <c r="K124" s="203">
        <f t="shared" si="37"/>
        <v>163.18765695166803</v>
      </c>
      <c r="L124" s="203">
        <f t="shared" si="37"/>
        <v>7752.6264137201961</v>
      </c>
      <c r="M124" s="203">
        <f t="shared" si="37"/>
        <v>7860.2301703771864</v>
      </c>
      <c r="N124" s="203">
        <f t="shared" si="37"/>
        <v>7970.7392284639209</v>
      </c>
      <c r="O124" s="203">
        <f t="shared" si="37"/>
        <v>8084.232031118996</v>
      </c>
      <c r="P124" s="203">
        <f t="shared" si="37"/>
        <v>8205.1060693837862</v>
      </c>
      <c r="Q124" s="203">
        <f t="shared" si="37"/>
        <v>8329.36458071999</v>
      </c>
      <c r="R124" s="203">
        <f t="shared" si="37"/>
        <v>8457.1023303736092</v>
      </c>
      <c r="S124" s="203">
        <f t="shared" si="37"/>
        <v>8588.4167370175273</v>
      </c>
      <c r="T124" s="203">
        <f t="shared" si="37"/>
        <v>8722.2111662106872</v>
      </c>
      <c r="U124" s="203">
        <f t="shared" si="37"/>
        <v>8858.8459108914813</v>
      </c>
      <c r="V124" s="203">
        <f t="shared" si="37"/>
        <v>8999.3064284233369</v>
      </c>
      <c r="W124" s="203">
        <f t="shared" si="37"/>
        <v>9143.6998404460828</v>
      </c>
      <c r="X124" s="203">
        <f t="shared" si="37"/>
        <v>9292.1362680054663</v>
      </c>
      <c r="Y124" s="203">
        <f t="shared" si="37"/>
        <v>9444.7289155365124</v>
      </c>
      <c r="AA124" s="606">
        <f t="shared" si="28"/>
        <v>36760.223311985261</v>
      </c>
      <c r="AB124" s="607">
        <f t="shared" si="20"/>
        <v>18380.11165599263</v>
      </c>
    </row>
    <row r="125" spans="1:28" s="199" customFormat="1">
      <c r="AA125" s="606">
        <f t="shared" si="28"/>
        <v>0</v>
      </c>
      <c r="AB125" s="607">
        <f t="shared" si="20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552.98280737711559</v>
      </c>
      <c r="G126" s="203">
        <f t="shared" ref="G126:Y126" si="38">-G124*$C$126</f>
        <v>1794.8374918033851</v>
      </c>
      <c r="H126" s="203">
        <f t="shared" si="38"/>
        <v>964.9649950820309</v>
      </c>
      <c r="I126" s="203">
        <f t="shared" si="38"/>
        <v>461.39399704921857</v>
      </c>
      <c r="J126" s="203">
        <f t="shared" si="38"/>
        <v>381.40623047101047</v>
      </c>
      <c r="K126" s="203">
        <f t="shared" si="38"/>
        <v>-8.1593828475834016</v>
      </c>
      <c r="L126" s="203">
        <f t="shared" si="38"/>
        <v>-387.63132068600981</v>
      </c>
      <c r="M126" s="203">
        <f t="shared" si="38"/>
        <v>-393.01150851885933</v>
      </c>
      <c r="N126" s="203">
        <f t="shared" si="38"/>
        <v>-398.53696142319609</v>
      </c>
      <c r="O126" s="203">
        <f t="shared" si="38"/>
        <v>-404.21160155594981</v>
      </c>
      <c r="P126" s="203">
        <f t="shared" si="38"/>
        <v>-410.25530346918936</v>
      </c>
      <c r="Q126" s="203">
        <f t="shared" si="38"/>
        <v>-416.46822903599951</v>
      </c>
      <c r="R126" s="203">
        <f t="shared" si="38"/>
        <v>-422.85511651868046</v>
      </c>
      <c r="S126" s="203">
        <f t="shared" si="38"/>
        <v>-429.42083685087641</v>
      </c>
      <c r="T126" s="203">
        <f t="shared" si="38"/>
        <v>-436.11055831053437</v>
      </c>
      <c r="U126" s="203">
        <f t="shared" si="38"/>
        <v>-442.94229554457411</v>
      </c>
      <c r="V126" s="203">
        <f t="shared" si="38"/>
        <v>-449.96532142116689</v>
      </c>
      <c r="W126" s="203">
        <f t="shared" si="38"/>
        <v>-457.18499202230419</v>
      </c>
      <c r="X126" s="203">
        <f t="shared" si="38"/>
        <v>-464.60681340027332</v>
      </c>
      <c r="Y126" s="203">
        <f t="shared" si="38"/>
        <v>-472.23644577682563</v>
      </c>
      <c r="AA126" s="606">
        <f t="shared" si="28"/>
        <v>-1838.0111655992628</v>
      </c>
      <c r="AB126" s="607">
        <f t="shared" si="20"/>
        <v>-919.00558279963138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3677.3356690578184</v>
      </c>
      <c r="G127" s="203">
        <f t="shared" ref="G127:Y127" si="39">-(G124+G126)*$C$127</f>
        <v>11935.669320492509</v>
      </c>
      <c r="H127" s="203">
        <f t="shared" si="39"/>
        <v>6417.0172172955045</v>
      </c>
      <c r="I127" s="203">
        <f t="shared" si="39"/>
        <v>3068.2700803773027</v>
      </c>
      <c r="J127" s="203">
        <f t="shared" si="39"/>
        <v>2536.3514326322193</v>
      </c>
      <c r="K127" s="203">
        <f t="shared" si="39"/>
        <v>-54.259895936429615</v>
      </c>
      <c r="L127" s="203">
        <f t="shared" si="39"/>
        <v>-2577.748282561965</v>
      </c>
      <c r="M127" s="203">
        <f t="shared" si="39"/>
        <v>-2613.5265316504142</v>
      </c>
      <c r="N127" s="203">
        <f t="shared" si="39"/>
        <v>-2650.2707934642535</v>
      </c>
      <c r="O127" s="203">
        <f t="shared" si="39"/>
        <v>-2688.0071503470663</v>
      </c>
      <c r="P127" s="203">
        <f t="shared" si="39"/>
        <v>-2728.1977680701089</v>
      </c>
      <c r="Q127" s="203">
        <f t="shared" si="39"/>
        <v>-2769.5137230893965</v>
      </c>
      <c r="R127" s="203">
        <f t="shared" si="39"/>
        <v>-2811.9865248492251</v>
      </c>
      <c r="S127" s="203">
        <f t="shared" si="39"/>
        <v>-2855.6485650583277</v>
      </c>
      <c r="T127" s="203">
        <f t="shared" si="39"/>
        <v>-2900.1352127650534</v>
      </c>
      <c r="U127" s="203">
        <f t="shared" si="39"/>
        <v>-2945.5662653714176</v>
      </c>
      <c r="V127" s="203">
        <f t="shared" si="39"/>
        <v>-2992.2693874507595</v>
      </c>
      <c r="W127" s="203">
        <f t="shared" si="39"/>
        <v>-3040.2801969483221</v>
      </c>
      <c r="X127" s="203">
        <f t="shared" si="39"/>
        <v>-3089.6353091118176</v>
      </c>
      <c r="Y127" s="203">
        <f t="shared" si="39"/>
        <v>-3140.3723644158904</v>
      </c>
      <c r="AA127" s="606">
        <f t="shared" si="28"/>
        <v>-12222.774251235092</v>
      </c>
      <c r="AB127" s="607">
        <f t="shared" si="20"/>
        <v>-6111.3871256175462</v>
      </c>
    </row>
    <row r="128" spans="1:28" s="199" customFormat="1">
      <c r="AA128" s="606">
        <f t="shared" si="28"/>
        <v>0</v>
      </c>
      <c r="AB128" s="607">
        <f t="shared" si="20"/>
        <v>0</v>
      </c>
    </row>
    <row r="129" spans="1:28" s="199" customFormat="1">
      <c r="AA129" s="606">
        <f t="shared" si="28"/>
        <v>0</v>
      </c>
      <c r="AB129" s="607">
        <f t="shared" si="20"/>
        <v>0</v>
      </c>
    </row>
    <row r="130" spans="1:28" s="199" customFormat="1">
      <c r="AA130" s="606">
        <f t="shared" si="28"/>
        <v>0</v>
      </c>
      <c r="AB130" s="607">
        <f t="shared" si="20"/>
        <v>0</v>
      </c>
    </row>
    <row r="131" spans="1:28" s="199" customFormat="1">
      <c r="AA131" s="606">
        <f t="shared" si="28"/>
        <v>0</v>
      </c>
      <c r="AB131" s="607">
        <f t="shared" si="20"/>
        <v>0</v>
      </c>
    </row>
    <row r="132" spans="1:28" s="199" customFormat="1">
      <c r="AA132" s="606">
        <f t="shared" si="28"/>
        <v>0</v>
      </c>
      <c r="AB132" s="607">
        <f t="shared" si="20"/>
        <v>0</v>
      </c>
    </row>
    <row r="133" spans="1:28" s="199" customFormat="1">
      <c r="AA133" s="606">
        <f t="shared" si="28"/>
        <v>0</v>
      </c>
      <c r="AB133" s="607">
        <f t="shared" si="20"/>
        <v>0</v>
      </c>
    </row>
    <row r="134" spans="1:28" s="199" customFormat="1">
      <c r="AA134" s="606">
        <f t="shared" si="28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40">G119</f>
        <v>2002</v>
      </c>
      <c r="H135" s="109">
        <f t="shared" si="40"/>
        <v>2003</v>
      </c>
      <c r="I135" s="109">
        <f t="shared" si="40"/>
        <v>2004</v>
      </c>
      <c r="J135" s="109">
        <f t="shared" si="40"/>
        <v>2005</v>
      </c>
      <c r="K135" s="109">
        <f t="shared" si="40"/>
        <v>2006</v>
      </c>
      <c r="L135" s="109">
        <f t="shared" si="40"/>
        <v>2007</v>
      </c>
      <c r="M135" s="109">
        <f t="shared" si="40"/>
        <v>2008</v>
      </c>
      <c r="N135" s="109">
        <f t="shared" si="40"/>
        <v>2009</v>
      </c>
      <c r="O135" s="109">
        <f t="shared" si="40"/>
        <v>2010</v>
      </c>
      <c r="P135" s="109">
        <f t="shared" si="40"/>
        <v>2011</v>
      </c>
      <c r="Q135" s="109">
        <f t="shared" si="40"/>
        <v>2012</v>
      </c>
      <c r="R135" s="109">
        <f t="shared" si="40"/>
        <v>2013</v>
      </c>
      <c r="S135" s="109">
        <f t="shared" si="40"/>
        <v>2014</v>
      </c>
      <c r="T135" s="109">
        <f t="shared" si="40"/>
        <v>2015</v>
      </c>
      <c r="U135" s="109">
        <f t="shared" si="40"/>
        <v>2016</v>
      </c>
      <c r="V135" s="109">
        <f t="shared" si="40"/>
        <v>2017</v>
      </c>
      <c r="W135" s="109">
        <f t="shared" si="40"/>
        <v>2018</v>
      </c>
      <c r="X135" s="109">
        <f t="shared" si="40"/>
        <v>2019</v>
      </c>
      <c r="Y135" s="109">
        <f t="shared" si="40"/>
        <v>2020</v>
      </c>
      <c r="AA135" s="606">
        <f t="shared" si="28"/>
        <v>40210</v>
      </c>
      <c r="AB135" s="607">
        <f t="shared" ref="AB135:AB151" si="41">AA135</f>
        <v>40210</v>
      </c>
    </row>
    <row r="136" spans="1:28" s="199" customFormat="1">
      <c r="AA136" s="606">
        <f t="shared" si="28"/>
        <v>0</v>
      </c>
      <c r="AB136" s="607">
        <f t="shared" si="41"/>
        <v>0</v>
      </c>
    </row>
    <row r="137" spans="1:28" s="199" customFormat="1">
      <c r="A137" s="199" t="s">
        <v>90</v>
      </c>
      <c r="F137" s="354">
        <v>0</v>
      </c>
      <c r="G137" s="354">
        <v>0</v>
      </c>
      <c r="H137" s="354">
        <v>0</v>
      </c>
      <c r="I137" s="354">
        <v>0</v>
      </c>
      <c r="J137" s="354">
        <v>0</v>
      </c>
      <c r="K137" s="354">
        <v>0</v>
      </c>
      <c r="L137" s="354">
        <v>0</v>
      </c>
      <c r="M137" s="354">
        <v>0</v>
      </c>
      <c r="N137" s="354">
        <v>0</v>
      </c>
      <c r="O137" s="354">
        <v>0</v>
      </c>
      <c r="P137" s="354">
        <v>0</v>
      </c>
      <c r="Q137" s="354">
        <v>0</v>
      </c>
      <c r="R137" s="354">
        <v>0</v>
      </c>
      <c r="S137" s="354">
        <v>0</v>
      </c>
      <c r="T137" s="354">
        <v>0</v>
      </c>
      <c r="U137" s="354">
        <v>0</v>
      </c>
      <c r="V137" s="354">
        <v>0</v>
      </c>
      <c r="W137" s="354">
        <v>0</v>
      </c>
      <c r="X137" s="354">
        <v>0</v>
      </c>
      <c r="Y137" s="354">
        <v>0</v>
      </c>
      <c r="AA137" s="606">
        <f t="shared" si="28"/>
        <v>0</v>
      </c>
      <c r="AB137" s="607">
        <f t="shared" si="41"/>
        <v>0</v>
      </c>
    </row>
    <row r="138" spans="1:28" s="199" customFormat="1">
      <c r="A138" s="199" t="s">
        <v>78</v>
      </c>
      <c r="F138" s="218">
        <f t="shared" ref="F138:Y138" si="42">SUM(F33:F35)</f>
        <v>307</v>
      </c>
      <c r="G138" s="218">
        <f t="shared" si="42"/>
        <v>314</v>
      </c>
      <c r="H138" s="218">
        <f t="shared" si="42"/>
        <v>321</v>
      </c>
      <c r="I138" s="218">
        <f t="shared" si="42"/>
        <v>329</v>
      </c>
      <c r="J138" s="218">
        <f t="shared" si="42"/>
        <v>337.88299999999998</v>
      </c>
      <c r="K138" s="218">
        <f t="shared" si="42"/>
        <v>347.00584099999998</v>
      </c>
      <c r="L138" s="218">
        <f t="shared" si="42"/>
        <v>356.37499870699992</v>
      </c>
      <c r="M138" s="218">
        <f t="shared" si="42"/>
        <v>365.99712367208889</v>
      </c>
      <c r="N138" s="218">
        <f t="shared" si="42"/>
        <v>375.87904601123523</v>
      </c>
      <c r="O138" s="218">
        <f t="shared" si="42"/>
        <v>386.02778025353854</v>
      </c>
      <c r="P138" s="218">
        <f t="shared" si="42"/>
        <v>396.8365581006376</v>
      </c>
      <c r="Q138" s="218">
        <f t="shared" si="42"/>
        <v>407.94798172745544</v>
      </c>
      <c r="R138" s="218">
        <f t="shared" si="42"/>
        <v>419.37052521582422</v>
      </c>
      <c r="S138" s="218">
        <f t="shared" si="42"/>
        <v>431.11289992186732</v>
      </c>
      <c r="T138" s="218">
        <f t="shared" si="42"/>
        <v>443.1840611196796</v>
      </c>
      <c r="U138" s="218">
        <f t="shared" si="42"/>
        <v>455.59321483103065</v>
      </c>
      <c r="V138" s="218">
        <f t="shared" si="42"/>
        <v>468.3498248462995</v>
      </c>
      <c r="W138" s="218">
        <f t="shared" si="42"/>
        <v>481.46361994199589</v>
      </c>
      <c r="X138" s="218">
        <f t="shared" si="42"/>
        <v>494.9446013003718</v>
      </c>
      <c r="Y138" s="218">
        <f t="shared" si="42"/>
        <v>508.80305013678225</v>
      </c>
      <c r="AA138" s="606">
        <f t="shared" si="28"/>
        <v>7947.7741267858046</v>
      </c>
      <c r="AB138" s="607">
        <f t="shared" si="41"/>
        <v>7947.7741267858046</v>
      </c>
    </row>
    <row r="139" spans="1:28" s="199" customFormat="1">
      <c r="A139" s="199" t="s">
        <v>79</v>
      </c>
      <c r="F139" s="203">
        <f>F137+F138</f>
        <v>307</v>
      </c>
      <c r="G139" s="203">
        <f t="shared" ref="G139:Y139" si="43">G137+G138</f>
        <v>314</v>
      </c>
      <c r="H139" s="203">
        <f t="shared" si="43"/>
        <v>321</v>
      </c>
      <c r="I139" s="203">
        <f t="shared" si="43"/>
        <v>329</v>
      </c>
      <c r="J139" s="203">
        <f t="shared" si="43"/>
        <v>337.88299999999998</v>
      </c>
      <c r="K139" s="203">
        <f t="shared" si="43"/>
        <v>347.00584099999998</v>
      </c>
      <c r="L139" s="203">
        <f t="shared" si="43"/>
        <v>356.37499870699992</v>
      </c>
      <c r="M139" s="203">
        <f t="shared" si="43"/>
        <v>365.99712367208889</v>
      </c>
      <c r="N139" s="203">
        <f t="shared" si="43"/>
        <v>375.87904601123523</v>
      </c>
      <c r="O139" s="203">
        <f t="shared" si="43"/>
        <v>386.02778025353854</v>
      </c>
      <c r="P139" s="203">
        <f t="shared" si="43"/>
        <v>396.8365581006376</v>
      </c>
      <c r="Q139" s="203">
        <f t="shared" si="43"/>
        <v>407.94798172745544</v>
      </c>
      <c r="R139" s="203">
        <f t="shared" si="43"/>
        <v>419.37052521582422</v>
      </c>
      <c r="S139" s="203">
        <f t="shared" si="43"/>
        <v>431.11289992186732</v>
      </c>
      <c r="T139" s="203">
        <f t="shared" si="43"/>
        <v>443.1840611196796</v>
      </c>
      <c r="U139" s="203">
        <f t="shared" si="43"/>
        <v>455.59321483103065</v>
      </c>
      <c r="V139" s="203">
        <f t="shared" si="43"/>
        <v>468.3498248462995</v>
      </c>
      <c r="W139" s="203">
        <f t="shared" si="43"/>
        <v>481.46361994199589</v>
      </c>
      <c r="X139" s="203">
        <f t="shared" si="43"/>
        <v>494.9446013003718</v>
      </c>
      <c r="Y139" s="203">
        <f t="shared" si="43"/>
        <v>508.80305013678225</v>
      </c>
      <c r="AA139" s="606">
        <f t="shared" si="28"/>
        <v>7947.7741267858046</v>
      </c>
      <c r="AB139" s="607">
        <f t="shared" si="41"/>
        <v>7947.7741267858046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15.350000000000001</v>
      </c>
      <c r="G140" s="203">
        <f t="shared" ref="G140:Y140" si="44">G139*$C$140</f>
        <v>15.700000000000001</v>
      </c>
      <c r="H140" s="203">
        <f t="shared" si="44"/>
        <v>16.05</v>
      </c>
      <c r="I140" s="203">
        <f t="shared" si="44"/>
        <v>16.45</v>
      </c>
      <c r="J140" s="203">
        <f t="shared" si="44"/>
        <v>16.89415</v>
      </c>
      <c r="K140" s="203">
        <f t="shared" si="44"/>
        <v>17.35029205</v>
      </c>
      <c r="L140" s="203">
        <f t="shared" si="44"/>
        <v>17.818749935349995</v>
      </c>
      <c r="M140" s="203">
        <f t="shared" si="44"/>
        <v>18.299856183604444</v>
      </c>
      <c r="N140" s="203">
        <f t="shared" si="44"/>
        <v>18.793952300561763</v>
      </c>
      <c r="O140" s="203">
        <f t="shared" si="44"/>
        <v>19.301389012676928</v>
      </c>
      <c r="P140" s="203">
        <f t="shared" si="44"/>
        <v>19.841827905031881</v>
      </c>
      <c r="Q140" s="203">
        <f t="shared" si="44"/>
        <v>20.397399086372772</v>
      </c>
      <c r="R140" s="203">
        <f t="shared" si="44"/>
        <v>20.968526260791212</v>
      </c>
      <c r="S140" s="203">
        <f t="shared" si="44"/>
        <v>21.555644996093367</v>
      </c>
      <c r="T140" s="203">
        <f t="shared" si="44"/>
        <v>22.15920305598398</v>
      </c>
      <c r="U140" s="203">
        <f t="shared" si="44"/>
        <v>22.779660741551535</v>
      </c>
      <c r="V140" s="203">
        <f t="shared" si="44"/>
        <v>23.417491242314977</v>
      </c>
      <c r="W140" s="203">
        <f t="shared" si="44"/>
        <v>24.073180997099797</v>
      </c>
      <c r="X140" s="203">
        <f t="shared" si="44"/>
        <v>24.747230065018591</v>
      </c>
      <c r="Y140" s="203">
        <f t="shared" si="44"/>
        <v>25.440152506839112</v>
      </c>
      <c r="AA140" s="606">
        <f t="shared" si="28"/>
        <v>397.38870633929037</v>
      </c>
      <c r="AB140" s="607">
        <f t="shared" si="41"/>
        <v>397.38870633929037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102.07749999999999</v>
      </c>
      <c r="G141" s="218">
        <f t="shared" ref="G141:Y141" si="45">(G139-G140)*$C$141</f>
        <v>104.405</v>
      </c>
      <c r="H141" s="218">
        <f t="shared" si="45"/>
        <v>106.73249999999999</v>
      </c>
      <c r="I141" s="218">
        <f t="shared" si="45"/>
        <v>109.3925</v>
      </c>
      <c r="J141" s="218">
        <f t="shared" si="45"/>
        <v>112.34609749999997</v>
      </c>
      <c r="K141" s="218">
        <f t="shared" si="45"/>
        <v>115.37944213249997</v>
      </c>
      <c r="L141" s="218">
        <f t="shared" si="45"/>
        <v>118.49468707007746</v>
      </c>
      <c r="M141" s="218">
        <f t="shared" si="45"/>
        <v>121.69404362096955</v>
      </c>
      <c r="N141" s="218">
        <f t="shared" si="45"/>
        <v>124.9797827987357</v>
      </c>
      <c r="O141" s="218">
        <f t="shared" si="45"/>
        <v>128.35423693430155</v>
      </c>
      <c r="P141" s="218">
        <f t="shared" si="45"/>
        <v>131.948155568462</v>
      </c>
      <c r="Q141" s="218">
        <f t="shared" si="45"/>
        <v>135.64270392437891</v>
      </c>
      <c r="R141" s="218">
        <f t="shared" si="45"/>
        <v>139.44069963426153</v>
      </c>
      <c r="S141" s="218">
        <f t="shared" si="45"/>
        <v>143.34503922402089</v>
      </c>
      <c r="T141" s="218">
        <f t="shared" si="45"/>
        <v>147.35870032229346</v>
      </c>
      <c r="U141" s="218">
        <f t="shared" si="45"/>
        <v>151.48474393131767</v>
      </c>
      <c r="V141" s="218">
        <f t="shared" si="45"/>
        <v>155.72631676139457</v>
      </c>
      <c r="W141" s="218">
        <f t="shared" si="45"/>
        <v>160.08665363071364</v>
      </c>
      <c r="X141" s="218">
        <f t="shared" si="45"/>
        <v>164.56907993237363</v>
      </c>
      <c r="Y141" s="218">
        <f t="shared" si="45"/>
        <v>169.17701417048008</v>
      </c>
      <c r="AA141" s="606">
        <f t="shared" si="28"/>
        <v>2642.6348971562807</v>
      </c>
      <c r="AB141" s="607">
        <f t="shared" si="41"/>
        <v>2642.6348971562807</v>
      </c>
    </row>
    <row r="142" spans="1:28" s="199" customFormat="1">
      <c r="A142" s="199" t="s">
        <v>82</v>
      </c>
      <c r="F142" s="203">
        <f>F139-F140-F141</f>
        <v>189.57249999999999</v>
      </c>
      <c r="G142" s="203">
        <f t="shared" ref="G142:Y142" si="46">G139-G140-G141</f>
        <v>193.89500000000001</v>
      </c>
      <c r="H142" s="203">
        <f t="shared" si="46"/>
        <v>198.2175</v>
      </c>
      <c r="I142" s="203">
        <f t="shared" si="46"/>
        <v>203.15750000000003</v>
      </c>
      <c r="J142" s="203">
        <f t="shared" si="46"/>
        <v>208.64275249999997</v>
      </c>
      <c r="K142" s="203">
        <f t="shared" si="46"/>
        <v>214.27610681749999</v>
      </c>
      <c r="L142" s="203">
        <f t="shared" si="46"/>
        <v>220.06156170157243</v>
      </c>
      <c r="M142" s="203">
        <f t="shared" si="46"/>
        <v>226.00322386751489</v>
      </c>
      <c r="N142" s="203">
        <f t="shared" si="46"/>
        <v>232.10531091193775</v>
      </c>
      <c r="O142" s="203">
        <f t="shared" si="46"/>
        <v>238.37215430656008</v>
      </c>
      <c r="P142" s="203">
        <f t="shared" si="46"/>
        <v>245.04657462714371</v>
      </c>
      <c r="Q142" s="203">
        <f t="shared" si="46"/>
        <v>251.90787871670375</v>
      </c>
      <c r="R142" s="203">
        <f t="shared" si="46"/>
        <v>258.96129932077145</v>
      </c>
      <c r="S142" s="203">
        <f t="shared" si="46"/>
        <v>266.21221570175305</v>
      </c>
      <c r="T142" s="203">
        <f t="shared" si="46"/>
        <v>273.66615774140212</v>
      </c>
      <c r="U142" s="203">
        <f t="shared" si="46"/>
        <v>281.32881015816145</v>
      </c>
      <c r="V142" s="203">
        <f t="shared" si="46"/>
        <v>289.20601684258997</v>
      </c>
      <c r="W142" s="203">
        <f t="shared" si="46"/>
        <v>297.30378531418251</v>
      </c>
      <c r="X142" s="203">
        <f t="shared" si="46"/>
        <v>305.62829130297962</v>
      </c>
      <c r="Y142" s="203">
        <f t="shared" si="46"/>
        <v>314.18588345946307</v>
      </c>
      <c r="AA142" s="606">
        <f t="shared" si="28"/>
        <v>4907.7505232902358</v>
      </c>
      <c r="AB142" s="607">
        <f t="shared" si="41"/>
        <v>4907.7505232902358</v>
      </c>
    </row>
    <row r="143" spans="1:28" s="199" customFormat="1">
      <c r="AA143" s="606">
        <f t="shared" si="28"/>
        <v>0</v>
      </c>
      <c r="AB143" s="607">
        <f t="shared" si="41"/>
        <v>0</v>
      </c>
    </row>
    <row r="144" spans="1:28" s="199" customFormat="1">
      <c r="A144" s="217" t="str">
        <f>A76</f>
        <v>Net Income to FPLE</v>
      </c>
      <c r="F144" s="220">
        <f>F76</f>
        <v>3236.9349999999999</v>
      </c>
      <c r="G144" s="220">
        <f t="shared" ref="G144:Y144" si="47">G76</f>
        <v>357.68687499999999</v>
      </c>
      <c r="H144" s="220">
        <f t="shared" si="47"/>
        <v>373.66468750000001</v>
      </c>
      <c r="I144" s="220">
        <f t="shared" si="47"/>
        <v>418.12468749999999</v>
      </c>
      <c r="J144" s="220">
        <f t="shared" si="47"/>
        <v>912.04914612043501</v>
      </c>
      <c r="K144" s="220">
        <f t="shared" si="47"/>
        <v>1018.7986237232898</v>
      </c>
      <c r="L144" s="220">
        <f t="shared" si="47"/>
        <v>1063.2196552361106</v>
      </c>
      <c r="M144" s="220">
        <f t="shared" si="47"/>
        <v>1096.4423151039564</v>
      </c>
      <c r="N144" s="220">
        <f t="shared" si="47"/>
        <v>1130.5619867882356</v>
      </c>
      <c r="O144" s="220">
        <f t="shared" si="47"/>
        <v>1165.6028896079902</v>
      </c>
      <c r="P144" s="220">
        <f t="shared" si="47"/>
        <v>1202.9227489222444</v>
      </c>
      <c r="Q144" s="220">
        <f t="shared" si="47"/>
        <v>1241.2875642972967</v>
      </c>
      <c r="R144" s="220">
        <f t="shared" si="47"/>
        <v>1280.7265945028519</v>
      </c>
      <c r="S144" s="220">
        <f t="shared" si="47"/>
        <v>1321.2699175541616</v>
      </c>
      <c r="T144" s="220">
        <f t="shared" si="47"/>
        <v>1362.5789475675499</v>
      </c>
      <c r="U144" s="220">
        <f t="shared" si="47"/>
        <v>1404.7649249877447</v>
      </c>
      <c r="V144" s="220">
        <f t="shared" si="47"/>
        <v>1448.132109775705</v>
      </c>
      <c r="W144" s="220">
        <f t="shared" si="47"/>
        <v>1492.7135757377282</v>
      </c>
      <c r="X144" s="220">
        <f t="shared" si="47"/>
        <v>1538.5433227466874</v>
      </c>
      <c r="Y144" s="220">
        <f t="shared" si="47"/>
        <v>1585.6563026718982</v>
      </c>
      <c r="AA144" s="606">
        <f t="shared" si="28"/>
        <v>24651.681875343889</v>
      </c>
      <c r="AB144" s="607">
        <f t="shared" si="41"/>
        <v>24651.681875343889</v>
      </c>
    </row>
    <row r="145" spans="1:28" s="199" customFormat="1">
      <c r="A145" s="124" t="s">
        <v>91</v>
      </c>
      <c r="F145" s="213">
        <f>F142+F144</f>
        <v>3426.5074999999997</v>
      </c>
      <c r="G145" s="213">
        <f t="shared" ref="G145:Y145" si="48">G142+G144</f>
        <v>551.58187499999997</v>
      </c>
      <c r="H145" s="213">
        <f t="shared" si="48"/>
        <v>571.88218749999999</v>
      </c>
      <c r="I145" s="213">
        <f t="shared" si="48"/>
        <v>621.28218749999996</v>
      </c>
      <c r="J145" s="213">
        <f t="shared" si="48"/>
        <v>1120.691898620435</v>
      </c>
      <c r="K145" s="213">
        <f t="shared" si="48"/>
        <v>1233.0747305407897</v>
      </c>
      <c r="L145" s="213">
        <f t="shared" si="48"/>
        <v>1283.281216937683</v>
      </c>
      <c r="M145" s="213">
        <f t="shared" si="48"/>
        <v>1322.4455389714713</v>
      </c>
      <c r="N145" s="213">
        <f t="shared" si="48"/>
        <v>1362.6672977001733</v>
      </c>
      <c r="O145" s="213">
        <f t="shared" si="48"/>
        <v>1403.9750439145503</v>
      </c>
      <c r="P145" s="213">
        <f t="shared" si="48"/>
        <v>1447.969323549388</v>
      </c>
      <c r="Q145" s="213">
        <f t="shared" si="48"/>
        <v>1493.1954430140004</v>
      </c>
      <c r="R145" s="213">
        <f t="shared" si="48"/>
        <v>1539.6878938236232</v>
      </c>
      <c r="S145" s="213">
        <f t="shared" si="48"/>
        <v>1587.4821332559145</v>
      </c>
      <c r="T145" s="213">
        <f t="shared" si="48"/>
        <v>1636.2451053089521</v>
      </c>
      <c r="U145" s="213">
        <f t="shared" si="48"/>
        <v>1686.0937351459061</v>
      </c>
      <c r="V145" s="213">
        <f t="shared" si="48"/>
        <v>1737.3381266182951</v>
      </c>
      <c r="W145" s="213">
        <f t="shared" si="48"/>
        <v>1790.0173610519107</v>
      </c>
      <c r="X145" s="213">
        <f t="shared" si="48"/>
        <v>1844.1716140496669</v>
      </c>
      <c r="Y145" s="213">
        <f t="shared" si="48"/>
        <v>1899.8421861313614</v>
      </c>
      <c r="AA145" s="606">
        <f t="shared" si="28"/>
        <v>29559.432398634126</v>
      </c>
      <c r="AB145" s="607">
        <f t="shared" si="41"/>
        <v>29559.432398634126</v>
      </c>
    </row>
    <row r="146" spans="1:28" s="199" customFormat="1">
      <c r="AA146" s="606">
        <f t="shared" si="28"/>
        <v>0</v>
      </c>
      <c r="AB146" s="607">
        <f t="shared" si="41"/>
        <v>0</v>
      </c>
    </row>
    <row r="147" spans="1:28" s="199" customFormat="1">
      <c r="AA147" s="606">
        <f t="shared" si="28"/>
        <v>0</v>
      </c>
      <c r="AB147" s="607">
        <f t="shared" si="41"/>
        <v>0</v>
      </c>
    </row>
    <row r="148" spans="1:28" s="199" customFormat="1">
      <c r="AA148" s="606">
        <f t="shared" si="28"/>
        <v>0</v>
      </c>
      <c r="AB148" s="607">
        <f t="shared" si="41"/>
        <v>0</v>
      </c>
    </row>
    <row r="149" spans="1:28" s="199" customFormat="1">
      <c r="A149" s="131" t="s">
        <v>239</v>
      </c>
      <c r="AA149" s="606">
        <f t="shared" si="28"/>
        <v>0</v>
      </c>
      <c r="AB149" s="607">
        <f t="shared" si="41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189.57249999999999</v>
      </c>
      <c r="G150" s="200">
        <f t="shared" ref="G150:Y150" si="49">G142</f>
        <v>193.89500000000001</v>
      </c>
      <c r="H150" s="200">
        <f t="shared" si="49"/>
        <v>198.2175</v>
      </c>
      <c r="I150" s="200">
        <f t="shared" si="49"/>
        <v>203.15750000000003</v>
      </c>
      <c r="J150" s="200">
        <f t="shared" si="49"/>
        <v>208.64275249999997</v>
      </c>
      <c r="K150" s="200">
        <f t="shared" si="49"/>
        <v>214.27610681749999</v>
      </c>
      <c r="L150" s="200">
        <f t="shared" si="49"/>
        <v>220.06156170157243</v>
      </c>
      <c r="M150" s="200">
        <f t="shared" si="49"/>
        <v>226.00322386751489</v>
      </c>
      <c r="N150" s="200">
        <f t="shared" si="49"/>
        <v>232.10531091193775</v>
      </c>
      <c r="O150" s="200">
        <f t="shared" si="49"/>
        <v>238.37215430656008</v>
      </c>
      <c r="P150" s="200">
        <f t="shared" si="49"/>
        <v>245.04657462714371</v>
      </c>
      <c r="Q150" s="200">
        <f t="shared" si="49"/>
        <v>251.90787871670375</v>
      </c>
      <c r="R150" s="200">
        <f t="shared" si="49"/>
        <v>258.96129932077145</v>
      </c>
      <c r="S150" s="200">
        <f t="shared" si="49"/>
        <v>266.21221570175305</v>
      </c>
      <c r="T150" s="200">
        <f t="shared" si="49"/>
        <v>273.66615774140212</v>
      </c>
      <c r="U150" s="200">
        <f t="shared" si="49"/>
        <v>281.32881015816145</v>
      </c>
      <c r="V150" s="200">
        <f t="shared" si="49"/>
        <v>289.20601684258997</v>
      </c>
      <c r="W150" s="200">
        <f t="shared" si="49"/>
        <v>297.30378531418251</v>
      </c>
      <c r="X150" s="200">
        <f t="shared" si="49"/>
        <v>305.62829130297962</v>
      </c>
      <c r="Y150" s="200">
        <f t="shared" si="49"/>
        <v>314.18588345946307</v>
      </c>
      <c r="AA150" s="606">
        <f t="shared" si="28"/>
        <v>4907.7505232902358</v>
      </c>
      <c r="AB150" s="607">
        <f t="shared" si="41"/>
        <v>4907.7505232902358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8"/>
        <v>0</v>
      </c>
      <c r="AB151" s="607">
        <f t="shared" si="41"/>
        <v>0</v>
      </c>
    </row>
    <row r="152" spans="1:28" s="199" customFormat="1">
      <c r="F152" s="200">
        <f>F150+F151</f>
        <v>189.57249999999999</v>
      </c>
      <c r="G152" s="200">
        <f t="shared" ref="G152:Y152" si="50">G150+G151</f>
        <v>193.89500000000001</v>
      </c>
      <c r="H152" s="200">
        <f t="shared" si="50"/>
        <v>198.2175</v>
      </c>
      <c r="I152" s="200">
        <f t="shared" si="50"/>
        <v>203.15750000000003</v>
      </c>
      <c r="J152" s="200">
        <f t="shared" si="50"/>
        <v>208.64275249999997</v>
      </c>
      <c r="K152" s="200">
        <f t="shared" si="50"/>
        <v>214.27610681749999</v>
      </c>
      <c r="L152" s="200">
        <f t="shared" si="50"/>
        <v>220.06156170157243</v>
      </c>
      <c r="M152" s="200">
        <f t="shared" si="50"/>
        <v>226.00322386751489</v>
      </c>
      <c r="N152" s="200">
        <f t="shared" si="50"/>
        <v>232.10531091193775</v>
      </c>
      <c r="O152" s="200">
        <f t="shared" si="50"/>
        <v>238.37215430656008</v>
      </c>
      <c r="P152" s="200">
        <f t="shared" si="50"/>
        <v>245.04657462714371</v>
      </c>
      <c r="Q152" s="200">
        <f t="shared" si="50"/>
        <v>251.90787871670375</v>
      </c>
      <c r="R152" s="200">
        <f t="shared" si="50"/>
        <v>258.96129932077145</v>
      </c>
      <c r="S152" s="200">
        <f t="shared" si="50"/>
        <v>266.21221570175305</v>
      </c>
      <c r="T152" s="200">
        <f t="shared" si="50"/>
        <v>273.66615774140212</v>
      </c>
      <c r="U152" s="200">
        <f t="shared" si="50"/>
        <v>281.32881015816145</v>
      </c>
      <c r="V152" s="200">
        <f t="shared" si="50"/>
        <v>289.20601684258997</v>
      </c>
      <c r="W152" s="200">
        <f t="shared" si="50"/>
        <v>297.30378531418251</v>
      </c>
      <c r="X152" s="200">
        <f t="shared" si="50"/>
        <v>305.62829130297962</v>
      </c>
      <c r="Y152" s="200">
        <f t="shared" si="50"/>
        <v>314.18588345946307</v>
      </c>
      <c r="AA152" s="606">
        <f t="shared" si="28"/>
        <v>4907.7505232902358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2078.8346748804479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D102*C60</f>
        <v>39161.932903173089</v>
      </c>
    </row>
    <row r="161" spans="1:25" s="199" customFormat="1">
      <c r="A161" s="134" t="s">
        <v>85</v>
      </c>
      <c r="B161" s="135"/>
      <c r="C161" s="135"/>
      <c r="D161" s="356">
        <f>[20]DEBT!$L$86</f>
        <v>7002</v>
      </c>
      <c r="E161" s="199" t="s">
        <v>263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2078.8346748804479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48242.767578053536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[19]FIN!G$21</f>
        <v>4207.1055704930832</v>
      </c>
      <c r="F11" s="336">
        <f>[19]FIN!H$21</f>
        <v>4111.4911006658358</v>
      </c>
      <c r="G11" s="336">
        <f>[19]FIN!I$21</f>
        <v>4066.303272172916</v>
      </c>
      <c r="H11" s="336">
        <f>[19]FIN!J$21</f>
        <v>4059.7756342560033</v>
      </c>
      <c r="I11" s="336">
        <f>[19]FIN!K$21</f>
        <v>4048.6611532705465</v>
      </c>
      <c r="J11" s="336">
        <f>[19]FIN!L$21</f>
        <v>4397.7377766985219</v>
      </c>
      <c r="K11" s="336">
        <f>[19]FIN!M$21</f>
        <v>4509.4209404757403</v>
      </c>
      <c r="L11" s="336">
        <f>[19]FIN!N$21</f>
        <v>4621.1041042529596</v>
      </c>
      <c r="M11" s="336">
        <f>[19]FIN!O$21</f>
        <v>4732.787268030178</v>
      </c>
      <c r="N11" s="336">
        <f>[19]FIN!P$21</f>
        <v>4844.4704318073973</v>
      </c>
      <c r="O11" s="336">
        <f>[19]FIN!Q$21</f>
        <v>4956.1535955846157</v>
      </c>
      <c r="P11" s="336">
        <f>[19]FIN!R$21</f>
        <v>5043.3696281283273</v>
      </c>
      <c r="Q11" s="336">
        <f>[19]FIN!S$21</f>
        <v>5130.5856606720372</v>
      </c>
      <c r="R11" s="336">
        <f>[19]FIN!T$21</f>
        <v>5217.801693215747</v>
      </c>
      <c r="S11" s="336">
        <f>[19]FIN!U$21</f>
        <v>5305.0177257594578</v>
      </c>
      <c r="T11" s="336">
        <f>[19]FIN!V$21</f>
        <v>3434.3443341534526</v>
      </c>
      <c r="U11" s="336">
        <f>[19]FIN!W$21</f>
        <v>3468.9075073938129</v>
      </c>
      <c r="V11" s="336">
        <f>[19]FIN!X$21</f>
        <v>3672.3991086417909</v>
      </c>
      <c r="W11" s="336">
        <f>[19]FIN!Y$21</f>
        <v>2697.4157513699129</v>
      </c>
      <c r="X11" s="336">
        <f>[19]FIN!Z$21</f>
        <v>0</v>
      </c>
      <c r="Y11" s="336">
        <f>[19]FIN!AA$21</f>
        <v>0</v>
      </c>
      <c r="AA11" s="606">
        <f t="shared" si="1"/>
        <v>78317.746686549275</v>
      </c>
      <c r="AB11" s="607">
        <f t="shared" ref="AB11:AB74" si="2">AA11*$C$60</f>
        <v>39158.873343274638</v>
      </c>
    </row>
    <row r="12" spans="1:28">
      <c r="A12" s="4" t="s">
        <v>247</v>
      </c>
      <c r="B12" s="12"/>
      <c r="C12" s="12"/>
      <c r="D12" s="90">
        <v>1</v>
      </c>
      <c r="E12" s="336">
        <f>SUM([19]FIN!G$22:G$26)</f>
        <v>536.8937801434912</v>
      </c>
      <c r="F12" s="336">
        <f>SUM([19]FIN!H$22:H$26)</f>
        <v>537.64337130620083</v>
      </c>
      <c r="G12" s="336">
        <f>SUM([19]FIN!I$22:I$26)</f>
        <v>539.36043606185376</v>
      </c>
      <c r="H12" s="336">
        <f>SUM([19]FIN!J$22:J$26)</f>
        <v>541.83184035995009</v>
      </c>
      <c r="I12" s="336">
        <f>SUM([19]FIN!K$22:K$26)</f>
        <v>544.27157564818242</v>
      </c>
      <c r="J12" s="336">
        <f>SUM([19]FIN!L$22:L$26)</f>
        <v>553.31903190556682</v>
      </c>
      <c r="K12" s="336">
        <f>SUM([19]FIN!M$22:M$26)</f>
        <v>558.10021756635047</v>
      </c>
      <c r="L12" s="336">
        <f>SUM([19]FIN!N$22:N$26)</f>
        <v>562.93637797179292</v>
      </c>
      <c r="M12" s="336">
        <f>SUM([19]FIN!O$22:O$26)</f>
        <v>567.82861261678727</v>
      </c>
      <c r="N12" s="336">
        <f>SUM([19]FIN!P$22:P$26)</f>
        <v>572.77804298612477</v>
      </c>
      <c r="O12" s="336">
        <f>SUM([19]FIN!Q$22:Q$26)</f>
        <v>577.78581299429197</v>
      </c>
      <c r="P12" s="336">
        <f>SUM([19]FIN!R$22:R$26)</f>
        <v>582.40782820822346</v>
      </c>
      <c r="Q12" s="336">
        <f>SUM([19]FIN!S$22:S$26)</f>
        <v>587.09053998239335</v>
      </c>
      <c r="R12" s="336">
        <f>SUM([19]FIN!T$22:T$26)</f>
        <v>591.83516224800667</v>
      </c>
      <c r="S12" s="336">
        <f>SUM([19]FIN!U$22:U$26)</f>
        <v>596.64293321489231</v>
      </c>
      <c r="T12" s="336">
        <f>SUM([19]FIN!V$22:V$26)</f>
        <v>513.79347613587981</v>
      </c>
      <c r="U12" s="336">
        <f>SUM([19]FIN!W$22:W$26)</f>
        <v>511.68546279824352</v>
      </c>
      <c r="V12" s="336">
        <f>SUM([19]FIN!X$22:X$26)</f>
        <v>515.10317205420836</v>
      </c>
      <c r="W12" s="336">
        <f>SUM([19]FIN!Y$22:Y$26)</f>
        <v>518.58923549529254</v>
      </c>
      <c r="X12" s="336">
        <f>SUM([19]FIN!Z$22:Z$26)</f>
        <v>430.23042092311152</v>
      </c>
      <c r="Y12" s="336">
        <f>SUM([19]FIN!AA$22:AA$26)</f>
        <v>0</v>
      </c>
      <c r="AA12" s="606">
        <f t="shared" si="1"/>
        <v>10403.233550477353</v>
      </c>
      <c r="AB12" s="607">
        <f t="shared" si="2"/>
        <v>5201.6167752386764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4743.9993506365745</v>
      </c>
      <c r="F20" s="90">
        <f t="shared" si="3"/>
        <v>4649.1344719720364</v>
      </c>
      <c r="G20" s="90">
        <f t="shared" si="3"/>
        <v>4605.6637082347697</v>
      </c>
      <c r="H20" s="90">
        <f t="shared" si="3"/>
        <v>4601.6074746159538</v>
      </c>
      <c r="I20" s="90">
        <f t="shared" si="3"/>
        <v>4592.9327289187286</v>
      </c>
      <c r="J20" s="90">
        <f t="shared" si="3"/>
        <v>4951.0568086040885</v>
      </c>
      <c r="K20" s="90">
        <f t="shared" si="3"/>
        <v>5067.521158042091</v>
      </c>
      <c r="L20" s="90">
        <f t="shared" si="3"/>
        <v>5184.0404822247529</v>
      </c>
      <c r="M20" s="90">
        <f t="shared" si="3"/>
        <v>5300.6158806469648</v>
      </c>
      <c r="N20" s="90">
        <f t="shared" si="3"/>
        <v>5417.2484747935223</v>
      </c>
      <c r="O20" s="90">
        <f t="shared" si="3"/>
        <v>5533.9394085789081</v>
      </c>
      <c r="P20" s="90">
        <f t="shared" si="3"/>
        <v>5625.777456336551</v>
      </c>
      <c r="Q20" s="90">
        <f t="shared" si="3"/>
        <v>5717.6762006544304</v>
      </c>
      <c r="R20" s="90">
        <f t="shared" si="3"/>
        <v>5809.6368554637538</v>
      </c>
      <c r="S20" s="90">
        <f t="shared" si="3"/>
        <v>5901.6606589743496</v>
      </c>
      <c r="T20" s="90">
        <f t="shared" si="3"/>
        <v>3948.1378102893323</v>
      </c>
      <c r="U20" s="90">
        <f t="shared" si="3"/>
        <v>3980.5929701920563</v>
      </c>
      <c r="V20" s="90">
        <f t="shared" si="3"/>
        <v>4187.5022806959996</v>
      </c>
      <c r="W20" s="90">
        <f t="shared" si="3"/>
        <v>3216.0049868652054</v>
      </c>
      <c r="X20" s="90">
        <f t="shared" si="3"/>
        <v>430.23042092311152</v>
      </c>
      <c r="Y20" s="90">
        <f t="shared" si="3"/>
        <v>0</v>
      </c>
      <c r="AA20" s="606">
        <f t="shared" si="1"/>
        <v>88720.980237026612</v>
      </c>
      <c r="AB20" s="607">
        <f t="shared" si="2"/>
        <v>44360.490118513306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[19]FIN!G$49-[19]FIN!G$45</f>
        <v>2383.1836349854916</v>
      </c>
      <c r="F25" s="336">
        <f>[19]FIN!H$49-[19]FIN!H$45</f>
        <v>2426.8105523737186</v>
      </c>
      <c r="G25" s="336">
        <f>[19]FIN!I$49-[19]FIN!I$45</f>
        <v>2388.6229989852886</v>
      </c>
      <c r="H25" s="336">
        <f>[19]FIN!J$49-[19]FIN!J$45</f>
        <v>2414.1285206879174</v>
      </c>
      <c r="I25" s="336">
        <f>[19]FIN!K$49-[19]FIN!K$45</f>
        <v>2438.8830024986951</v>
      </c>
      <c r="J25" s="336">
        <f>[19]FIN!L$49-[19]FIN!L$45</f>
        <v>2566.0594632012794</v>
      </c>
      <c r="K25" s="336">
        <f>[19]FIN!M$49-[19]FIN!M$45</f>
        <v>2626.6673460148231</v>
      </c>
      <c r="L25" s="336">
        <f>[19]FIN!N$49-[19]FIN!N$45</f>
        <v>2687.8547605651547</v>
      </c>
      <c r="M25" s="336">
        <f>[19]FIN!O$49-[19]FIN!O$45</f>
        <v>2749.6332793884535</v>
      </c>
      <c r="N25" s="336">
        <f>[19]FIN!P$49-[19]FIN!P$45</f>
        <v>2812.0147061186999</v>
      </c>
      <c r="O25" s="336">
        <f>[19]FIN!Q$49-[19]FIN!Q$45</f>
        <v>2875.0110801027504</v>
      </c>
      <c r="P25" s="336">
        <f>[19]FIN!R$49-[19]FIN!R$45</f>
        <v>2931.7151812631182</v>
      </c>
      <c r="Q25" s="336">
        <f>[19]FIN!S$49-[19]FIN!S$45</f>
        <v>2989.0590344326033</v>
      </c>
      <c r="R25" s="336">
        <f>[19]FIN!T$49-[19]FIN!T$45</f>
        <v>3047.0554147180474</v>
      </c>
      <c r="S25" s="336">
        <f>[19]FIN!U$49-[19]FIN!U$45</f>
        <v>3105.7173523397282</v>
      </c>
      <c r="T25" s="336">
        <f>[19]FIN!V$49-[19]FIN!V$45</f>
        <v>1928.5429994620551</v>
      </c>
      <c r="U25" s="336">
        <f>[19]FIN!W$49-[19]FIN!W$45</f>
        <v>1846.4216333963427</v>
      </c>
      <c r="V25" s="336">
        <f>[19]FIN!X$49-[19]FIN!X$45</f>
        <v>1884.2926925530614</v>
      </c>
      <c r="W25" s="336">
        <f>[19]FIN!Y$49-[19]FIN!Y$45</f>
        <v>1358.951773620382</v>
      </c>
      <c r="X25" s="336">
        <f>[19]FIN!Z$49-[19]FIN!Z$45</f>
        <v>0</v>
      </c>
      <c r="Y25" s="336">
        <f>[19]FIN!AA$49-[19]FIN!AA$45</f>
        <v>0</v>
      </c>
      <c r="AA25" s="606">
        <f t="shared" si="1"/>
        <v>45077.441791722122</v>
      </c>
      <c r="AB25" s="607">
        <f t="shared" si="2"/>
        <v>22538.720895861061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[19]FIN!G$45</f>
        <v>51</v>
      </c>
      <c r="F34" s="336">
        <f>[19]FIN!H$45</f>
        <v>52.02</v>
      </c>
      <c r="G34" s="336">
        <f>[19]FIN!I$45</f>
        <v>53.060400000000001</v>
      </c>
      <c r="H34" s="336">
        <f>[19]FIN!J$45</f>
        <v>54.121608000000002</v>
      </c>
      <c r="I34" s="336">
        <f>[19]FIN!K$45</f>
        <v>55.204040160000005</v>
      </c>
      <c r="J34" s="336">
        <f>[19]FIN!L$45</f>
        <v>56.308120963200004</v>
      </c>
      <c r="K34" s="336">
        <f>[19]FIN!M$45</f>
        <v>57.434283382464002</v>
      </c>
      <c r="L34" s="336">
        <f>[19]FIN!N$45</f>
        <v>58.582969050113284</v>
      </c>
      <c r="M34" s="336">
        <f>[19]FIN!O$45</f>
        <v>59.754628431115549</v>
      </c>
      <c r="N34" s="336">
        <f>[19]FIN!P$45</f>
        <v>60.949720999737863</v>
      </c>
      <c r="O34" s="336">
        <f>[19]FIN!Q$45</f>
        <v>62.168715419732621</v>
      </c>
      <c r="P34" s="336">
        <f>[19]FIN!R$45</f>
        <v>63.412089728127278</v>
      </c>
      <c r="Q34" s="336">
        <f>[19]FIN!S$45</f>
        <v>64.680331522689826</v>
      </c>
      <c r="R34" s="336">
        <f>[19]FIN!T$45</f>
        <v>65.973938153143621</v>
      </c>
      <c r="S34" s="336">
        <f>[19]FIN!U$45</f>
        <v>67.293416916206496</v>
      </c>
      <c r="T34" s="336">
        <f>[19]FIN!V$45</f>
        <v>68.639285254530634</v>
      </c>
      <c r="U34" s="336">
        <f>[19]FIN!W$45</f>
        <v>70.012070959621255</v>
      </c>
      <c r="V34" s="336">
        <f>[19]FIN!X$45</f>
        <v>71.412312378813681</v>
      </c>
      <c r="W34" s="336">
        <f>[19]FIN!Y$45</f>
        <v>50.489483102675777</v>
      </c>
      <c r="X34" s="336">
        <f>[19]FIN!Z$45</f>
        <v>0</v>
      </c>
      <c r="Y34" s="336">
        <f>[19]FIN!AA$45</f>
        <v>0</v>
      </c>
      <c r="AA34" s="606">
        <f t="shared" si="1"/>
        <v>1091.5174144221719</v>
      </c>
      <c r="AB34" s="607">
        <f t="shared" si="2"/>
        <v>545.75870721108595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2434.1836349854916</v>
      </c>
      <c r="F36" s="90">
        <f t="shared" si="4"/>
        <v>2478.8305523737185</v>
      </c>
      <c r="G36" s="90">
        <f t="shared" si="4"/>
        <v>2441.6833989852885</v>
      </c>
      <c r="H36" s="90">
        <f t="shared" si="4"/>
        <v>2468.2501286879174</v>
      </c>
      <c r="I36" s="90">
        <f t="shared" si="4"/>
        <v>2494.0870426586953</v>
      </c>
      <c r="J36" s="90">
        <f t="shared" si="4"/>
        <v>2622.3675841644795</v>
      </c>
      <c r="K36" s="90">
        <f t="shared" si="4"/>
        <v>2684.1016293972871</v>
      </c>
      <c r="L36" s="90">
        <f t="shared" si="4"/>
        <v>2746.4377296152679</v>
      </c>
      <c r="M36" s="90">
        <f t="shared" si="4"/>
        <v>2809.3879078195691</v>
      </c>
      <c r="N36" s="90">
        <f t="shared" si="4"/>
        <v>2872.9644271184379</v>
      </c>
      <c r="O36" s="90">
        <f t="shared" si="4"/>
        <v>2937.1797955224829</v>
      </c>
      <c r="P36" s="90">
        <f t="shared" si="4"/>
        <v>2995.1272709912455</v>
      </c>
      <c r="Q36" s="90">
        <f t="shared" si="4"/>
        <v>3053.7393659552931</v>
      </c>
      <c r="R36" s="90">
        <f t="shared" si="4"/>
        <v>3113.0293528711909</v>
      </c>
      <c r="S36" s="90">
        <f t="shared" si="4"/>
        <v>3173.0107692559345</v>
      </c>
      <c r="T36" s="90">
        <f t="shared" si="4"/>
        <v>1997.1822847165859</v>
      </c>
      <c r="U36" s="90">
        <f t="shared" si="4"/>
        <v>1916.433704355964</v>
      </c>
      <c r="V36" s="90">
        <f t="shared" si="4"/>
        <v>1955.705004931875</v>
      </c>
      <c r="W36" s="90">
        <f t="shared" si="4"/>
        <v>1409.4412567230579</v>
      </c>
      <c r="X36" s="90">
        <f t="shared" si="4"/>
        <v>0</v>
      </c>
      <c r="Y36" s="90">
        <f t="shared" si="4"/>
        <v>0</v>
      </c>
      <c r="AA36" s="606">
        <f t="shared" si="1"/>
        <v>46168.959206144296</v>
      </c>
      <c r="AB36" s="607">
        <f t="shared" si="2"/>
        <v>23084.479603072148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2309.8157156510829</v>
      </c>
      <c r="F39" s="93">
        <f t="shared" si="5"/>
        <v>2170.3039195983179</v>
      </c>
      <c r="G39" s="93">
        <f t="shared" si="5"/>
        <v>2163.9803092494813</v>
      </c>
      <c r="H39" s="93">
        <f t="shared" si="5"/>
        <v>2133.3573459280365</v>
      </c>
      <c r="I39" s="93">
        <f t="shared" si="5"/>
        <v>2098.8456862600333</v>
      </c>
      <c r="J39" s="93">
        <f t="shared" si="5"/>
        <v>2328.689224439609</v>
      </c>
      <c r="K39" s="93">
        <f t="shared" si="5"/>
        <v>2383.4195286448039</v>
      </c>
      <c r="L39" s="93">
        <f t="shared" si="5"/>
        <v>2437.6027526094849</v>
      </c>
      <c r="M39" s="93">
        <f t="shared" si="5"/>
        <v>2491.2279728273957</v>
      </c>
      <c r="N39" s="93">
        <f t="shared" si="5"/>
        <v>2544.2840476750844</v>
      </c>
      <c r="O39" s="93">
        <f t="shared" si="5"/>
        <v>2596.7596130564252</v>
      </c>
      <c r="P39" s="93">
        <f t="shared" si="5"/>
        <v>2630.6501853453055</v>
      </c>
      <c r="Q39" s="93">
        <f t="shared" si="5"/>
        <v>2663.9368346991373</v>
      </c>
      <c r="R39" s="93">
        <f t="shared" si="5"/>
        <v>2696.6075025925629</v>
      </c>
      <c r="S39" s="93">
        <f t="shared" si="5"/>
        <v>2728.6498897184151</v>
      </c>
      <c r="T39" s="93">
        <f t="shared" si="5"/>
        <v>1950.9555255727464</v>
      </c>
      <c r="U39" s="93">
        <f t="shared" si="5"/>
        <v>2064.1592658360923</v>
      </c>
      <c r="V39" s="93">
        <f t="shared" si="5"/>
        <v>2231.7972757641246</v>
      </c>
      <c r="W39" s="93">
        <f t="shared" si="5"/>
        <v>1806.5637301421475</v>
      </c>
      <c r="X39" s="93">
        <f t="shared" si="5"/>
        <v>430.23042092311152</v>
      </c>
      <c r="Y39" s="93">
        <f t="shared" si="5"/>
        <v>0</v>
      </c>
      <c r="AA39" s="606">
        <f>SUM(F39:Y39)</f>
        <v>42552.021030882315</v>
      </c>
      <c r="AB39" s="607">
        <f t="shared" si="2"/>
        <v>21276.010515441158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722</v>
      </c>
      <c r="G41" s="90">
        <f t="shared" ref="G41:Y41" si="7">+G109</f>
        <v>722</v>
      </c>
      <c r="H41" s="90">
        <f t="shared" si="7"/>
        <v>722</v>
      </c>
      <c r="I41" s="90">
        <f t="shared" si="7"/>
        <v>722</v>
      </c>
      <c r="J41" s="90">
        <f t="shared" si="7"/>
        <v>722</v>
      </c>
      <c r="K41" s="90">
        <f t="shared" si="7"/>
        <v>722</v>
      </c>
      <c r="L41" s="90">
        <f t="shared" si="7"/>
        <v>722</v>
      </c>
      <c r="M41" s="90">
        <f t="shared" si="7"/>
        <v>722</v>
      </c>
      <c r="N41" s="90">
        <f t="shared" si="7"/>
        <v>722</v>
      </c>
      <c r="O41" s="90">
        <f t="shared" si="7"/>
        <v>722</v>
      </c>
      <c r="P41" s="90">
        <f t="shared" si="7"/>
        <v>722</v>
      </c>
      <c r="Q41" s="90">
        <f t="shared" si="7"/>
        <v>722</v>
      </c>
      <c r="R41" s="90">
        <f t="shared" si="7"/>
        <v>722</v>
      </c>
      <c r="S41" s="90">
        <f t="shared" si="7"/>
        <v>722</v>
      </c>
      <c r="T41" s="90">
        <f t="shared" si="7"/>
        <v>722</v>
      </c>
      <c r="U41" s="90">
        <f t="shared" si="7"/>
        <v>722</v>
      </c>
      <c r="V41" s="90">
        <f t="shared" si="7"/>
        <v>722</v>
      </c>
      <c r="W41" s="90">
        <f t="shared" si="7"/>
        <v>722</v>
      </c>
      <c r="X41" s="90">
        <f t="shared" si="7"/>
        <v>722</v>
      </c>
      <c r="Y41" s="90">
        <f t="shared" si="7"/>
        <v>0</v>
      </c>
      <c r="AA41" s="606">
        <f t="shared" si="6"/>
        <v>13718</v>
      </c>
      <c r="AB41" s="607">
        <f t="shared" si="2"/>
        <v>6859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2309.8157156510829</v>
      </c>
      <c r="F44" s="93">
        <f t="shared" si="8"/>
        <v>1448.3039195983179</v>
      </c>
      <c r="G44" s="93">
        <f t="shared" si="8"/>
        <v>1441.9803092494813</v>
      </c>
      <c r="H44" s="93">
        <f t="shared" si="8"/>
        <v>1411.3573459280365</v>
      </c>
      <c r="I44" s="93">
        <f t="shared" si="8"/>
        <v>1376.8456862600333</v>
      </c>
      <c r="J44" s="93">
        <f t="shared" si="8"/>
        <v>1606.689224439609</v>
      </c>
      <c r="K44" s="93">
        <f t="shared" si="8"/>
        <v>1661.4195286448039</v>
      </c>
      <c r="L44" s="93">
        <f t="shared" si="8"/>
        <v>1715.6027526094849</v>
      </c>
      <c r="M44" s="93">
        <f t="shared" si="8"/>
        <v>1769.2279728273957</v>
      </c>
      <c r="N44" s="93">
        <f t="shared" si="8"/>
        <v>1822.2840476750844</v>
      </c>
      <c r="O44" s="93">
        <f t="shared" si="8"/>
        <v>1874.7596130564252</v>
      </c>
      <c r="P44" s="93">
        <f t="shared" si="8"/>
        <v>1908.6501853453055</v>
      </c>
      <c r="Q44" s="93">
        <f t="shared" si="8"/>
        <v>1941.9368346991373</v>
      </c>
      <c r="R44" s="93">
        <f t="shared" si="8"/>
        <v>1974.6075025925629</v>
      </c>
      <c r="S44" s="93">
        <f t="shared" si="8"/>
        <v>2006.6498897184151</v>
      </c>
      <c r="T44" s="93">
        <f t="shared" si="8"/>
        <v>1228.9555255727464</v>
      </c>
      <c r="U44" s="93">
        <f t="shared" si="8"/>
        <v>1342.1592658360923</v>
      </c>
      <c r="V44" s="93">
        <f t="shared" si="8"/>
        <v>1509.7972757641246</v>
      </c>
      <c r="W44" s="93">
        <f t="shared" si="8"/>
        <v>1084.5637301421475</v>
      </c>
      <c r="X44" s="93">
        <f t="shared" si="8"/>
        <v>-291.76957907688848</v>
      </c>
      <c r="Y44" s="93">
        <f t="shared" si="8"/>
        <v>0</v>
      </c>
      <c r="AA44" s="606">
        <f t="shared" si="6"/>
        <v>28834.021030882315</v>
      </c>
      <c r="AB44" s="607">
        <f t="shared" si="2"/>
        <v>14417.010515441158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2309.8157156510829</v>
      </c>
      <c r="F49" s="93">
        <f t="shared" si="9"/>
        <v>1448.3039195983179</v>
      </c>
      <c r="G49" s="93">
        <f t="shared" si="9"/>
        <v>1441.9803092494813</v>
      </c>
      <c r="H49" s="93">
        <f t="shared" si="9"/>
        <v>1411.3573459280365</v>
      </c>
      <c r="I49" s="93">
        <f t="shared" si="9"/>
        <v>1376.8456862600333</v>
      </c>
      <c r="J49" s="93">
        <f t="shared" si="9"/>
        <v>1606.689224439609</v>
      </c>
      <c r="K49" s="93">
        <f t="shared" si="9"/>
        <v>1661.4195286448039</v>
      </c>
      <c r="L49" s="93">
        <f t="shared" si="9"/>
        <v>1715.6027526094849</v>
      </c>
      <c r="M49" s="93">
        <f t="shared" si="9"/>
        <v>1769.2279728273957</v>
      </c>
      <c r="N49" s="93">
        <f t="shared" si="9"/>
        <v>1822.2840476750844</v>
      </c>
      <c r="O49" s="93">
        <f t="shared" si="9"/>
        <v>1874.7596130564252</v>
      </c>
      <c r="P49" s="93">
        <f t="shared" si="9"/>
        <v>1908.6501853453055</v>
      </c>
      <c r="Q49" s="93">
        <f t="shared" si="9"/>
        <v>1941.9368346991373</v>
      </c>
      <c r="R49" s="93">
        <f t="shared" si="9"/>
        <v>1974.6075025925629</v>
      </c>
      <c r="S49" s="93">
        <f t="shared" si="9"/>
        <v>2006.6498897184151</v>
      </c>
      <c r="T49" s="93">
        <f t="shared" si="9"/>
        <v>1228.9555255727464</v>
      </c>
      <c r="U49" s="93">
        <f t="shared" si="9"/>
        <v>1342.1592658360923</v>
      </c>
      <c r="V49" s="93">
        <f t="shared" si="9"/>
        <v>1509.7972757641246</v>
      </c>
      <c r="W49" s="93">
        <f t="shared" si="9"/>
        <v>1084.5637301421475</v>
      </c>
      <c r="X49" s="93">
        <f t="shared" si="9"/>
        <v>-291.76957907688848</v>
      </c>
      <c r="Y49" s="93">
        <f t="shared" si="9"/>
        <v>0</v>
      </c>
      <c r="AA49" s="606">
        <f t="shared" si="6"/>
        <v>28834.021030882315</v>
      </c>
      <c r="AB49" s="607">
        <f t="shared" si="2"/>
        <v>14417.010515441158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-115.49078578255416</v>
      </c>
      <c r="F51" s="90">
        <f t="shared" si="10"/>
        <v>-72.415195979915893</v>
      </c>
      <c r="G51" s="55">
        <f t="shared" si="10"/>
        <v>-72.099015462474071</v>
      </c>
      <c r="H51" s="90">
        <f t="shared" si="10"/>
        <v>-70.567867296401829</v>
      </c>
      <c r="I51" s="90">
        <f t="shared" si="10"/>
        <v>-68.84228431300167</v>
      </c>
      <c r="J51" s="90">
        <f t="shared" si="10"/>
        <v>-80.334461221980462</v>
      </c>
      <c r="K51" s="90">
        <f t="shared" si="10"/>
        <v>-83.070976432240201</v>
      </c>
      <c r="L51" s="90">
        <f t="shared" si="10"/>
        <v>-85.780137630474258</v>
      </c>
      <c r="M51" s="90">
        <f t="shared" si="10"/>
        <v>-88.461398641369783</v>
      </c>
      <c r="N51" s="90">
        <f t="shared" si="10"/>
        <v>-91.114202383754218</v>
      </c>
      <c r="O51" s="90">
        <f t="shared" si="10"/>
        <v>-93.737980652821264</v>
      </c>
      <c r="P51" s="90">
        <f t="shared" si="10"/>
        <v>-95.432509267265289</v>
      </c>
      <c r="Q51" s="90">
        <f t="shared" si="10"/>
        <v>-97.096841734956868</v>
      </c>
      <c r="R51" s="90">
        <f t="shared" si="10"/>
        <v>-98.730375129628158</v>
      </c>
      <c r="S51" s="90">
        <f t="shared" si="10"/>
        <v>-100.33249448592076</v>
      </c>
      <c r="T51" s="90">
        <f t="shared" si="10"/>
        <v>-61.447776278637321</v>
      </c>
      <c r="U51" s="90">
        <f t="shared" si="10"/>
        <v>-67.107963291804623</v>
      </c>
      <c r="V51" s="90">
        <f t="shared" si="10"/>
        <v>-75.489863788206236</v>
      </c>
      <c r="W51" s="90">
        <f t="shared" si="10"/>
        <v>-54.228186507107381</v>
      </c>
      <c r="X51" s="90">
        <f t="shared" si="10"/>
        <v>14.588478953844424</v>
      </c>
      <c r="Y51" s="90">
        <f t="shared" si="10"/>
        <v>0</v>
      </c>
      <c r="AA51" s="606">
        <f t="shared" si="6"/>
        <v>-1441.7010515441161</v>
      </c>
      <c r="AB51" s="607">
        <f t="shared" si="2"/>
        <v>-720.85052577205806</v>
      </c>
    </row>
    <row r="52" spans="1:28">
      <c r="A52" s="4" t="s">
        <v>29</v>
      </c>
      <c r="C52" s="341">
        <v>0.35</v>
      </c>
      <c r="D52" s="89"/>
      <c r="E52" s="89">
        <f>((E49+E51)*-$C$52)+E56</f>
        <v>6.0460135328311253</v>
      </c>
      <c r="F52" s="89">
        <f t="shared" ref="F52:Y52" si="11">((F49+F51)*-$C$52)+F56</f>
        <v>292.49868572037548</v>
      </c>
      <c r="G52" s="89">
        <f t="shared" si="11"/>
        <v>337.60460499396453</v>
      </c>
      <c r="H52" s="89">
        <f t="shared" si="11"/>
        <v>347.78674029834497</v>
      </c>
      <c r="I52" s="89">
        <f t="shared" si="11"/>
        <v>-193.2698612545995</v>
      </c>
      <c r="J52" s="89">
        <f t="shared" si="11"/>
        <v>-534.22416712616996</v>
      </c>
      <c r="K52" s="89">
        <f t="shared" si="11"/>
        <v>-552.42199327439721</v>
      </c>
      <c r="L52" s="89">
        <f t="shared" si="11"/>
        <v>-570.43791524265373</v>
      </c>
      <c r="M52" s="89">
        <f t="shared" si="11"/>
        <v>-588.26830096510901</v>
      </c>
      <c r="N52" s="89">
        <f t="shared" si="11"/>
        <v>-605.90944585196553</v>
      </c>
      <c r="O52" s="89">
        <f t="shared" si="11"/>
        <v>-623.35757134126129</v>
      </c>
      <c r="P52" s="89">
        <f t="shared" si="11"/>
        <v>-634.62618662731404</v>
      </c>
      <c r="Q52" s="89">
        <f t="shared" si="11"/>
        <v>-645.69399753746313</v>
      </c>
      <c r="R52" s="89">
        <f t="shared" si="11"/>
        <v>-656.5569946120271</v>
      </c>
      <c r="S52" s="89">
        <f t="shared" si="11"/>
        <v>-667.21108833137305</v>
      </c>
      <c r="T52" s="89">
        <f t="shared" si="11"/>
        <v>-408.62771225293818</v>
      </c>
      <c r="U52" s="89">
        <f t="shared" si="11"/>
        <v>-446.26795589050067</v>
      </c>
      <c r="V52" s="89">
        <f t="shared" si="11"/>
        <v>-502.00759419157134</v>
      </c>
      <c r="W52" s="89">
        <f t="shared" si="11"/>
        <v>-360.61744027226399</v>
      </c>
      <c r="X52" s="89">
        <f t="shared" si="11"/>
        <v>97.013385043065426</v>
      </c>
      <c r="Y52" s="89">
        <f t="shared" si="11"/>
        <v>0</v>
      </c>
      <c r="AA52" s="606">
        <f t="shared" si="6"/>
        <v>-6914.5948087158558</v>
      </c>
      <c r="AB52" s="607">
        <f t="shared" si="2"/>
        <v>-3457.2974043579279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2200.3709434013599</v>
      </c>
      <c r="F54" s="93">
        <f t="shared" si="12"/>
        <v>1668.3874093387774</v>
      </c>
      <c r="G54" s="93">
        <f t="shared" si="12"/>
        <v>1707.4858987809719</v>
      </c>
      <c r="H54" s="93">
        <f t="shared" si="12"/>
        <v>1688.5762189299796</v>
      </c>
      <c r="I54" s="93">
        <f t="shared" si="12"/>
        <v>1114.7335406924321</v>
      </c>
      <c r="J54" s="93">
        <f t="shared" si="12"/>
        <v>992.13059609145853</v>
      </c>
      <c r="K54" s="93">
        <f t="shared" si="12"/>
        <v>1025.9265589381664</v>
      </c>
      <c r="L54" s="93">
        <f t="shared" si="12"/>
        <v>1059.3846997363571</v>
      </c>
      <c r="M54" s="93">
        <f t="shared" si="12"/>
        <v>1092.4982732209169</v>
      </c>
      <c r="N54" s="93">
        <f t="shared" si="12"/>
        <v>1125.2603994393646</v>
      </c>
      <c r="O54" s="93">
        <f t="shared" si="12"/>
        <v>1157.6640610623426</v>
      </c>
      <c r="P54" s="93">
        <f t="shared" si="12"/>
        <v>1178.5914894507264</v>
      </c>
      <c r="Q54" s="93">
        <f t="shared" si="12"/>
        <v>1199.1459954267175</v>
      </c>
      <c r="R54" s="93">
        <f t="shared" si="12"/>
        <v>1219.3201328509076</v>
      </c>
      <c r="S54" s="93">
        <f t="shared" si="12"/>
        <v>1239.1063069011213</v>
      </c>
      <c r="T54" s="93">
        <f t="shared" si="12"/>
        <v>758.88003704117091</v>
      </c>
      <c r="U54" s="93">
        <f t="shared" si="12"/>
        <v>828.78334665378702</v>
      </c>
      <c r="V54" s="93">
        <f t="shared" si="12"/>
        <v>932.29981778434694</v>
      </c>
      <c r="W54" s="93">
        <f t="shared" si="12"/>
        <v>669.71810336277599</v>
      </c>
      <c r="X54" s="93">
        <f t="shared" si="12"/>
        <v>-180.16771507997865</v>
      </c>
      <c r="Y54" s="93">
        <f t="shared" si="12"/>
        <v>0</v>
      </c>
      <c r="AA54" s="606">
        <f t="shared" si="6"/>
        <v>20477.725170622347</v>
      </c>
      <c r="AB54" s="607">
        <f t="shared" si="2"/>
        <v>10238.862585311173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[19]TAX!G$53</f>
        <v>774.05973898681611</v>
      </c>
      <c r="F56" s="342">
        <f>[19]TAX!H$53</f>
        <v>774.05973898681611</v>
      </c>
      <c r="G56" s="342">
        <f>[19]TAX!I$53</f>
        <v>817.06305781941705</v>
      </c>
      <c r="H56" s="342">
        <f>[19]TAX!J$53</f>
        <v>817.06305781941705</v>
      </c>
      <c r="I56" s="342">
        <f>[19]TAX!K$53</f>
        <v>264.53132942686148</v>
      </c>
      <c r="J56" s="342">
        <f>[19]TAX!L$53</f>
        <v>0</v>
      </c>
      <c r="K56" s="342">
        <f>[19]TAX!M$53</f>
        <v>0</v>
      </c>
      <c r="L56" s="342">
        <f>[19]TAX!N$53</f>
        <v>0</v>
      </c>
      <c r="M56" s="342">
        <f>[19]TAX!O$53</f>
        <v>0</v>
      </c>
      <c r="N56" s="342">
        <f>[19]TAX!P$53</f>
        <v>0</v>
      </c>
      <c r="O56" s="342">
        <f>[19]TAX!Q$53</f>
        <v>0</v>
      </c>
      <c r="P56" s="342">
        <f>[19]TAX!R$53</f>
        <v>0</v>
      </c>
      <c r="Q56" s="342">
        <f>[19]TAX!S$53</f>
        <v>0</v>
      </c>
      <c r="R56" s="342">
        <f>[19]TAX!T$53</f>
        <v>0</v>
      </c>
      <c r="S56" s="342">
        <f>[19]TAX!U$53</f>
        <v>0</v>
      </c>
      <c r="T56" s="342">
        <f>[19]TAX!V$53</f>
        <v>0</v>
      </c>
      <c r="U56" s="342">
        <f>[19]TAX!W$53</f>
        <v>0</v>
      </c>
      <c r="V56" s="342">
        <f>[19]TAX!X$53</f>
        <v>0</v>
      </c>
      <c r="W56" s="342">
        <f>[19]TAX!Y$53</f>
        <v>0</v>
      </c>
      <c r="X56" s="342">
        <f>[19]TAX!Z$53</f>
        <v>0</v>
      </c>
      <c r="Y56" s="342">
        <f>[19]TAX!AA$53</f>
        <v>0</v>
      </c>
      <c r="AA56" s="606">
        <f t="shared" si="6"/>
        <v>2672.7171840525116</v>
      </c>
      <c r="AB56" s="607">
        <f t="shared" si="2"/>
        <v>1336.3585920262558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2309.8157156510829</v>
      </c>
      <c r="F64" s="20">
        <f t="shared" si="14"/>
        <v>2170.3039195983179</v>
      </c>
      <c r="G64" s="24">
        <f t="shared" si="14"/>
        <v>2163.9803092494813</v>
      </c>
      <c r="H64" s="20">
        <f t="shared" si="14"/>
        <v>2133.3573459280365</v>
      </c>
      <c r="I64" s="20">
        <f t="shared" si="14"/>
        <v>2098.8456862600333</v>
      </c>
      <c r="J64" s="20">
        <f t="shared" si="14"/>
        <v>2328.689224439609</v>
      </c>
      <c r="K64" s="20">
        <f t="shared" si="14"/>
        <v>2383.4195286448039</v>
      </c>
      <c r="L64" s="20">
        <f t="shared" si="14"/>
        <v>2437.6027526094849</v>
      </c>
      <c r="M64" s="20">
        <f t="shared" si="14"/>
        <v>2491.2279728273957</v>
      </c>
      <c r="N64" s="20">
        <f t="shared" si="14"/>
        <v>2544.2840476750844</v>
      </c>
      <c r="O64" s="20">
        <f t="shared" si="14"/>
        <v>2596.7596130564252</v>
      </c>
      <c r="P64" s="20">
        <f t="shared" si="14"/>
        <v>2630.6501853453055</v>
      </c>
      <c r="Q64" s="20">
        <f t="shared" si="14"/>
        <v>2663.9368346991373</v>
      </c>
      <c r="R64" s="20">
        <f t="shared" si="14"/>
        <v>2696.6075025925629</v>
      </c>
      <c r="S64" s="20">
        <f t="shared" si="14"/>
        <v>2728.6498897184151</v>
      </c>
      <c r="T64" s="20">
        <f t="shared" si="14"/>
        <v>1950.9555255727464</v>
      </c>
      <c r="U64" s="20">
        <f t="shared" si="14"/>
        <v>2064.1592658360923</v>
      </c>
      <c r="V64" s="20">
        <f t="shared" si="14"/>
        <v>2231.7972757641246</v>
      </c>
      <c r="W64" s="20">
        <f t="shared" si="14"/>
        <v>1806.5637301421475</v>
      </c>
      <c r="X64" s="20">
        <f t="shared" si="14"/>
        <v>430.23042092311152</v>
      </c>
      <c r="Y64" s="20">
        <f t="shared" si="14"/>
        <v>0</v>
      </c>
      <c r="AA64" s="606">
        <f t="shared" si="6"/>
        <v>42552.021030882315</v>
      </c>
      <c r="AB64" s="607">
        <f t="shared" si="2"/>
        <v>21276.010515441158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2309.8157156510829</v>
      </c>
      <c r="F69" s="95">
        <f t="shared" si="15"/>
        <v>2170.3039195983179</v>
      </c>
      <c r="G69" s="95">
        <f t="shared" si="15"/>
        <v>2163.9803092494813</v>
      </c>
      <c r="H69" s="95">
        <f t="shared" si="15"/>
        <v>2133.3573459280365</v>
      </c>
      <c r="I69" s="95">
        <f t="shared" si="15"/>
        <v>2098.8456862600333</v>
      </c>
      <c r="J69" s="95">
        <f t="shared" si="15"/>
        <v>2328.689224439609</v>
      </c>
      <c r="K69" s="95">
        <f t="shared" si="15"/>
        <v>2383.4195286448039</v>
      </c>
      <c r="L69" s="95">
        <f t="shared" si="15"/>
        <v>2437.6027526094849</v>
      </c>
      <c r="M69" s="95">
        <f t="shared" si="15"/>
        <v>2491.2279728273957</v>
      </c>
      <c r="N69" s="95">
        <f t="shared" si="15"/>
        <v>2544.2840476750844</v>
      </c>
      <c r="O69" s="95">
        <f t="shared" si="15"/>
        <v>2596.7596130564252</v>
      </c>
      <c r="P69" s="95">
        <f t="shared" si="15"/>
        <v>2630.6501853453055</v>
      </c>
      <c r="Q69" s="95">
        <f t="shared" si="15"/>
        <v>2663.9368346991373</v>
      </c>
      <c r="R69" s="95">
        <f t="shared" si="15"/>
        <v>2696.6075025925629</v>
      </c>
      <c r="S69" s="95">
        <f t="shared" si="15"/>
        <v>2728.6498897184151</v>
      </c>
      <c r="T69" s="95">
        <f t="shared" si="15"/>
        <v>1950.9555255727464</v>
      </c>
      <c r="U69" s="95">
        <f t="shared" si="15"/>
        <v>2064.1592658360923</v>
      </c>
      <c r="V69" s="95">
        <f t="shared" si="15"/>
        <v>2231.7972757641246</v>
      </c>
      <c r="W69" s="95">
        <f t="shared" si="15"/>
        <v>1806.5637301421475</v>
      </c>
      <c r="X69" s="95">
        <f t="shared" si="15"/>
        <v>430.23042092311152</v>
      </c>
      <c r="Y69" s="95">
        <f t="shared" si="15"/>
        <v>0</v>
      </c>
      <c r="AA69" s="606">
        <f t="shared" si="6"/>
        <v>42552.021030882315</v>
      </c>
      <c r="AB69" s="607">
        <f t="shared" si="2"/>
        <v>21276.010515441158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827.42169011003205</v>
      </c>
      <c r="G71" s="100">
        <f t="shared" si="16"/>
        <v>1824.3782346822954</v>
      </c>
      <c r="H71" s="100">
        <f t="shared" si="16"/>
        <v>775.25123696465926</v>
      </c>
      <c r="I71" s="100">
        <f t="shared" si="16"/>
        <v>151.94777807481722</v>
      </c>
      <c r="J71" s="100">
        <f t="shared" si="16"/>
        <v>64.03262472112948</v>
      </c>
      <c r="K71" s="100">
        <f t="shared" si="16"/>
        <v>-434.27984317199753</v>
      </c>
      <c r="L71" s="100">
        <f t="shared" si="16"/>
        <v>-932.38305287312801</v>
      </c>
      <c r="M71" s="100">
        <f t="shared" si="16"/>
        <v>-952.89469960647887</v>
      </c>
      <c r="N71" s="100">
        <f t="shared" si="16"/>
        <v>-973.18864823571982</v>
      </c>
      <c r="O71" s="100">
        <f t="shared" si="16"/>
        <v>-993.26055199408256</v>
      </c>
      <c r="P71" s="100">
        <f t="shared" si="16"/>
        <v>-1006.2236958945794</v>
      </c>
      <c r="Q71" s="100">
        <f t="shared" si="16"/>
        <v>-1018.95583927242</v>
      </c>
      <c r="R71" s="100">
        <f t="shared" si="16"/>
        <v>-1031.4523697416553</v>
      </c>
      <c r="S71" s="100">
        <f t="shared" si="16"/>
        <v>-1043.7085828172935</v>
      </c>
      <c r="T71" s="100">
        <f t="shared" si="16"/>
        <v>-746.24048853157547</v>
      </c>
      <c r="U71" s="100">
        <f t="shared" si="16"/>
        <v>-789.54091918230529</v>
      </c>
      <c r="V71" s="100">
        <f t="shared" si="16"/>
        <v>-853.66245797977751</v>
      </c>
      <c r="W71" s="100">
        <f t="shared" si="16"/>
        <v>-691.01062677937136</v>
      </c>
      <c r="X71" s="100">
        <f t="shared" si="16"/>
        <v>-164.56313600309016</v>
      </c>
      <c r="Y71" s="100">
        <f t="shared" si="16"/>
        <v>0</v>
      </c>
      <c r="AA71" s="606">
        <f t="shared" si="6"/>
        <v>-7988.3333475305408</v>
      </c>
      <c r="AB71" s="607">
        <f t="shared" si="2"/>
        <v>-3994.1666737652704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2309.8157156510829</v>
      </c>
      <c r="F73" s="28">
        <f t="shared" si="17"/>
        <v>2997.72560970835</v>
      </c>
      <c r="G73" s="28">
        <f t="shared" si="17"/>
        <v>3988.3585439317767</v>
      </c>
      <c r="H73" s="28">
        <f t="shared" si="17"/>
        <v>2908.6085828926957</v>
      </c>
      <c r="I73" s="28">
        <f t="shared" si="17"/>
        <v>2250.7934643348503</v>
      </c>
      <c r="J73" s="28">
        <f t="shared" si="17"/>
        <v>2392.7218491607387</v>
      </c>
      <c r="K73" s="28">
        <f t="shared" si="17"/>
        <v>1949.1396854728064</v>
      </c>
      <c r="L73" s="28">
        <f t="shared" si="17"/>
        <v>1505.2196997363569</v>
      </c>
      <c r="M73" s="28">
        <f t="shared" si="17"/>
        <v>1538.3332732209169</v>
      </c>
      <c r="N73" s="28">
        <f t="shared" si="17"/>
        <v>1571.0953994393644</v>
      </c>
      <c r="O73" s="28">
        <f t="shared" si="17"/>
        <v>1603.4990610623427</v>
      </c>
      <c r="P73" s="28">
        <f t="shared" si="17"/>
        <v>1624.4264894507262</v>
      </c>
      <c r="Q73" s="28">
        <f t="shared" si="17"/>
        <v>1644.9809954267173</v>
      </c>
      <c r="R73" s="28">
        <f t="shared" si="17"/>
        <v>1665.1551328509076</v>
      </c>
      <c r="S73" s="28">
        <f t="shared" si="17"/>
        <v>1684.9413069011216</v>
      </c>
      <c r="T73" s="28">
        <f t="shared" si="17"/>
        <v>1204.7150370411709</v>
      </c>
      <c r="U73" s="28">
        <f t="shared" si="17"/>
        <v>1274.6183466537871</v>
      </c>
      <c r="V73" s="28">
        <f t="shared" si="17"/>
        <v>1378.134817784347</v>
      </c>
      <c r="W73" s="28">
        <f t="shared" si="17"/>
        <v>1115.5531033627763</v>
      </c>
      <c r="X73" s="28">
        <f t="shared" si="17"/>
        <v>265.66728492002136</v>
      </c>
      <c r="Y73" s="28">
        <f t="shared" si="17"/>
        <v>0</v>
      </c>
      <c r="AA73" s="606">
        <f t="shared" si="6"/>
        <v>34563.687683351774</v>
      </c>
      <c r="AB73" s="607">
        <f t="shared" si="2"/>
        <v>17281.843841675887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1100.18547170068</v>
      </c>
      <c r="F76" s="28">
        <f t="shared" si="19"/>
        <v>834.19370466938869</v>
      </c>
      <c r="G76" s="95">
        <f t="shared" si="19"/>
        <v>853.74294939048593</v>
      </c>
      <c r="H76" s="28">
        <f t="shared" si="19"/>
        <v>844.28810946498982</v>
      </c>
      <c r="I76" s="28">
        <f t="shared" si="19"/>
        <v>557.36677034621607</v>
      </c>
      <c r="J76" s="28">
        <f t="shared" si="19"/>
        <v>496.06529804572926</v>
      </c>
      <c r="K76" s="28">
        <f t="shared" si="19"/>
        <v>512.9632794690832</v>
      </c>
      <c r="L76" s="28">
        <f t="shared" si="19"/>
        <v>529.69234986817855</v>
      </c>
      <c r="M76" s="28">
        <f t="shared" si="19"/>
        <v>546.24913661045844</v>
      </c>
      <c r="N76" s="28">
        <f t="shared" si="19"/>
        <v>562.63019971968231</v>
      </c>
      <c r="O76" s="28">
        <f t="shared" si="19"/>
        <v>578.83203053117131</v>
      </c>
      <c r="P76" s="28">
        <f t="shared" si="19"/>
        <v>589.29574472536319</v>
      </c>
      <c r="Q76" s="28">
        <f t="shared" si="19"/>
        <v>599.57299771335875</v>
      </c>
      <c r="R76" s="28">
        <f t="shared" si="19"/>
        <v>609.66006642545381</v>
      </c>
      <c r="S76" s="28">
        <f t="shared" si="19"/>
        <v>619.55315345056067</v>
      </c>
      <c r="T76" s="28">
        <f t="shared" si="19"/>
        <v>379.44001852058545</v>
      </c>
      <c r="U76" s="28">
        <f t="shared" si="19"/>
        <v>414.39167332689351</v>
      </c>
      <c r="V76" s="28">
        <f t="shared" si="19"/>
        <v>466.14990889217347</v>
      </c>
      <c r="W76" s="28">
        <f t="shared" si="19"/>
        <v>334.859051681388</v>
      </c>
      <c r="X76" s="28">
        <f t="shared" si="19"/>
        <v>-90.083857539989324</v>
      </c>
      <c r="Y76" s="28">
        <f t="shared" si="19"/>
        <v>0</v>
      </c>
      <c r="AA76" s="606">
        <f t="shared" si="6"/>
        <v>10238.862585311173</v>
      </c>
      <c r="AB76" s="607">
        <f>AA76</f>
        <v>10238.862585311173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1154.9078578255414</v>
      </c>
      <c r="F77" s="28">
        <f t="shared" si="20"/>
        <v>1498.862804854175</v>
      </c>
      <c r="G77" s="95">
        <f t="shared" si="20"/>
        <v>1994.1792719658883</v>
      </c>
      <c r="H77" s="28">
        <f t="shared" si="20"/>
        <v>1454.3042914463479</v>
      </c>
      <c r="I77" s="28">
        <f t="shared" si="20"/>
        <v>1125.3967321674252</v>
      </c>
      <c r="J77" s="28">
        <f t="shared" si="20"/>
        <v>1196.3609245803693</v>
      </c>
      <c r="K77" s="28">
        <f t="shared" si="20"/>
        <v>974.56984273640319</v>
      </c>
      <c r="L77" s="28">
        <f t="shared" si="20"/>
        <v>752.60984986817846</v>
      </c>
      <c r="M77" s="28">
        <f t="shared" si="20"/>
        <v>769.16663661045845</v>
      </c>
      <c r="N77" s="28">
        <f t="shared" si="20"/>
        <v>785.54769971968221</v>
      </c>
      <c r="O77" s="28">
        <f t="shared" si="20"/>
        <v>801.74953053117133</v>
      </c>
      <c r="P77" s="28">
        <f t="shared" si="20"/>
        <v>812.2132447253631</v>
      </c>
      <c r="Q77" s="28">
        <f t="shared" si="20"/>
        <v>822.49049771335865</v>
      </c>
      <c r="R77" s="28">
        <f t="shared" si="20"/>
        <v>832.57756642545382</v>
      </c>
      <c r="S77" s="28">
        <f t="shared" si="20"/>
        <v>842.4706534505608</v>
      </c>
      <c r="T77" s="28">
        <f t="shared" si="20"/>
        <v>602.35751852058547</v>
      </c>
      <c r="U77" s="28">
        <f t="shared" si="20"/>
        <v>637.30917332689353</v>
      </c>
      <c r="V77" s="28">
        <f t="shared" si="20"/>
        <v>689.06740889217349</v>
      </c>
      <c r="W77" s="28">
        <f t="shared" si="20"/>
        <v>557.77655168138813</v>
      </c>
      <c r="X77" s="28">
        <f t="shared" si="20"/>
        <v>132.83364246001068</v>
      </c>
      <c r="Y77" s="28">
        <f t="shared" si="20"/>
        <v>0</v>
      </c>
      <c r="AA77" s="606">
        <f t="shared" si="6"/>
        <v>17281.843841675887</v>
      </c>
      <c r="AB77" s="607">
        <f>AA77</f>
        <v>17281.843841675887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2170.3039195983179</v>
      </c>
      <c r="G88" s="200">
        <f t="shared" ref="G88:Y88" si="22">G69</f>
        <v>2163.9803092494813</v>
      </c>
      <c r="H88" s="200">
        <f t="shared" si="22"/>
        <v>2133.3573459280365</v>
      </c>
      <c r="I88" s="200">
        <f t="shared" si="22"/>
        <v>2098.8456862600333</v>
      </c>
      <c r="J88" s="200">
        <f t="shared" si="22"/>
        <v>2328.689224439609</v>
      </c>
      <c r="K88" s="200">
        <f t="shared" si="22"/>
        <v>2383.4195286448039</v>
      </c>
      <c r="L88" s="200">
        <f t="shared" si="22"/>
        <v>2437.6027526094849</v>
      </c>
      <c r="M88" s="200">
        <f t="shared" si="22"/>
        <v>2491.2279728273957</v>
      </c>
      <c r="N88" s="200">
        <f t="shared" si="22"/>
        <v>2544.2840476750844</v>
      </c>
      <c r="O88" s="200">
        <f t="shared" si="22"/>
        <v>2596.7596130564252</v>
      </c>
      <c r="P88" s="200">
        <f t="shared" si="22"/>
        <v>2630.6501853453055</v>
      </c>
      <c r="Q88" s="200">
        <f t="shared" si="22"/>
        <v>2663.9368346991373</v>
      </c>
      <c r="R88" s="200">
        <f t="shared" si="22"/>
        <v>2696.6075025925629</v>
      </c>
      <c r="S88" s="200">
        <f t="shared" si="22"/>
        <v>2728.6498897184151</v>
      </c>
      <c r="T88" s="200">
        <f t="shared" si="22"/>
        <v>1950.9555255727464</v>
      </c>
      <c r="U88" s="200">
        <f t="shared" si="22"/>
        <v>2064.1592658360923</v>
      </c>
      <c r="V88" s="200">
        <f t="shared" si="22"/>
        <v>2231.7972757641246</v>
      </c>
      <c r="W88" s="200">
        <f t="shared" si="22"/>
        <v>1806.5637301421475</v>
      </c>
      <c r="X88" s="200">
        <f t="shared" si="22"/>
        <v>430.23042092311152</v>
      </c>
      <c r="Y88" s="200">
        <f t="shared" si="22"/>
        <v>0</v>
      </c>
      <c r="AA88" s="606">
        <f t="shared" si="6"/>
        <v>42552.021030882315</v>
      </c>
      <c r="AB88" s="607">
        <f t="shared" si="18"/>
        <v>21276.010515441158</v>
      </c>
    </row>
    <row r="89" spans="1:30" s="199" customFormat="1">
      <c r="A89" s="199" t="s">
        <v>53</v>
      </c>
      <c r="F89" s="110">
        <f>F126+F127</f>
        <v>827.42169011003205</v>
      </c>
      <c r="G89" s="110">
        <f t="shared" ref="G89:Y89" si="23">G126+G127</f>
        <v>1824.3782346822954</v>
      </c>
      <c r="H89" s="110">
        <f t="shared" si="23"/>
        <v>775.25123696465926</v>
      </c>
      <c r="I89" s="110">
        <f t="shared" si="23"/>
        <v>151.94777807481722</v>
      </c>
      <c r="J89" s="110">
        <f t="shared" si="23"/>
        <v>64.03262472112948</v>
      </c>
      <c r="K89" s="110">
        <f t="shared" si="23"/>
        <v>-434.27984317199753</v>
      </c>
      <c r="L89" s="110">
        <f t="shared" si="23"/>
        <v>-932.38305287312801</v>
      </c>
      <c r="M89" s="110">
        <f t="shared" si="23"/>
        <v>-952.89469960647887</v>
      </c>
      <c r="N89" s="110">
        <f t="shared" si="23"/>
        <v>-973.18864823571982</v>
      </c>
      <c r="O89" s="110">
        <f t="shared" si="23"/>
        <v>-993.26055199408256</v>
      </c>
      <c r="P89" s="110">
        <f t="shared" si="23"/>
        <v>-1006.2236958945794</v>
      </c>
      <c r="Q89" s="110">
        <f t="shared" si="23"/>
        <v>-1018.95583927242</v>
      </c>
      <c r="R89" s="110">
        <f t="shared" si="23"/>
        <v>-1031.4523697416553</v>
      </c>
      <c r="S89" s="110">
        <f t="shared" si="23"/>
        <v>-1043.7085828172935</v>
      </c>
      <c r="T89" s="110">
        <f t="shared" si="23"/>
        <v>-746.24048853157547</v>
      </c>
      <c r="U89" s="110">
        <f t="shared" si="23"/>
        <v>-789.54091918230529</v>
      </c>
      <c r="V89" s="110">
        <f t="shared" si="23"/>
        <v>-853.66245797977751</v>
      </c>
      <c r="W89" s="110">
        <f t="shared" si="23"/>
        <v>-691.01062677937136</v>
      </c>
      <c r="X89" s="110">
        <f t="shared" si="23"/>
        <v>-164.56313600309016</v>
      </c>
      <c r="Y89" s="110">
        <f t="shared" si="23"/>
        <v>0</v>
      </c>
      <c r="AA89" s="606">
        <f t="shared" si="6"/>
        <v>-7988.3333475305408</v>
      </c>
      <c r="AB89" s="607">
        <f t="shared" si="18"/>
        <v>-3994.1666737652704</v>
      </c>
    </row>
    <row r="90" spans="1:30" s="199" customFormat="1">
      <c r="A90" s="199" t="s">
        <v>238</v>
      </c>
      <c r="F90" s="110">
        <f>F56</f>
        <v>774.05973898681611</v>
      </c>
      <c r="G90" s="110">
        <f t="shared" ref="G90:Y90" si="24">G56</f>
        <v>817.06305781941705</v>
      </c>
      <c r="H90" s="110">
        <f t="shared" si="24"/>
        <v>817.06305781941705</v>
      </c>
      <c r="I90" s="110">
        <f t="shared" si="24"/>
        <v>264.53132942686148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2672.7171840525116</v>
      </c>
      <c r="AB90" s="607">
        <f t="shared" si="18"/>
        <v>1336.3585920262558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13767.373469539569</v>
      </c>
      <c r="Y91" s="111">
        <v>0</v>
      </c>
      <c r="AA91" s="606">
        <f t="shared" si="6"/>
        <v>13767.373469539569</v>
      </c>
      <c r="AB91" s="607">
        <f t="shared" si="18"/>
        <v>6883.6867347697844</v>
      </c>
    </row>
    <row r="92" spans="1:30" s="199" customFormat="1">
      <c r="A92" s="199" t="s">
        <v>55</v>
      </c>
      <c r="E92" s="346">
        <v>-24074.988225946097</v>
      </c>
      <c r="F92" s="200">
        <f>SUM(F88:F91)</f>
        <v>3771.7853486951662</v>
      </c>
      <c r="G92" s="200">
        <f t="shared" ref="G92:Y92" si="25">SUM(G88:G91)</f>
        <v>4805.4216017511935</v>
      </c>
      <c r="H92" s="200">
        <f t="shared" si="25"/>
        <v>3725.671640712113</v>
      </c>
      <c r="I92" s="200">
        <f t="shared" si="25"/>
        <v>2515.3247937617116</v>
      </c>
      <c r="J92" s="200">
        <f t="shared" si="25"/>
        <v>2392.7218491607387</v>
      </c>
      <c r="K92" s="200">
        <f t="shared" si="25"/>
        <v>1949.1396854728064</v>
      </c>
      <c r="L92" s="200">
        <f t="shared" si="25"/>
        <v>1505.2196997363569</v>
      </c>
      <c r="M92" s="200">
        <f t="shared" si="25"/>
        <v>1538.3332732209169</v>
      </c>
      <c r="N92" s="200">
        <f t="shared" si="25"/>
        <v>1571.0953994393644</v>
      </c>
      <c r="O92" s="200">
        <f t="shared" si="25"/>
        <v>1603.4990610623427</v>
      </c>
      <c r="P92" s="200">
        <f t="shared" si="25"/>
        <v>1624.4264894507262</v>
      </c>
      <c r="Q92" s="200">
        <f t="shared" si="25"/>
        <v>1644.9809954267173</v>
      </c>
      <c r="R92" s="200">
        <f t="shared" si="25"/>
        <v>1665.1551328509076</v>
      </c>
      <c r="S92" s="200">
        <f t="shared" si="25"/>
        <v>1684.9413069011216</v>
      </c>
      <c r="T92" s="200">
        <f t="shared" si="25"/>
        <v>1204.7150370411709</v>
      </c>
      <c r="U92" s="200">
        <f t="shared" si="25"/>
        <v>1274.6183466537871</v>
      </c>
      <c r="V92" s="200">
        <f t="shared" si="25"/>
        <v>1378.134817784347</v>
      </c>
      <c r="W92" s="200">
        <f t="shared" si="25"/>
        <v>1115.5531033627763</v>
      </c>
      <c r="X92" s="200">
        <f t="shared" si="25"/>
        <v>14033.040754459591</v>
      </c>
      <c r="Y92" s="200">
        <f t="shared" si="25"/>
        <v>0</v>
      </c>
      <c r="AA92" s="606">
        <f t="shared" si="6"/>
        <v>51003.778336943855</v>
      </c>
      <c r="AB92" s="607">
        <f t="shared" si="18"/>
        <v>25501.889168471927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241</v>
      </c>
      <c r="V95" s="206"/>
      <c r="W95" s="206"/>
      <c r="X95" s="206"/>
      <c r="Y95" s="207">
        <f>X88*4</f>
        <v>1720.9216836924461</v>
      </c>
      <c r="AA95" s="606">
        <f t="shared" si="6"/>
        <v>1720.9216836924461</v>
      </c>
      <c r="AB95" s="607">
        <f t="shared" si="18"/>
        <v>860.46084184622305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1720.9216836924461</v>
      </c>
      <c r="AA97" s="606">
        <f t="shared" si="6"/>
        <v>1720.9216836924461</v>
      </c>
      <c r="AB97" s="607">
        <f t="shared" si="18"/>
        <v>860.46084184622305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13767.373469539569</v>
      </c>
      <c r="AA99" s="606">
        <f t="shared" si="6"/>
        <v>13767.373469539569</v>
      </c>
      <c r="AB99" s="607">
        <f t="shared" si="18"/>
        <v>6883.6867347697844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24074.988225946097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24074.988225946097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21667.489403351487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21667.489403351487</v>
      </c>
      <c r="F109" s="203">
        <f>ROUND(D109/$B$109,0)</f>
        <v>722</v>
      </c>
      <c r="G109" s="203">
        <f>F109</f>
        <v>722</v>
      </c>
      <c r="H109" s="203">
        <f t="shared" ref="H109:X110" si="28">G109</f>
        <v>722</v>
      </c>
      <c r="I109" s="203">
        <f t="shared" si="28"/>
        <v>722</v>
      </c>
      <c r="J109" s="203">
        <f t="shared" si="28"/>
        <v>722</v>
      </c>
      <c r="K109" s="203">
        <f t="shared" si="28"/>
        <v>722</v>
      </c>
      <c r="L109" s="203">
        <f t="shared" si="28"/>
        <v>722</v>
      </c>
      <c r="M109" s="203">
        <f t="shared" si="28"/>
        <v>722</v>
      </c>
      <c r="N109" s="203">
        <f t="shared" si="28"/>
        <v>722</v>
      </c>
      <c r="O109" s="203">
        <f t="shared" si="28"/>
        <v>722</v>
      </c>
      <c r="P109" s="203">
        <f t="shared" si="28"/>
        <v>722</v>
      </c>
      <c r="Q109" s="203">
        <f t="shared" si="28"/>
        <v>722</v>
      </c>
      <c r="R109" s="203">
        <f t="shared" si="28"/>
        <v>722</v>
      </c>
      <c r="S109" s="203">
        <f t="shared" si="28"/>
        <v>722</v>
      </c>
      <c r="T109" s="203">
        <f t="shared" si="28"/>
        <v>722</v>
      </c>
      <c r="U109" s="203">
        <f t="shared" si="28"/>
        <v>722</v>
      </c>
      <c r="V109" s="203">
        <f t="shared" si="28"/>
        <v>722</v>
      </c>
      <c r="W109" s="203">
        <f t="shared" si="28"/>
        <v>722</v>
      </c>
      <c r="X109" s="203">
        <f t="shared" si="28"/>
        <v>722</v>
      </c>
      <c r="Y109" s="739"/>
      <c r="AA109" s="606">
        <f t="shared" si="26"/>
        <v>13718</v>
      </c>
      <c r="AB109" s="607">
        <f t="shared" si="18"/>
        <v>6859</v>
      </c>
    </row>
    <row r="110" spans="1:28" s="199" customFormat="1">
      <c r="A110" s="199" t="s">
        <v>571</v>
      </c>
      <c r="D110" s="214">
        <f>D104*'FPLE_Wind Summary'!V20</f>
        <v>1676.5450899139805</v>
      </c>
      <c r="F110" s="203">
        <f>ROUND(D110/$B$109,0)</f>
        <v>56</v>
      </c>
      <c r="G110" s="203">
        <f>F110</f>
        <v>56</v>
      </c>
      <c r="H110" s="203">
        <f t="shared" si="28"/>
        <v>56</v>
      </c>
      <c r="I110" s="203">
        <f t="shared" si="28"/>
        <v>56</v>
      </c>
      <c r="J110" s="203">
        <f t="shared" si="28"/>
        <v>56</v>
      </c>
      <c r="K110" s="203">
        <f t="shared" si="28"/>
        <v>56</v>
      </c>
      <c r="L110" s="203">
        <f t="shared" si="28"/>
        <v>56</v>
      </c>
      <c r="M110" s="203">
        <f t="shared" si="28"/>
        <v>56</v>
      </c>
      <c r="N110" s="203">
        <f t="shared" si="28"/>
        <v>56</v>
      </c>
      <c r="O110" s="203">
        <f t="shared" si="28"/>
        <v>56</v>
      </c>
      <c r="P110" s="203">
        <f t="shared" si="28"/>
        <v>56</v>
      </c>
      <c r="Q110" s="203">
        <f t="shared" si="28"/>
        <v>56</v>
      </c>
      <c r="R110" s="203">
        <f t="shared" si="28"/>
        <v>56</v>
      </c>
      <c r="S110" s="203">
        <f t="shared" si="28"/>
        <v>56</v>
      </c>
      <c r="T110" s="203">
        <f t="shared" si="28"/>
        <v>56</v>
      </c>
      <c r="U110" s="203">
        <f t="shared" si="28"/>
        <v>56</v>
      </c>
      <c r="V110" s="203">
        <f t="shared" si="28"/>
        <v>56</v>
      </c>
      <c r="W110" s="203">
        <f t="shared" si="28"/>
        <v>56</v>
      </c>
      <c r="X110" s="203">
        <f t="shared" si="28"/>
        <v>56</v>
      </c>
      <c r="Y110" s="739"/>
      <c r="AA110" s="606">
        <f t="shared" si="26"/>
        <v>1064</v>
      </c>
      <c r="AB110" s="607">
        <f t="shared" si="18"/>
        <v>532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21667.489403351487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4333.4978806702975</v>
      </c>
      <c r="G115" s="203">
        <f t="shared" si="29"/>
        <v>6933.596609072476</v>
      </c>
      <c r="H115" s="203">
        <f t="shared" si="29"/>
        <v>4160.1579654434854</v>
      </c>
      <c r="I115" s="203">
        <f t="shared" si="29"/>
        <v>2496.0947792660913</v>
      </c>
      <c r="J115" s="203">
        <f t="shared" si="29"/>
        <v>2496.0947792660913</v>
      </c>
      <c r="K115" s="203">
        <f t="shared" si="29"/>
        <v>1248.0473896330457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21667.489403351487</v>
      </c>
      <c r="AB115" s="607">
        <f t="shared" si="18"/>
        <v>10833.744701675743</v>
      </c>
    </row>
    <row r="116" spans="1:28" s="199" customFormat="1">
      <c r="A116" s="199" t="s">
        <v>571</v>
      </c>
      <c r="D116" s="214">
        <f>D110</f>
        <v>1676.5450899139805</v>
      </c>
      <c r="F116" s="203">
        <f>$D$116*F114</f>
        <v>335.30901798279615</v>
      </c>
      <c r="G116" s="203">
        <f t="shared" ref="G116:X116" si="30">$D$116*G114</f>
        <v>536.49442877247373</v>
      </c>
      <c r="H116" s="203">
        <f t="shared" si="30"/>
        <v>321.89665726348426</v>
      </c>
      <c r="I116" s="203">
        <f t="shared" si="30"/>
        <v>193.13799435809054</v>
      </c>
      <c r="J116" s="203">
        <f t="shared" si="30"/>
        <v>193.13799435809054</v>
      </c>
      <c r="K116" s="203">
        <f t="shared" si="30"/>
        <v>96.568997179045269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1676.5450899139805</v>
      </c>
      <c r="AB116" s="607">
        <f t="shared" si="18"/>
        <v>838.27254495699026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2170.3039195983179</v>
      </c>
      <c r="G121" s="203">
        <f t="shared" ref="G121:Y121" si="32">G39</f>
        <v>2163.9803092494813</v>
      </c>
      <c r="H121" s="203">
        <f t="shared" si="32"/>
        <v>2133.3573459280365</v>
      </c>
      <c r="I121" s="203">
        <f t="shared" si="32"/>
        <v>2098.8456862600333</v>
      </c>
      <c r="J121" s="203">
        <f>J39</f>
        <v>2328.689224439609</v>
      </c>
      <c r="K121" s="203">
        <f t="shared" si="32"/>
        <v>2383.4195286448039</v>
      </c>
      <c r="L121" s="203">
        <f t="shared" si="32"/>
        <v>2437.6027526094849</v>
      </c>
      <c r="M121" s="203">
        <f t="shared" si="32"/>
        <v>2491.2279728273957</v>
      </c>
      <c r="N121" s="203">
        <f t="shared" si="32"/>
        <v>2544.2840476750844</v>
      </c>
      <c r="O121" s="203">
        <f t="shared" si="32"/>
        <v>2596.7596130564252</v>
      </c>
      <c r="P121" s="203">
        <f t="shared" si="32"/>
        <v>2630.6501853453055</v>
      </c>
      <c r="Q121" s="203">
        <f t="shared" si="32"/>
        <v>2663.9368346991373</v>
      </c>
      <c r="R121" s="203">
        <f t="shared" si="32"/>
        <v>2696.6075025925629</v>
      </c>
      <c r="S121" s="203">
        <f t="shared" si="32"/>
        <v>2728.6498897184151</v>
      </c>
      <c r="T121" s="203">
        <f t="shared" si="32"/>
        <v>1950.9555255727464</v>
      </c>
      <c r="U121" s="203">
        <f t="shared" si="32"/>
        <v>2064.1592658360923</v>
      </c>
      <c r="V121" s="203">
        <f t="shared" si="32"/>
        <v>2231.7972757641246</v>
      </c>
      <c r="W121" s="203">
        <f t="shared" si="32"/>
        <v>1806.5637301421475</v>
      </c>
      <c r="X121" s="203">
        <f t="shared" si="32"/>
        <v>430.23042092311152</v>
      </c>
      <c r="Y121" s="203">
        <f t="shared" si="32"/>
        <v>0</v>
      </c>
      <c r="AA121" s="606">
        <f t="shared" si="26"/>
        <v>42552.021030882315</v>
      </c>
      <c r="AB121" s="607">
        <f t="shared" si="18"/>
        <v>21276.010515441158</v>
      </c>
    </row>
    <row r="122" spans="1:28" s="199" customFormat="1">
      <c r="A122" s="199" t="s">
        <v>74</v>
      </c>
      <c r="F122" s="203">
        <f>-F115</f>
        <v>-4333.4978806702975</v>
      </c>
      <c r="G122" s="203">
        <f t="shared" ref="G122:Y122" si="33">-G115</f>
        <v>-6933.596609072476</v>
      </c>
      <c r="H122" s="203">
        <f t="shared" si="33"/>
        <v>-4160.1579654434854</v>
      </c>
      <c r="I122" s="203">
        <f t="shared" si="33"/>
        <v>-2496.0947792660913</v>
      </c>
      <c r="J122" s="203">
        <f t="shared" si="33"/>
        <v>-2496.0947792660913</v>
      </c>
      <c r="K122" s="203">
        <f t="shared" si="33"/>
        <v>-1248.0473896330457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-21667.489403351487</v>
      </c>
      <c r="AB122" s="607">
        <f t="shared" si="18"/>
        <v>-10833.744701675743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-2163.1939610719796</v>
      </c>
      <c r="G124" s="203">
        <f t="shared" ref="G124:Y124" si="35">SUM(G121:G123)</f>
        <v>-4769.6162998229947</v>
      </c>
      <c r="H124" s="203">
        <f t="shared" si="35"/>
        <v>-2026.8006195154489</v>
      </c>
      <c r="I124" s="203">
        <f t="shared" si="35"/>
        <v>-397.24909300605805</v>
      </c>
      <c r="J124" s="203">
        <f t="shared" si="35"/>
        <v>-167.40555482648233</v>
      </c>
      <c r="K124" s="203">
        <f t="shared" si="35"/>
        <v>1135.3721390117582</v>
      </c>
      <c r="L124" s="203">
        <f t="shared" si="35"/>
        <v>2437.6027526094849</v>
      </c>
      <c r="M124" s="203">
        <f t="shared" si="35"/>
        <v>2491.2279728273957</v>
      </c>
      <c r="N124" s="203">
        <f t="shared" si="35"/>
        <v>2544.2840476750844</v>
      </c>
      <c r="O124" s="203">
        <f t="shared" si="35"/>
        <v>2596.7596130564252</v>
      </c>
      <c r="P124" s="203">
        <f t="shared" si="35"/>
        <v>2630.6501853453055</v>
      </c>
      <c r="Q124" s="203">
        <f t="shared" si="35"/>
        <v>2663.9368346991373</v>
      </c>
      <c r="R124" s="203">
        <f t="shared" si="35"/>
        <v>2696.6075025925629</v>
      </c>
      <c r="S124" s="203">
        <f t="shared" si="35"/>
        <v>2728.6498897184151</v>
      </c>
      <c r="T124" s="203">
        <f t="shared" si="35"/>
        <v>1950.9555255727464</v>
      </c>
      <c r="U124" s="203">
        <f t="shared" si="35"/>
        <v>2064.1592658360923</v>
      </c>
      <c r="V124" s="203">
        <f t="shared" si="35"/>
        <v>2231.7972757641246</v>
      </c>
      <c r="W124" s="203">
        <f t="shared" si="35"/>
        <v>1806.5637301421475</v>
      </c>
      <c r="X124" s="203">
        <f t="shared" si="35"/>
        <v>430.23042092311152</v>
      </c>
      <c r="Y124" s="203">
        <f t="shared" si="35"/>
        <v>0</v>
      </c>
      <c r="AA124" s="606">
        <f t="shared" si="26"/>
        <v>20884.531627530832</v>
      </c>
      <c r="AB124" s="607">
        <f t="shared" si="18"/>
        <v>10442.265813765416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108.15969805359899</v>
      </c>
      <c r="G126" s="203">
        <f t="shared" ref="G126:Y126" si="36">-G124*$C$126</f>
        <v>238.48081499114974</v>
      </c>
      <c r="H126" s="203">
        <f t="shared" si="36"/>
        <v>101.34003097577245</v>
      </c>
      <c r="I126" s="203">
        <f t="shared" si="36"/>
        <v>19.862454650302904</v>
      </c>
      <c r="J126" s="203">
        <f t="shared" si="36"/>
        <v>8.3702777413241165</v>
      </c>
      <c r="K126" s="203">
        <f t="shared" si="36"/>
        <v>-56.768606950587916</v>
      </c>
      <c r="L126" s="203">
        <f t="shared" si="36"/>
        <v>-121.88013763047425</v>
      </c>
      <c r="M126" s="203">
        <f t="shared" si="36"/>
        <v>-124.56139864136979</v>
      </c>
      <c r="N126" s="203">
        <f t="shared" si="36"/>
        <v>-127.21420238375423</v>
      </c>
      <c r="O126" s="203">
        <f t="shared" si="36"/>
        <v>-129.83798065282127</v>
      </c>
      <c r="P126" s="203">
        <f t="shared" si="36"/>
        <v>-131.53250926726528</v>
      </c>
      <c r="Q126" s="203">
        <f t="shared" si="36"/>
        <v>-133.19684173495688</v>
      </c>
      <c r="R126" s="203">
        <f t="shared" si="36"/>
        <v>-134.83037512962815</v>
      </c>
      <c r="S126" s="203">
        <f t="shared" si="36"/>
        <v>-136.43249448592076</v>
      </c>
      <c r="T126" s="203">
        <f t="shared" si="36"/>
        <v>-97.547776278637329</v>
      </c>
      <c r="U126" s="203">
        <f t="shared" si="36"/>
        <v>-103.20796329180462</v>
      </c>
      <c r="V126" s="203">
        <f t="shared" si="36"/>
        <v>-111.58986378820623</v>
      </c>
      <c r="W126" s="203">
        <f t="shared" si="36"/>
        <v>-90.328186507107375</v>
      </c>
      <c r="X126" s="203">
        <f t="shared" si="36"/>
        <v>-21.511521046155579</v>
      </c>
      <c r="Y126" s="203">
        <f t="shared" si="36"/>
        <v>0</v>
      </c>
      <c r="AA126" s="606">
        <f t="shared" si="26"/>
        <v>-1044.2265813765414</v>
      </c>
      <c r="AB126" s="607">
        <f t="shared" si="18"/>
        <v>-522.11329068827069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719.26199205643309</v>
      </c>
      <c r="G127" s="203">
        <f t="shared" ref="G127:Y127" si="37">-(G124+G126)*$C$127</f>
        <v>1585.8974196911456</v>
      </c>
      <c r="H127" s="203">
        <f t="shared" si="37"/>
        <v>673.91120598888676</v>
      </c>
      <c r="I127" s="203">
        <f t="shared" si="37"/>
        <v>132.08532342451431</v>
      </c>
      <c r="J127" s="203">
        <f t="shared" si="37"/>
        <v>55.66234697980537</v>
      </c>
      <c r="K127" s="203">
        <f t="shared" si="37"/>
        <v>-377.5112362214096</v>
      </c>
      <c r="L127" s="203">
        <f t="shared" si="37"/>
        <v>-810.50291524265378</v>
      </c>
      <c r="M127" s="203">
        <f t="shared" si="37"/>
        <v>-828.33330096510906</v>
      </c>
      <c r="N127" s="203">
        <f t="shared" si="37"/>
        <v>-845.97444585196558</v>
      </c>
      <c r="O127" s="203">
        <f t="shared" si="37"/>
        <v>-863.42257134126123</v>
      </c>
      <c r="P127" s="203">
        <f t="shared" si="37"/>
        <v>-874.6911866273141</v>
      </c>
      <c r="Q127" s="203">
        <f t="shared" si="37"/>
        <v>-885.75899753746319</v>
      </c>
      <c r="R127" s="203">
        <f t="shared" si="37"/>
        <v>-896.62199461202715</v>
      </c>
      <c r="S127" s="203">
        <f t="shared" si="37"/>
        <v>-907.27608833137288</v>
      </c>
      <c r="T127" s="203">
        <f t="shared" si="37"/>
        <v>-648.69271225293812</v>
      </c>
      <c r="U127" s="203">
        <f t="shared" si="37"/>
        <v>-686.33295589050067</v>
      </c>
      <c r="V127" s="203">
        <f t="shared" si="37"/>
        <v>-742.07259419157128</v>
      </c>
      <c r="W127" s="203">
        <f t="shared" si="37"/>
        <v>-600.68244027226399</v>
      </c>
      <c r="X127" s="203">
        <f t="shared" si="37"/>
        <v>-143.05161495693457</v>
      </c>
      <c r="Y127" s="203">
        <f t="shared" si="37"/>
        <v>0</v>
      </c>
      <c r="AA127" s="606">
        <f t="shared" si="26"/>
        <v>-6944.1067661540001</v>
      </c>
      <c r="AB127" s="607">
        <f t="shared" si="18"/>
        <v>-3472.053383077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50.489483102675777</v>
      </c>
      <c r="X138" s="218">
        <f t="shared" si="41"/>
        <v>0</v>
      </c>
      <c r="Y138" s="218">
        <f t="shared" si="41"/>
        <v>0</v>
      </c>
      <c r="AA138" s="606">
        <f t="shared" si="26"/>
        <v>1091.5174144221719</v>
      </c>
      <c r="AB138" s="607">
        <f t="shared" si="39"/>
        <v>1091.5174144221719</v>
      </c>
    </row>
    <row r="139" spans="1:28" s="199" customFormat="1">
      <c r="A139" s="199" t="s">
        <v>79</v>
      </c>
      <c r="F139" s="203">
        <f>F137+F138</f>
        <v>52.02</v>
      </c>
      <c r="G139" s="203">
        <f t="shared" ref="G139:Y139" si="42">G137+G138</f>
        <v>53.060400000000001</v>
      </c>
      <c r="H139" s="203">
        <f t="shared" si="42"/>
        <v>54.121608000000002</v>
      </c>
      <c r="I139" s="203">
        <f t="shared" si="42"/>
        <v>55.204040160000005</v>
      </c>
      <c r="J139" s="203">
        <f t="shared" si="42"/>
        <v>56.308120963200004</v>
      </c>
      <c r="K139" s="203">
        <f t="shared" si="42"/>
        <v>57.434283382464002</v>
      </c>
      <c r="L139" s="203">
        <f t="shared" si="42"/>
        <v>58.582969050113284</v>
      </c>
      <c r="M139" s="203">
        <f t="shared" si="42"/>
        <v>59.754628431115549</v>
      </c>
      <c r="N139" s="203">
        <f t="shared" si="42"/>
        <v>60.949720999737863</v>
      </c>
      <c r="O139" s="203">
        <f t="shared" si="42"/>
        <v>62.168715419732621</v>
      </c>
      <c r="P139" s="203">
        <f t="shared" si="42"/>
        <v>63.412089728127278</v>
      </c>
      <c r="Q139" s="203">
        <f t="shared" si="42"/>
        <v>64.680331522689826</v>
      </c>
      <c r="R139" s="203">
        <f t="shared" si="42"/>
        <v>65.973938153143621</v>
      </c>
      <c r="S139" s="203">
        <f t="shared" si="42"/>
        <v>67.293416916206496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50.489483102675777</v>
      </c>
      <c r="X139" s="203">
        <f t="shared" si="42"/>
        <v>0</v>
      </c>
      <c r="Y139" s="203">
        <f t="shared" si="42"/>
        <v>0</v>
      </c>
      <c r="AA139" s="606">
        <f t="shared" si="26"/>
        <v>1091.5174144221719</v>
      </c>
      <c r="AB139" s="607">
        <f t="shared" si="39"/>
        <v>1091.5174144221719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2.6010000000000004</v>
      </c>
      <c r="G140" s="203">
        <f t="shared" ref="G140:Y140" si="43">G139*$C$140</f>
        <v>2.6530200000000002</v>
      </c>
      <c r="H140" s="203">
        <f t="shared" si="43"/>
        <v>2.7060804000000003</v>
      </c>
      <c r="I140" s="203">
        <f t="shared" si="43"/>
        <v>2.7602020080000003</v>
      </c>
      <c r="J140" s="203">
        <f t="shared" si="43"/>
        <v>2.8154060481600003</v>
      </c>
      <c r="K140" s="203">
        <f t="shared" si="43"/>
        <v>2.8717141691232002</v>
      </c>
      <c r="L140" s="203">
        <f t="shared" si="43"/>
        <v>2.9291484525056646</v>
      </c>
      <c r="M140" s="203">
        <f t="shared" si="43"/>
        <v>2.9877314215557775</v>
      </c>
      <c r="N140" s="203">
        <f t="shared" si="43"/>
        <v>3.0474860499868934</v>
      </c>
      <c r="O140" s="203">
        <f t="shared" si="43"/>
        <v>3.108435770986631</v>
      </c>
      <c r="P140" s="203">
        <f t="shared" si="43"/>
        <v>3.1706044864063641</v>
      </c>
      <c r="Q140" s="203">
        <f t="shared" si="43"/>
        <v>3.2340165761344917</v>
      </c>
      <c r="R140" s="203">
        <f t="shared" si="43"/>
        <v>3.298696907657181</v>
      </c>
      <c r="S140" s="203">
        <f t="shared" si="43"/>
        <v>3.3646708458103252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2.524474155133789</v>
      </c>
      <c r="X140" s="203">
        <f t="shared" si="43"/>
        <v>0</v>
      </c>
      <c r="Y140" s="203">
        <f t="shared" si="43"/>
        <v>0</v>
      </c>
      <c r="AA140" s="606">
        <f t="shared" si="26"/>
        <v>54.5758707211086</v>
      </c>
      <c r="AB140" s="607">
        <f t="shared" si="39"/>
        <v>54.5758707211086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17.29665</v>
      </c>
      <c r="G141" s="218">
        <f t="shared" ref="G141:Y141" si="44">(G139-G140)*$C$141</f>
        <v>17.642582999999998</v>
      </c>
      <c r="H141" s="218">
        <f t="shared" si="44"/>
        <v>17.995434660000001</v>
      </c>
      <c r="I141" s="218">
        <f t="shared" si="44"/>
        <v>18.355343353200002</v>
      </c>
      <c r="J141" s="218">
        <f t="shared" si="44"/>
        <v>18.722450220264001</v>
      </c>
      <c r="K141" s="218">
        <f t="shared" si="44"/>
        <v>19.096899224669279</v>
      </c>
      <c r="L141" s="218">
        <f t="shared" si="44"/>
        <v>19.478837209162666</v>
      </c>
      <c r="M141" s="218">
        <f t="shared" si="44"/>
        <v>19.868413953345918</v>
      </c>
      <c r="N141" s="218">
        <f t="shared" si="44"/>
        <v>20.265782232412839</v>
      </c>
      <c r="O141" s="218">
        <f t="shared" si="44"/>
        <v>20.671097877061094</v>
      </c>
      <c r="P141" s="218">
        <f t="shared" si="44"/>
        <v>21.084519834602318</v>
      </c>
      <c r="Q141" s="218">
        <f t="shared" si="44"/>
        <v>21.506210231294364</v>
      </c>
      <c r="R141" s="218">
        <f t="shared" si="44"/>
        <v>21.936334435920251</v>
      </c>
      <c r="S141" s="218">
        <f t="shared" si="44"/>
        <v>22.375061124638659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16.787753131639697</v>
      </c>
      <c r="X141" s="218">
        <f t="shared" si="44"/>
        <v>0</v>
      </c>
      <c r="Y141" s="218">
        <f t="shared" si="44"/>
        <v>0</v>
      </c>
      <c r="AA141" s="606">
        <f t="shared" si="26"/>
        <v>362.92954029537214</v>
      </c>
      <c r="AB141" s="607">
        <f t="shared" si="39"/>
        <v>362.92954029537214</v>
      </c>
    </row>
    <row r="142" spans="1:28" s="199" customFormat="1">
      <c r="A142" s="199" t="s">
        <v>82</v>
      </c>
      <c r="F142" s="203">
        <f>F139-F140-F141</f>
        <v>32.122350000000004</v>
      </c>
      <c r="G142" s="203">
        <f t="shared" ref="G142:Y142" si="45">G139-G140-G141</f>
        <v>32.764797000000002</v>
      </c>
      <c r="H142" s="203">
        <f t="shared" si="45"/>
        <v>33.420092940000004</v>
      </c>
      <c r="I142" s="203">
        <f t="shared" si="45"/>
        <v>34.088494798799999</v>
      </c>
      <c r="J142" s="203">
        <f t="shared" si="45"/>
        <v>34.770264694776003</v>
      </c>
      <c r="K142" s="203">
        <f t="shared" si="45"/>
        <v>35.465669988671522</v>
      </c>
      <c r="L142" s="203">
        <f t="shared" si="45"/>
        <v>36.174983388444957</v>
      </c>
      <c r="M142" s="203">
        <f t="shared" si="45"/>
        <v>36.898483056213848</v>
      </c>
      <c r="N142" s="203">
        <f t="shared" si="45"/>
        <v>37.63645271733813</v>
      </c>
      <c r="O142" s="203">
        <f t="shared" si="45"/>
        <v>38.389181771684896</v>
      </c>
      <c r="P142" s="203">
        <f t="shared" si="45"/>
        <v>39.156965407118598</v>
      </c>
      <c r="Q142" s="203">
        <f t="shared" si="45"/>
        <v>39.940104715260972</v>
      </c>
      <c r="R142" s="203">
        <f t="shared" si="45"/>
        <v>40.738906809566188</v>
      </c>
      <c r="S142" s="203">
        <f t="shared" si="45"/>
        <v>41.55368494575751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31.177255815902292</v>
      </c>
      <c r="X142" s="203">
        <f t="shared" si="45"/>
        <v>0</v>
      </c>
      <c r="Y142" s="203">
        <f t="shared" si="45"/>
        <v>0</v>
      </c>
      <c r="AA142" s="606">
        <f t="shared" si="26"/>
        <v>674.01200340569108</v>
      </c>
      <c r="AB142" s="607">
        <f t="shared" si="39"/>
        <v>674.01200340569108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834.19370466938869</v>
      </c>
      <c r="G144" s="220">
        <f t="shared" ref="G144:Y144" si="46">G76</f>
        <v>853.74294939048593</v>
      </c>
      <c r="H144" s="220">
        <f t="shared" si="46"/>
        <v>844.28810946498982</v>
      </c>
      <c r="I144" s="220">
        <f t="shared" si="46"/>
        <v>557.36677034621607</v>
      </c>
      <c r="J144" s="220">
        <f t="shared" si="46"/>
        <v>496.06529804572926</v>
      </c>
      <c r="K144" s="220">
        <f t="shared" si="46"/>
        <v>512.9632794690832</v>
      </c>
      <c r="L144" s="220">
        <f t="shared" si="46"/>
        <v>529.69234986817855</v>
      </c>
      <c r="M144" s="220">
        <f t="shared" si="46"/>
        <v>546.24913661045844</v>
      </c>
      <c r="N144" s="220">
        <f t="shared" si="46"/>
        <v>562.63019971968231</v>
      </c>
      <c r="O144" s="220">
        <f t="shared" si="46"/>
        <v>578.83203053117131</v>
      </c>
      <c r="P144" s="220">
        <f t="shared" si="46"/>
        <v>589.29574472536319</v>
      </c>
      <c r="Q144" s="220">
        <f t="shared" si="46"/>
        <v>599.57299771335875</v>
      </c>
      <c r="R144" s="220">
        <f t="shared" si="46"/>
        <v>609.66006642545381</v>
      </c>
      <c r="S144" s="220">
        <f t="shared" si="46"/>
        <v>619.55315345056067</v>
      </c>
      <c r="T144" s="220">
        <f t="shared" si="46"/>
        <v>379.44001852058545</v>
      </c>
      <c r="U144" s="220">
        <f t="shared" si="46"/>
        <v>414.39167332689351</v>
      </c>
      <c r="V144" s="220">
        <f t="shared" si="46"/>
        <v>466.14990889217347</v>
      </c>
      <c r="W144" s="220">
        <f t="shared" si="46"/>
        <v>334.859051681388</v>
      </c>
      <c r="X144" s="220">
        <f t="shared" si="46"/>
        <v>-90.083857539989324</v>
      </c>
      <c r="Y144" s="220">
        <f t="shared" si="46"/>
        <v>0</v>
      </c>
      <c r="AA144" s="606">
        <f t="shared" si="26"/>
        <v>10238.862585311173</v>
      </c>
      <c r="AB144" s="607">
        <f t="shared" si="39"/>
        <v>10238.862585311173</v>
      </c>
    </row>
    <row r="145" spans="1:28" s="199" customFormat="1">
      <c r="A145" s="124" t="s">
        <v>91</v>
      </c>
      <c r="F145" s="213">
        <f>F142+F144</f>
        <v>866.31605466938868</v>
      </c>
      <c r="G145" s="213">
        <f t="shared" ref="G145:Y145" si="47">G142+G144</f>
        <v>886.50774639048598</v>
      </c>
      <c r="H145" s="213">
        <f t="shared" si="47"/>
        <v>877.70820240498983</v>
      </c>
      <c r="I145" s="213">
        <f t="shared" si="47"/>
        <v>591.45526514501603</v>
      </c>
      <c r="J145" s="213">
        <f t="shared" si="47"/>
        <v>530.83556274050522</v>
      </c>
      <c r="K145" s="213">
        <f t="shared" si="47"/>
        <v>548.4289494577547</v>
      </c>
      <c r="L145" s="213">
        <f t="shared" si="47"/>
        <v>565.86733325662351</v>
      </c>
      <c r="M145" s="213">
        <f t="shared" si="47"/>
        <v>583.14761966667231</v>
      </c>
      <c r="N145" s="213">
        <f t="shared" si="47"/>
        <v>600.26665243702041</v>
      </c>
      <c r="O145" s="213">
        <f t="shared" si="47"/>
        <v>617.2212123028562</v>
      </c>
      <c r="P145" s="213">
        <f t="shared" si="47"/>
        <v>628.4527101324818</v>
      </c>
      <c r="Q145" s="213">
        <f t="shared" si="47"/>
        <v>639.51310242861973</v>
      </c>
      <c r="R145" s="213">
        <f t="shared" si="47"/>
        <v>650.39897323501998</v>
      </c>
      <c r="S145" s="213">
        <f t="shared" si="47"/>
        <v>661.10683839631815</v>
      </c>
      <c r="T145" s="213">
        <f t="shared" si="47"/>
        <v>421.82477716525813</v>
      </c>
      <c r="U145" s="213">
        <f t="shared" si="47"/>
        <v>457.62412714445964</v>
      </c>
      <c r="V145" s="213">
        <f t="shared" si="47"/>
        <v>510.24701178609092</v>
      </c>
      <c r="W145" s="213">
        <f t="shared" si="47"/>
        <v>366.0363074972903</v>
      </c>
      <c r="X145" s="213">
        <f t="shared" si="47"/>
        <v>-90.083857539989324</v>
      </c>
      <c r="Y145" s="213">
        <f t="shared" si="47"/>
        <v>0</v>
      </c>
      <c r="AA145" s="606">
        <f t="shared" si="26"/>
        <v>10912.874588716864</v>
      </c>
      <c r="AB145" s="607">
        <f t="shared" si="39"/>
        <v>10912.874588716864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32.122350000000004</v>
      </c>
      <c r="G150" s="200">
        <f t="shared" ref="G150:Y150" si="48">G142</f>
        <v>32.764797000000002</v>
      </c>
      <c r="H150" s="200">
        <f t="shared" si="48"/>
        <v>33.420092940000004</v>
      </c>
      <c r="I150" s="200">
        <f t="shared" si="48"/>
        <v>34.088494798799999</v>
      </c>
      <c r="J150" s="200">
        <f t="shared" si="48"/>
        <v>34.770264694776003</v>
      </c>
      <c r="K150" s="200">
        <f t="shared" si="48"/>
        <v>35.465669988671522</v>
      </c>
      <c r="L150" s="200">
        <f t="shared" si="48"/>
        <v>36.174983388444957</v>
      </c>
      <c r="M150" s="200">
        <f t="shared" si="48"/>
        <v>36.898483056213848</v>
      </c>
      <c r="N150" s="200">
        <f t="shared" si="48"/>
        <v>37.63645271733813</v>
      </c>
      <c r="O150" s="200">
        <f t="shared" si="48"/>
        <v>38.389181771684896</v>
      </c>
      <c r="P150" s="200">
        <f t="shared" si="48"/>
        <v>39.156965407118598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</v>
      </c>
      <c r="T150" s="200">
        <f t="shared" si="48"/>
        <v>42.384758644672665</v>
      </c>
      <c r="U150" s="200">
        <f t="shared" si="48"/>
        <v>43.232453817566125</v>
      </c>
      <c r="V150" s="200">
        <f t="shared" si="48"/>
        <v>44.097102893917452</v>
      </c>
      <c r="W150" s="200">
        <f t="shared" si="48"/>
        <v>31.177255815902292</v>
      </c>
      <c r="X150" s="200">
        <f t="shared" si="48"/>
        <v>0</v>
      </c>
      <c r="Y150" s="200">
        <f t="shared" si="48"/>
        <v>0</v>
      </c>
      <c r="AA150" s="606">
        <f t="shared" si="26"/>
        <v>674.01200340569108</v>
      </c>
      <c r="AB150" s="607">
        <f t="shared" si="39"/>
        <v>674.01200340569108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34.088494798799999</v>
      </c>
      <c r="J152" s="200">
        <f t="shared" si="49"/>
        <v>34.770264694776003</v>
      </c>
      <c r="K152" s="200">
        <f t="shared" si="49"/>
        <v>35.465669988671522</v>
      </c>
      <c r="L152" s="200">
        <f t="shared" si="49"/>
        <v>36.174983388444957</v>
      </c>
      <c r="M152" s="200">
        <f t="shared" si="49"/>
        <v>36.898483056213848</v>
      </c>
      <c r="N152" s="200">
        <f t="shared" si="49"/>
        <v>37.63645271733813</v>
      </c>
      <c r="O152" s="200">
        <f t="shared" si="49"/>
        <v>38.389181771684896</v>
      </c>
      <c r="P152" s="200">
        <f t="shared" si="49"/>
        <v>39.156965407118598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</v>
      </c>
      <c r="T152" s="200">
        <f t="shared" si="49"/>
        <v>42.384758644672665</v>
      </c>
      <c r="U152" s="200">
        <f t="shared" si="49"/>
        <v>43.232453817566125</v>
      </c>
      <c r="V152" s="200">
        <f t="shared" si="49"/>
        <v>44.097102893917452</v>
      </c>
      <c r="W152" s="200">
        <f t="shared" si="49"/>
        <v>31.177255815902292</v>
      </c>
      <c r="X152" s="200">
        <f t="shared" si="49"/>
        <v>0</v>
      </c>
      <c r="Y152" s="200">
        <f t="shared" si="49"/>
        <v>0</v>
      </c>
      <c r="AA152" s="606">
        <f t="shared" si="26"/>
        <v>674.01200340569108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317.02222871353604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12037.494112973049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317.02222871353604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12354.516341686585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150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[16]Financials!I$14</f>
        <v>5017.8074424975784</v>
      </c>
      <c r="F10" s="336">
        <f>[16]Financials!J$14</f>
        <v>5017.8074424975784</v>
      </c>
      <c r="G10" s="336">
        <f>[16]Financials!K$14</f>
        <v>5017.8074424975784</v>
      </c>
      <c r="H10" s="336">
        <f>[16]Financials!L$14</f>
        <v>5017.8074424975784</v>
      </c>
      <c r="I10" s="336">
        <f>[16]Financials!M$14</f>
        <v>5017.8074424975784</v>
      </c>
      <c r="J10" s="336">
        <f>[16]Financials!N$14</f>
        <v>5017.8074424975784</v>
      </c>
      <c r="K10" s="336">
        <f>[16]Financials!O$14</f>
        <v>5017.8074424975784</v>
      </c>
      <c r="L10" s="336">
        <f>[16]Financials!P$14</f>
        <v>5017.8074424975784</v>
      </c>
      <c r="M10" s="336">
        <f>[16]Financials!Q$14</f>
        <v>5017.8074424975784</v>
      </c>
      <c r="N10" s="336">
        <f>[16]Financials!R$14</f>
        <v>5017.8074424975784</v>
      </c>
      <c r="O10" s="336">
        <f>[16]Financials!S$14</f>
        <v>5017.8074424975784</v>
      </c>
      <c r="P10" s="336">
        <f>[16]Financials!T$14</f>
        <v>5017.8074424975784</v>
      </c>
      <c r="Q10" s="336">
        <f>[16]Financials!U$14</f>
        <v>5017.8074424975784</v>
      </c>
      <c r="R10" s="336">
        <f>[16]Financials!V$14</f>
        <v>4342.6538596838018</v>
      </c>
      <c r="S10" s="336">
        <f>[16]Financials!W$14</f>
        <v>0</v>
      </c>
      <c r="T10" s="336">
        <f>[16]Financials!X$14</f>
        <v>0</v>
      </c>
      <c r="U10" s="336">
        <f>[16]Financials!Y$14</f>
        <v>0</v>
      </c>
      <c r="V10" s="336">
        <f>[16]Financials!Z$14</f>
        <v>0</v>
      </c>
      <c r="W10" s="336">
        <f>[16]Financials!AA$14</f>
        <v>0</v>
      </c>
      <c r="X10" s="336">
        <f>[16]Financials!AB$14</f>
        <v>0</v>
      </c>
      <c r="Y10" s="336">
        <f>[16]Financials!AC$14</f>
        <v>0</v>
      </c>
      <c r="AA10" s="606">
        <f t="shared" ref="AA10:AA38" si="1">SUM(F10:Y10)</f>
        <v>64556.343169654741</v>
      </c>
      <c r="AB10" s="607">
        <f>AA10*$C$60</f>
        <v>32278.171584827371</v>
      </c>
    </row>
    <row r="11" spans="1:28">
      <c r="A11" s="4" t="s">
        <v>9</v>
      </c>
      <c r="B11" s="12"/>
      <c r="C11" s="12"/>
      <c r="D11" s="90">
        <v>1</v>
      </c>
      <c r="E11" s="336">
        <f>[16]Financials!I$13</f>
        <v>6510.4640269834763</v>
      </c>
      <c r="F11" s="336">
        <f>[16]Financials!J$13</f>
        <v>6585.9324047872169</v>
      </c>
      <c r="G11" s="336">
        <f>[16]Financials!K$13</f>
        <v>6688.3438920187346</v>
      </c>
      <c r="H11" s="336">
        <f>[16]Financials!L$13</f>
        <v>7371.3983890953104</v>
      </c>
      <c r="I11" s="336">
        <f>[16]Financials!M$13</f>
        <v>8054.4528861718863</v>
      </c>
      <c r="J11" s="336">
        <f>[16]Financials!N$13</f>
        <v>8737.5073832484632</v>
      </c>
      <c r="K11" s="336">
        <f>[16]Financials!O$13</f>
        <v>9420.56188032504</v>
      </c>
      <c r="L11" s="336">
        <f>[16]Financials!P$13</f>
        <v>10103.616377401615</v>
      </c>
      <c r="M11" s="336">
        <f>[16]Financials!Q$13</f>
        <v>10786.670874478195</v>
      </c>
      <c r="N11" s="336">
        <f>[16]Financials!R$13</f>
        <v>11273.232427280929</v>
      </c>
      <c r="O11" s="336">
        <f>[16]Financials!S$13</f>
        <v>11759.793980083665</v>
      </c>
      <c r="P11" s="336">
        <f>[16]Financials!T$13</f>
        <v>12246.355532886399</v>
      </c>
      <c r="Q11" s="336">
        <f>[16]Financials!U$13</f>
        <v>12732.917085689132</v>
      </c>
      <c r="R11" s="336">
        <f>[16]Financials!V$13</f>
        <v>13138.740806365076</v>
      </c>
      <c r="S11" s="336">
        <f>[16]Financials!W$13</f>
        <v>0</v>
      </c>
      <c r="T11" s="336">
        <f>[16]Financials!X$13</f>
        <v>0</v>
      </c>
      <c r="U11" s="336">
        <f>[16]Financials!Y$13</f>
        <v>0</v>
      </c>
      <c r="V11" s="336">
        <f>[16]Financials!Z$13</f>
        <v>0</v>
      </c>
      <c r="W11" s="336">
        <f>[16]Financials!AA$13</f>
        <v>0</v>
      </c>
      <c r="X11" s="336">
        <f>[16]Financials!AB$13</f>
        <v>0</v>
      </c>
      <c r="Y11" s="336">
        <f>[16]Financials!AC$13</f>
        <v>0</v>
      </c>
      <c r="AA11" s="606">
        <f t="shared" si="1"/>
        <v>128899.52391983167</v>
      </c>
      <c r="AB11" s="607">
        <f t="shared" ref="AB11:AB74" si="2">AA11*$C$60</f>
        <v>64449.761959915835</v>
      </c>
    </row>
    <row r="12" spans="1:28">
      <c r="A12" s="4" t="s">
        <v>247</v>
      </c>
      <c r="B12" s="12"/>
      <c r="C12" s="12"/>
      <c r="D12" s="90">
        <v>1</v>
      </c>
      <c r="E12" s="336">
        <f>[16]Financials!I$15</f>
        <v>1268.6483908297475</v>
      </c>
      <c r="F12" s="336">
        <f>[16]Financials!J$15</f>
        <v>1001.5287980829073</v>
      </c>
      <c r="G12" s="336">
        <f>[16]Financials!K$15</f>
        <v>0</v>
      </c>
      <c r="H12" s="336">
        <f>[16]Financials!L$15</f>
        <v>0</v>
      </c>
      <c r="I12" s="336">
        <f>[16]Financials!M$15</f>
        <v>0</v>
      </c>
      <c r="J12" s="336">
        <f>[16]Financials!N$15</f>
        <v>0</v>
      </c>
      <c r="K12" s="336">
        <f>[16]Financials!O$15</f>
        <v>0</v>
      </c>
      <c r="L12" s="336">
        <f>[16]Financials!P$15</f>
        <v>0</v>
      </c>
      <c r="M12" s="336">
        <f>[16]Financials!Q$15</f>
        <v>0</v>
      </c>
      <c r="N12" s="336">
        <f>[16]Financials!R$15</f>
        <v>0</v>
      </c>
      <c r="O12" s="336">
        <f>[16]Financials!S$15</f>
        <v>0</v>
      </c>
      <c r="P12" s="336">
        <f>[16]Financials!T$15</f>
        <v>0</v>
      </c>
      <c r="Q12" s="336">
        <f>[16]Financials!U$15</f>
        <v>0</v>
      </c>
      <c r="R12" s="336">
        <f>[16]Financials!V$15</f>
        <v>0</v>
      </c>
      <c r="S12" s="336">
        <f>[16]Financials!W$15</f>
        <v>0</v>
      </c>
      <c r="T12" s="336">
        <f>[16]Financials!X$15</f>
        <v>0</v>
      </c>
      <c r="U12" s="336">
        <f>[16]Financials!Y$15</f>
        <v>0</v>
      </c>
      <c r="V12" s="336">
        <f>[16]Financials!Z$15</f>
        <v>0</v>
      </c>
      <c r="W12" s="336">
        <f>[16]Financials!AA$15</f>
        <v>0</v>
      </c>
      <c r="X12" s="336">
        <f>[16]Financials!AB$15</f>
        <v>0</v>
      </c>
      <c r="Y12" s="336">
        <f>[16]Financials!AC$15</f>
        <v>0</v>
      </c>
      <c r="AA12" s="606">
        <f t="shared" si="1"/>
        <v>1001.5287980829073</v>
      </c>
      <c r="AB12" s="607">
        <f t="shared" si="2"/>
        <v>500.76439904145366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12796.919860310802</v>
      </c>
      <c r="F20" s="90">
        <f t="shared" si="3"/>
        <v>12605.268645367703</v>
      </c>
      <c r="G20" s="90">
        <f t="shared" si="3"/>
        <v>11706.151334516313</v>
      </c>
      <c r="H20" s="90">
        <f t="shared" si="3"/>
        <v>12389.205831592888</v>
      </c>
      <c r="I20" s="90">
        <f t="shared" si="3"/>
        <v>13072.260328669465</v>
      </c>
      <c r="J20" s="90">
        <f t="shared" si="3"/>
        <v>13755.314825746042</v>
      </c>
      <c r="K20" s="90">
        <f t="shared" si="3"/>
        <v>14438.369322822618</v>
      </c>
      <c r="L20" s="90">
        <f t="shared" si="3"/>
        <v>15121.423819899193</v>
      </c>
      <c r="M20" s="90">
        <f t="shared" si="3"/>
        <v>15804.478316975774</v>
      </c>
      <c r="N20" s="90">
        <f t="shared" si="3"/>
        <v>16291.039869778508</v>
      </c>
      <c r="O20" s="90">
        <f t="shared" si="3"/>
        <v>16777.601422581243</v>
      </c>
      <c r="P20" s="90">
        <f t="shared" si="3"/>
        <v>17264.162975383977</v>
      </c>
      <c r="Q20" s="90">
        <f t="shared" si="3"/>
        <v>17750.724528186711</v>
      </c>
      <c r="R20" s="90">
        <f t="shared" si="3"/>
        <v>17481.39466604888</v>
      </c>
      <c r="S20" s="90">
        <f t="shared" si="3"/>
        <v>0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194457.39588756932</v>
      </c>
      <c r="AB20" s="607">
        <f t="shared" si="2"/>
        <v>97228.69794378466</v>
      </c>
    </row>
    <row r="21" spans="1:28">
      <c r="A21" s="4"/>
      <c r="E21" s="345"/>
      <c r="F21" s="345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SUM([16]Financials!I$20:I$29)</f>
        <v>7878.1903141770881</v>
      </c>
      <c r="F25" s="336">
        <f>SUM([16]Financials!J$20:J$29)</f>
        <v>8352.6867820256011</v>
      </c>
      <c r="G25" s="336">
        <f>SUM([16]Financials!K$20:K$29)</f>
        <v>8450.3622271179393</v>
      </c>
      <c r="H25" s="336">
        <f>SUM([16]Financials!L$20:L$29)</f>
        <v>8647.3082326744479</v>
      </c>
      <c r="I25" s="336">
        <f>SUM([16]Financials!M$20:M$29)</f>
        <v>8827.7900141595983</v>
      </c>
      <c r="J25" s="336">
        <f>SUM([16]Financials!N$20:N$29)</f>
        <v>9049.8201047189978</v>
      </c>
      <c r="K25" s="336">
        <f>SUM([16]Financials!O$20:O$29)</f>
        <v>9286.2726261191037</v>
      </c>
      <c r="L25" s="336">
        <f>SUM([16]Financials!P$20:P$29)</f>
        <v>9530.7480888327846</v>
      </c>
      <c r="M25" s="336">
        <f>SUM([16]Financials!Q$20:Q$29)</f>
        <v>10096.19484262394</v>
      </c>
      <c r="N25" s="336">
        <f>SUM([16]Financials!R$20:R$29)</f>
        <v>10511.402928590771</v>
      </c>
      <c r="O25" s="336">
        <f>SUM([16]Financials!S$20:S$29)</f>
        <v>10773.685007587857</v>
      </c>
      <c r="P25" s="336">
        <f>SUM([16]Financials!T$20:T$29)</f>
        <v>11041.208671096545</v>
      </c>
      <c r="Q25" s="336">
        <f>SUM([16]Financials!U$20:U$29)</f>
        <v>11314.099674002733</v>
      </c>
      <c r="R25" s="336">
        <f>SUM([16]Financials!V$20:V$29)</f>
        <v>11524.45656112363</v>
      </c>
      <c r="S25" s="336">
        <f>SUM([16]Financials!W$20:W$29)</f>
        <v>0</v>
      </c>
      <c r="T25" s="336">
        <f>SUM([16]Financials!X$20:X$29)</f>
        <v>0</v>
      </c>
      <c r="U25" s="336">
        <f>SUM([16]Financials!Y$20:Y$29)</f>
        <v>0</v>
      </c>
      <c r="V25" s="336">
        <f>SUM([16]Financials!Z$20:Z$29)</f>
        <v>0</v>
      </c>
      <c r="W25" s="336">
        <f>SUM([16]Financials!AA$20:AA$29)</f>
        <v>0</v>
      </c>
      <c r="X25" s="336">
        <f>SUM([16]Financials!AB$20:AB$29)</f>
        <v>0</v>
      </c>
      <c r="Y25" s="336">
        <f>SUM([16]Financials!AC$20:AC$29)</f>
        <v>0</v>
      </c>
      <c r="AA25" s="606">
        <f t="shared" si="1"/>
        <v>127406.03576067396</v>
      </c>
      <c r="AB25" s="607">
        <f t="shared" si="2"/>
        <v>63703.017880336978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[16]Financials!I$30</f>
        <v>318</v>
      </c>
      <c r="F28" s="336">
        <f>[16]Financials!J$30</f>
        <v>324.99599999999998</v>
      </c>
      <c r="G28" s="336">
        <f>[16]Financials!K$30</f>
        <v>332.79590400000001</v>
      </c>
      <c r="H28" s="336">
        <f>[16]Financials!L$30</f>
        <v>340.78300569600003</v>
      </c>
      <c r="I28" s="336">
        <f>[16]Financials!M$30</f>
        <v>348.62101482700803</v>
      </c>
      <c r="J28" s="336">
        <f>[16]Financials!N$30</f>
        <v>356.98791918285622</v>
      </c>
      <c r="K28" s="336">
        <f>[16]Financials!O$30</f>
        <v>365.55562924324477</v>
      </c>
      <c r="L28" s="336">
        <f>[16]Financials!P$30</f>
        <v>374.32896434508262</v>
      </c>
      <c r="M28" s="336">
        <f>[16]Financials!Q$30</f>
        <v>383.3128594893646</v>
      </c>
      <c r="N28" s="336">
        <f>[16]Financials!R$30</f>
        <v>392.51236811710936</v>
      </c>
      <c r="O28" s="336">
        <f>[16]Financials!S$30</f>
        <v>401.93266495192</v>
      </c>
      <c r="P28" s="336">
        <f>[16]Financials!T$30</f>
        <v>411.57904891076612</v>
      </c>
      <c r="Q28" s="336">
        <f>[16]Financials!U$30</f>
        <v>421.45694608462452</v>
      </c>
      <c r="R28" s="336">
        <f>[16]Financials!V$30</f>
        <v>431.57191279065552</v>
      </c>
      <c r="S28" s="336">
        <f>[16]Financials!W$30</f>
        <v>0</v>
      </c>
      <c r="T28" s="336">
        <f>[16]Financials!X$30</f>
        <v>0</v>
      </c>
      <c r="U28" s="336">
        <f>[16]Financials!Y$30</f>
        <v>0</v>
      </c>
      <c r="V28" s="336">
        <f>[16]Financials!Z$30</f>
        <v>0</v>
      </c>
      <c r="W28" s="336">
        <f>[16]Financials!AA$30</f>
        <v>0</v>
      </c>
      <c r="X28" s="336">
        <f>[16]Financials!AB$30</f>
        <v>0</v>
      </c>
      <c r="Y28" s="336">
        <f>[16]Financials!AC$30</f>
        <v>0</v>
      </c>
      <c r="AA28" s="606">
        <f t="shared" si="1"/>
        <v>4886.4342376386321</v>
      </c>
      <c r="AB28" s="607">
        <f t="shared" si="2"/>
        <v>2443.2171188193161</v>
      </c>
    </row>
    <row r="29" spans="1:28">
      <c r="A29" s="4" t="s">
        <v>4</v>
      </c>
      <c r="D29" s="90">
        <v>0</v>
      </c>
      <c r="E29" s="336">
        <f>[16]Financials!I$31</f>
        <v>104</v>
      </c>
      <c r="F29" s="336">
        <f>[16]Financials!J$31</f>
        <v>106.288</v>
      </c>
      <c r="G29" s="336">
        <f>[16]Financials!K$31</f>
        <v>108.83891199999999</v>
      </c>
      <c r="H29" s="336">
        <f>[16]Financials!L$31</f>
        <v>111.451045888</v>
      </c>
      <c r="I29" s="336">
        <f>[16]Financials!M$31</f>
        <v>114.01441994342399</v>
      </c>
      <c r="J29" s="336">
        <f>[16]Financials!N$31</f>
        <v>116.75076602206616</v>
      </c>
      <c r="K29" s="336">
        <f>[16]Financials!O$31</f>
        <v>119.55278440659575</v>
      </c>
      <c r="L29" s="336">
        <f>[16]Financials!P$31</f>
        <v>122.42205123235405</v>
      </c>
      <c r="M29" s="336">
        <f>[16]Financials!Q$31</f>
        <v>125.36018046193055</v>
      </c>
      <c r="N29" s="336">
        <f>[16]Financials!R$31</f>
        <v>128.3688247930169</v>
      </c>
      <c r="O29" s="336">
        <f>[16]Financials!S$31</f>
        <v>131.4496765880493</v>
      </c>
      <c r="P29" s="336">
        <f>[16]Financials!T$31</f>
        <v>134.60446882616247</v>
      </c>
      <c r="Q29" s="336">
        <f>[16]Financials!U$31</f>
        <v>137.83497607799038</v>
      </c>
      <c r="R29" s="336">
        <f>[16]Financials!V$31</f>
        <v>141.14301550386216</v>
      </c>
      <c r="S29" s="336">
        <f>[16]Financials!W$31</f>
        <v>0</v>
      </c>
      <c r="T29" s="336">
        <f>[16]Financials!X$31</f>
        <v>0</v>
      </c>
      <c r="U29" s="336">
        <f>[16]Financials!Y$31</f>
        <v>0</v>
      </c>
      <c r="V29" s="336">
        <f>[16]Financials!Z$31</f>
        <v>0</v>
      </c>
      <c r="W29" s="336">
        <f>[16]Financials!AA$31</f>
        <v>0</v>
      </c>
      <c r="X29" s="336">
        <f>[16]Financials!AB$31</f>
        <v>0</v>
      </c>
      <c r="Y29" s="336">
        <f>[16]Financials!AC$31</f>
        <v>0</v>
      </c>
      <c r="AA29" s="606">
        <f t="shared" si="1"/>
        <v>1598.0791217434517</v>
      </c>
      <c r="AB29" s="607">
        <f t="shared" si="2"/>
        <v>799.03956087172583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[16]Financials!I$33</f>
        <v>346.13088000000005</v>
      </c>
      <c r="F34" s="336">
        <f>[16]Financials!J$33</f>
        <v>353.05349760000007</v>
      </c>
      <c r="G34" s="336">
        <f>[16]Financials!K$33</f>
        <v>360.82067454720004</v>
      </c>
      <c r="H34" s="336">
        <f>[16]Financials!L$33</f>
        <v>369.48037073633287</v>
      </c>
      <c r="I34" s="336">
        <f>[16]Financials!M$33</f>
        <v>378.34789963400488</v>
      </c>
      <c r="J34" s="336">
        <f>[16]Financials!N$33</f>
        <v>387.04990132558697</v>
      </c>
      <c r="K34" s="336">
        <f>[16]Financials!O$33</f>
        <v>396.33909895740101</v>
      </c>
      <c r="L34" s="336">
        <f>[16]Financials!P$33</f>
        <v>405.85123733237867</v>
      </c>
      <c r="M34" s="336">
        <f>[16]Financials!Q$33</f>
        <v>415.5916670283558</v>
      </c>
      <c r="N34" s="336">
        <f>[16]Financials!R$33</f>
        <v>425.56586703703636</v>
      </c>
      <c r="O34" s="336">
        <f>[16]Financials!S$33</f>
        <v>435.77944784592523</v>
      </c>
      <c r="P34" s="336">
        <f>[16]Financials!T$33</f>
        <v>446.23815459422741</v>
      </c>
      <c r="Q34" s="336">
        <f>[16]Financials!U$33</f>
        <v>456.9478703044889</v>
      </c>
      <c r="R34" s="336">
        <f>[16]Financials!V$33</f>
        <v>467.91461919179665</v>
      </c>
      <c r="S34" s="336">
        <f>[16]Financials!W$33</f>
        <v>0</v>
      </c>
      <c r="T34" s="336">
        <f>[16]Financials!X$33</f>
        <v>0</v>
      </c>
      <c r="U34" s="336">
        <f>[16]Financials!Y$33</f>
        <v>0</v>
      </c>
      <c r="V34" s="336">
        <f>[16]Financials!Z$33</f>
        <v>0</v>
      </c>
      <c r="W34" s="336">
        <f>[16]Financials!AA$33</f>
        <v>0</v>
      </c>
      <c r="X34" s="336">
        <f>[16]Financials!AB$33</f>
        <v>0</v>
      </c>
      <c r="Y34" s="336">
        <f>[16]Financials!AC$33</f>
        <v>0</v>
      </c>
      <c r="AA34" s="606">
        <f t="shared" si="1"/>
        <v>5298.9803061347338</v>
      </c>
      <c r="AB34" s="607">
        <f t="shared" si="2"/>
        <v>2649.4901530673669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8646.3211941770896</v>
      </c>
      <c r="F36" s="90">
        <f t="shared" si="4"/>
        <v>9137.0242796256007</v>
      </c>
      <c r="G36" s="90">
        <f t="shared" si="4"/>
        <v>9252.8177176651388</v>
      </c>
      <c r="H36" s="90">
        <f t="shared" si="4"/>
        <v>9469.0226549947802</v>
      </c>
      <c r="I36" s="90">
        <f t="shared" si="4"/>
        <v>9668.7733485640347</v>
      </c>
      <c r="J36" s="90">
        <f t="shared" si="4"/>
        <v>9910.6086912495066</v>
      </c>
      <c r="K36" s="90">
        <f t="shared" si="4"/>
        <v>10167.720138726347</v>
      </c>
      <c r="L36" s="90">
        <f t="shared" si="4"/>
        <v>10433.3503417426</v>
      </c>
      <c r="M36" s="90">
        <f t="shared" si="4"/>
        <v>11020.459549603589</v>
      </c>
      <c r="N36" s="90">
        <f t="shared" si="4"/>
        <v>11457.849988537933</v>
      </c>
      <c r="O36" s="90">
        <f t="shared" si="4"/>
        <v>11742.846796973752</v>
      </c>
      <c r="P36" s="90">
        <f t="shared" si="4"/>
        <v>12033.630343427702</v>
      </c>
      <c r="Q36" s="90">
        <f t="shared" si="4"/>
        <v>12330.339466469839</v>
      </c>
      <c r="R36" s="90">
        <f t="shared" si="4"/>
        <v>12565.086108609945</v>
      </c>
      <c r="S36" s="90">
        <f t="shared" si="4"/>
        <v>0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139189.52942619077</v>
      </c>
      <c r="AB36" s="607">
        <f t="shared" si="2"/>
        <v>69594.764713095385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4150.598666133712</v>
      </c>
      <c r="F39" s="93">
        <f t="shared" si="5"/>
        <v>3468.2443657421027</v>
      </c>
      <c r="G39" s="93">
        <f t="shared" si="5"/>
        <v>2453.3336168511742</v>
      </c>
      <c r="H39" s="93">
        <f t="shared" si="5"/>
        <v>2920.1831765981078</v>
      </c>
      <c r="I39" s="93">
        <f t="shared" si="5"/>
        <v>3403.4869801054301</v>
      </c>
      <c r="J39" s="93">
        <f t="shared" si="5"/>
        <v>3844.706134496535</v>
      </c>
      <c r="K39" s="93">
        <f t="shared" si="5"/>
        <v>4270.6491840962717</v>
      </c>
      <c r="L39" s="93">
        <f t="shared" si="5"/>
        <v>4688.0734781565934</v>
      </c>
      <c r="M39" s="93">
        <f t="shared" si="5"/>
        <v>4784.0187673721848</v>
      </c>
      <c r="N39" s="93">
        <f t="shared" si="5"/>
        <v>4833.1898812405743</v>
      </c>
      <c r="O39" s="93">
        <f t="shared" si="5"/>
        <v>5034.7546256074911</v>
      </c>
      <c r="P39" s="93">
        <f t="shared" si="5"/>
        <v>5230.5326319562755</v>
      </c>
      <c r="Q39" s="93">
        <f t="shared" si="5"/>
        <v>5420.3850617168719</v>
      </c>
      <c r="R39" s="93">
        <f t="shared" si="5"/>
        <v>4916.3085574389352</v>
      </c>
      <c r="S39" s="93">
        <f t="shared" si="5"/>
        <v>0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55267.866461378544</v>
      </c>
      <c r="AB39" s="607">
        <f t="shared" si="2"/>
        <v>27633.933230689272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1345</v>
      </c>
      <c r="G41" s="90">
        <f t="shared" ref="G41:Y41" si="7">+G109</f>
        <v>1345</v>
      </c>
      <c r="H41" s="90">
        <f t="shared" si="7"/>
        <v>1345</v>
      </c>
      <c r="I41" s="90">
        <f t="shared" si="7"/>
        <v>1345</v>
      </c>
      <c r="J41" s="90">
        <f t="shared" si="7"/>
        <v>1345</v>
      </c>
      <c r="K41" s="90">
        <f t="shared" si="7"/>
        <v>1345</v>
      </c>
      <c r="L41" s="90">
        <f t="shared" si="7"/>
        <v>1345</v>
      </c>
      <c r="M41" s="90">
        <f t="shared" si="7"/>
        <v>1345</v>
      </c>
      <c r="N41" s="90">
        <f t="shared" si="7"/>
        <v>1345</v>
      </c>
      <c r="O41" s="90">
        <f t="shared" si="7"/>
        <v>1345</v>
      </c>
      <c r="P41" s="90">
        <f t="shared" si="7"/>
        <v>1345</v>
      </c>
      <c r="Q41" s="90">
        <f t="shared" si="7"/>
        <v>1345</v>
      </c>
      <c r="R41" s="90">
        <f t="shared" si="7"/>
        <v>1345</v>
      </c>
      <c r="S41" s="90">
        <f t="shared" si="7"/>
        <v>0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17485</v>
      </c>
      <c r="AB41" s="607">
        <f t="shared" si="2"/>
        <v>8742.5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4150.598666133712</v>
      </c>
      <c r="F44" s="93">
        <f t="shared" si="8"/>
        <v>2123.2443657421027</v>
      </c>
      <c r="G44" s="93">
        <f t="shared" si="8"/>
        <v>1108.3336168511742</v>
      </c>
      <c r="H44" s="93">
        <f t="shared" si="8"/>
        <v>1575.1831765981078</v>
      </c>
      <c r="I44" s="93">
        <f t="shared" si="8"/>
        <v>2058.4869801054301</v>
      </c>
      <c r="J44" s="93">
        <f t="shared" si="8"/>
        <v>2499.706134496535</v>
      </c>
      <c r="K44" s="93">
        <f t="shared" si="8"/>
        <v>2925.6491840962717</v>
      </c>
      <c r="L44" s="93">
        <f t="shared" si="8"/>
        <v>3343.0734781565934</v>
      </c>
      <c r="M44" s="93">
        <f t="shared" si="8"/>
        <v>3439.0187673721848</v>
      </c>
      <c r="N44" s="93">
        <f t="shared" si="8"/>
        <v>3488.1898812405743</v>
      </c>
      <c r="O44" s="93">
        <f t="shared" si="8"/>
        <v>3689.7546256074911</v>
      </c>
      <c r="P44" s="93">
        <f t="shared" si="8"/>
        <v>3885.5326319562755</v>
      </c>
      <c r="Q44" s="93">
        <f t="shared" si="8"/>
        <v>4075.3850617168719</v>
      </c>
      <c r="R44" s="93">
        <f t="shared" si="8"/>
        <v>3571.3085574389352</v>
      </c>
      <c r="S44" s="93">
        <f t="shared" si="8"/>
        <v>0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37782.866461378544</v>
      </c>
      <c r="AB44" s="607">
        <f t="shared" si="2"/>
        <v>18891.433230689272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4150.598666133712</v>
      </c>
      <c r="F49" s="93">
        <f t="shared" si="9"/>
        <v>2123.2443657421027</v>
      </c>
      <c r="G49" s="93">
        <f t="shared" si="9"/>
        <v>1108.3336168511742</v>
      </c>
      <c r="H49" s="93">
        <f t="shared" si="9"/>
        <v>1575.1831765981078</v>
      </c>
      <c r="I49" s="93">
        <f t="shared" si="9"/>
        <v>2058.4869801054301</v>
      </c>
      <c r="J49" s="93">
        <f t="shared" si="9"/>
        <v>2499.706134496535</v>
      </c>
      <c r="K49" s="93">
        <f t="shared" si="9"/>
        <v>2925.6491840962717</v>
      </c>
      <c r="L49" s="93">
        <f t="shared" si="9"/>
        <v>3343.0734781565934</v>
      </c>
      <c r="M49" s="93">
        <f t="shared" si="9"/>
        <v>3439.0187673721848</v>
      </c>
      <c r="N49" s="93">
        <f t="shared" si="9"/>
        <v>3488.1898812405743</v>
      </c>
      <c r="O49" s="93">
        <f t="shared" si="9"/>
        <v>3689.7546256074911</v>
      </c>
      <c r="P49" s="93">
        <f t="shared" si="9"/>
        <v>3885.5326319562755</v>
      </c>
      <c r="Q49" s="93">
        <f t="shared" si="9"/>
        <v>4075.3850617168719</v>
      </c>
      <c r="R49" s="93">
        <f t="shared" si="9"/>
        <v>3571.3085574389352</v>
      </c>
      <c r="S49" s="93">
        <f t="shared" si="9"/>
        <v>0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37782.866461378544</v>
      </c>
      <c r="AB49" s="607">
        <f t="shared" si="2"/>
        <v>18891.433230689272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-207.52993330668562</v>
      </c>
      <c r="F51" s="90">
        <f t="shared" si="10"/>
        <v>-106.16221828710513</v>
      </c>
      <c r="G51" s="55">
        <f t="shared" si="10"/>
        <v>-55.416680842558712</v>
      </c>
      <c r="H51" s="90">
        <f t="shared" si="10"/>
        <v>-78.759158829905402</v>
      </c>
      <c r="I51" s="90">
        <f t="shared" si="10"/>
        <v>-102.92434900527151</v>
      </c>
      <c r="J51" s="90">
        <f t="shared" si="10"/>
        <v>-124.98530672482676</v>
      </c>
      <c r="K51" s="90">
        <f t="shared" si="10"/>
        <v>-146.28245920481359</v>
      </c>
      <c r="L51" s="90">
        <f t="shared" si="10"/>
        <v>-167.15367390782967</v>
      </c>
      <c r="M51" s="90">
        <f t="shared" si="10"/>
        <v>-171.95093836860926</v>
      </c>
      <c r="N51" s="90">
        <f t="shared" si="10"/>
        <v>-174.40949406202873</v>
      </c>
      <c r="O51" s="90">
        <f t="shared" si="10"/>
        <v>-184.48773128037456</v>
      </c>
      <c r="P51" s="90">
        <f t="shared" si="10"/>
        <v>-194.27663159781378</v>
      </c>
      <c r="Q51" s="90">
        <f t="shared" si="10"/>
        <v>-203.76925308584362</v>
      </c>
      <c r="R51" s="90">
        <f t="shared" si="10"/>
        <v>-178.56542787194678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-1889.1433230689277</v>
      </c>
      <c r="AB51" s="607">
        <f t="shared" si="2"/>
        <v>-944.57166153446383</v>
      </c>
    </row>
    <row r="52" spans="1:28">
      <c r="A52" s="4" t="s">
        <v>29</v>
      </c>
      <c r="C52" s="341">
        <v>0.35</v>
      </c>
      <c r="D52" s="89"/>
      <c r="E52" s="89">
        <f>((E49+E51)*-$C$52)+E56</f>
        <v>-854.92205745265926</v>
      </c>
      <c r="F52" s="89">
        <f t="shared" ref="F52:Y52" si="11">((F49+F51)*-$C$52)+F56</f>
        <v>-180.8267525724491</v>
      </c>
      <c r="G52" s="89">
        <f t="shared" si="11"/>
        <v>156.6310714337846</v>
      </c>
      <c r="H52" s="89">
        <f t="shared" si="11"/>
        <v>34.225592757729146</v>
      </c>
      <c r="I52" s="89">
        <f t="shared" si="11"/>
        <v>-684.44692088505542</v>
      </c>
      <c r="J52" s="89">
        <f t="shared" si="11"/>
        <v>-831.15228972009777</v>
      </c>
      <c r="K52" s="89">
        <f t="shared" si="11"/>
        <v>-972.77835371201024</v>
      </c>
      <c r="L52" s="89">
        <f t="shared" si="11"/>
        <v>-1111.5719314870673</v>
      </c>
      <c r="M52" s="89">
        <f t="shared" si="11"/>
        <v>-1143.4737401512514</v>
      </c>
      <c r="N52" s="89">
        <f t="shared" si="11"/>
        <v>-1159.8231355124908</v>
      </c>
      <c r="O52" s="89">
        <f t="shared" si="11"/>
        <v>-1226.8434130144906</v>
      </c>
      <c r="P52" s="89">
        <f t="shared" si="11"/>
        <v>-1291.9396001254615</v>
      </c>
      <c r="Q52" s="89">
        <f t="shared" si="11"/>
        <v>-1355.0655330208599</v>
      </c>
      <c r="R52" s="89">
        <f t="shared" si="11"/>
        <v>-1187.460095348446</v>
      </c>
      <c r="S52" s="89">
        <f t="shared" si="11"/>
        <v>0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-10954.525101358166</v>
      </c>
      <c r="AB52" s="607">
        <f t="shared" si="2"/>
        <v>-5477.2625506790828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3088.1466753743671</v>
      </c>
      <c r="F54" s="93">
        <f t="shared" si="12"/>
        <v>1836.2553948825484</v>
      </c>
      <c r="G54" s="93">
        <f t="shared" si="12"/>
        <v>1209.5480074424001</v>
      </c>
      <c r="H54" s="93">
        <f t="shared" si="12"/>
        <v>1530.6496105259316</v>
      </c>
      <c r="I54" s="93">
        <f t="shared" si="12"/>
        <v>1271.1157102151033</v>
      </c>
      <c r="J54" s="93">
        <f t="shared" si="12"/>
        <v>1543.5685380516104</v>
      </c>
      <c r="K54" s="93">
        <f t="shared" si="12"/>
        <v>1806.5883711794477</v>
      </c>
      <c r="L54" s="93">
        <f t="shared" si="12"/>
        <v>2064.3478727616966</v>
      </c>
      <c r="M54" s="93">
        <f t="shared" si="12"/>
        <v>2123.5940888523246</v>
      </c>
      <c r="N54" s="93">
        <f t="shared" si="12"/>
        <v>2153.9572516660546</v>
      </c>
      <c r="O54" s="93">
        <f t="shared" si="12"/>
        <v>2278.4234813126259</v>
      </c>
      <c r="P54" s="93">
        <f t="shared" si="12"/>
        <v>2399.3164002330004</v>
      </c>
      <c r="Q54" s="93">
        <f t="shared" si="12"/>
        <v>2516.5502756101687</v>
      </c>
      <c r="R54" s="93">
        <f t="shared" si="12"/>
        <v>2205.2830342185425</v>
      </c>
      <c r="S54" s="93">
        <f t="shared" si="12"/>
        <v>0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24939.198036951457</v>
      </c>
      <c r="AB54" s="607">
        <f t="shared" si="2"/>
        <v>12469.599018475728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[16]Tax!I$48</f>
        <v>525.15199903680002</v>
      </c>
      <c r="F56" s="342">
        <f>[16]Tax!J$48</f>
        <v>525.15199903680002</v>
      </c>
      <c r="G56" s="342">
        <f>[16]Tax!K$48</f>
        <v>525.15199903680002</v>
      </c>
      <c r="H56" s="342">
        <f>[16]Tax!L$48</f>
        <v>557.9739989766</v>
      </c>
      <c r="I56" s="342">
        <f>[16]Tax!M$48</f>
        <v>0</v>
      </c>
      <c r="J56" s="342">
        <f>[16]Tax!N$48</f>
        <v>0</v>
      </c>
      <c r="K56" s="342">
        <f>[16]Tax!O$48</f>
        <v>0</v>
      </c>
      <c r="L56" s="342">
        <f>[16]Tax!P$48</f>
        <v>0</v>
      </c>
      <c r="M56" s="342">
        <f>[16]Tax!Q$48</f>
        <v>0</v>
      </c>
      <c r="N56" s="342">
        <f>[16]Tax!R$48</f>
        <v>0</v>
      </c>
      <c r="O56" s="342">
        <f>[16]Tax!S$48</f>
        <v>0</v>
      </c>
      <c r="P56" s="342">
        <f>[16]Tax!T$48</f>
        <v>0</v>
      </c>
      <c r="Q56" s="342">
        <f>[16]Tax!U$48</f>
        <v>0</v>
      </c>
      <c r="R56" s="342">
        <f>[16]Tax!V$48</f>
        <v>0</v>
      </c>
      <c r="S56" s="342">
        <f>[16]Tax!W$48</f>
        <v>0</v>
      </c>
      <c r="T56" s="342">
        <f>[16]Tax!X$48</f>
        <v>0</v>
      </c>
      <c r="U56" s="342">
        <f>[16]Tax!Y$48</f>
        <v>0</v>
      </c>
      <c r="V56" s="342">
        <f>[16]Tax!Z$48</f>
        <v>0</v>
      </c>
      <c r="W56" s="342">
        <f>[16]Tax!AA$48</f>
        <v>0</v>
      </c>
      <c r="X56" s="342">
        <f>[16]Tax!AB$48</f>
        <v>0</v>
      </c>
      <c r="Y56" s="342">
        <f>[16]Tax!AC$48</f>
        <v>0</v>
      </c>
      <c r="AA56" s="606">
        <f t="shared" si="6"/>
        <v>1608.2779970502002</v>
      </c>
      <c r="AB56" s="607">
        <f t="shared" si="2"/>
        <v>804.13899852510008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4150.598666133712</v>
      </c>
      <c r="F64" s="20">
        <f t="shared" si="14"/>
        <v>3468.2443657421027</v>
      </c>
      <c r="G64" s="24">
        <f t="shared" si="14"/>
        <v>2453.3336168511742</v>
      </c>
      <c r="H64" s="20">
        <f t="shared" si="14"/>
        <v>2920.1831765981078</v>
      </c>
      <c r="I64" s="20">
        <f t="shared" si="14"/>
        <v>3403.4869801054301</v>
      </c>
      <c r="J64" s="20">
        <f t="shared" si="14"/>
        <v>3844.706134496535</v>
      </c>
      <c r="K64" s="20">
        <f t="shared" si="14"/>
        <v>4270.6491840962717</v>
      </c>
      <c r="L64" s="20">
        <f t="shared" si="14"/>
        <v>4688.0734781565934</v>
      </c>
      <c r="M64" s="20">
        <f t="shared" si="14"/>
        <v>4784.0187673721848</v>
      </c>
      <c r="N64" s="20">
        <f t="shared" si="14"/>
        <v>4833.1898812405743</v>
      </c>
      <c r="O64" s="20">
        <f t="shared" si="14"/>
        <v>5034.7546256074911</v>
      </c>
      <c r="P64" s="20">
        <f t="shared" si="14"/>
        <v>5230.5326319562755</v>
      </c>
      <c r="Q64" s="20">
        <f t="shared" si="14"/>
        <v>5420.3850617168719</v>
      </c>
      <c r="R64" s="20">
        <f t="shared" si="14"/>
        <v>4916.3085574389352</v>
      </c>
      <c r="S64" s="20">
        <f t="shared" si="14"/>
        <v>0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55267.866461378544</v>
      </c>
      <c r="AB64" s="607">
        <f t="shared" si="2"/>
        <v>27633.933230689272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4150.598666133712</v>
      </c>
      <c r="F69" s="95">
        <f t="shared" si="15"/>
        <v>3468.2443657421027</v>
      </c>
      <c r="G69" s="95">
        <f t="shared" si="15"/>
        <v>2453.3336168511742</v>
      </c>
      <c r="H69" s="95">
        <f t="shared" si="15"/>
        <v>2920.1831765981078</v>
      </c>
      <c r="I69" s="95">
        <f t="shared" si="15"/>
        <v>3403.4869801054301</v>
      </c>
      <c r="J69" s="95">
        <f t="shared" si="15"/>
        <v>3844.706134496535</v>
      </c>
      <c r="K69" s="95">
        <f t="shared" si="15"/>
        <v>4270.6491840962717</v>
      </c>
      <c r="L69" s="95">
        <f t="shared" si="15"/>
        <v>4688.0734781565934</v>
      </c>
      <c r="M69" s="95">
        <f t="shared" si="15"/>
        <v>4784.0187673721848</v>
      </c>
      <c r="N69" s="95">
        <f t="shared" si="15"/>
        <v>4833.1898812405743</v>
      </c>
      <c r="O69" s="95">
        <f t="shared" si="15"/>
        <v>5034.7546256074911</v>
      </c>
      <c r="P69" s="95">
        <f t="shared" si="15"/>
        <v>5230.5326319562755</v>
      </c>
      <c r="Q69" s="95">
        <f t="shared" si="15"/>
        <v>5420.3850617168719</v>
      </c>
      <c r="R69" s="95">
        <f t="shared" si="15"/>
        <v>4916.3085574389352</v>
      </c>
      <c r="S69" s="95">
        <f t="shared" si="15"/>
        <v>0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55267.866461378544</v>
      </c>
      <c r="AB69" s="607">
        <f t="shared" si="2"/>
        <v>27633.933230689272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1759.6443776202659</v>
      </c>
      <c r="G71" s="100">
        <f t="shared" si="16"/>
        <v>3999.5964475810188</v>
      </c>
      <c r="H71" s="100">
        <f t="shared" si="16"/>
        <v>1845.8278685671794</v>
      </c>
      <c r="I71" s="100">
        <f t="shared" si="16"/>
        <v>475.84499027924642</v>
      </c>
      <c r="J71" s="100">
        <f t="shared" si="16"/>
        <v>307.07866372464878</v>
      </c>
      <c r="K71" s="100">
        <f t="shared" si="16"/>
        <v>-744.68393283203716</v>
      </c>
      <c r="L71" s="100">
        <f t="shared" si="16"/>
        <v>-1793.1881053948971</v>
      </c>
      <c r="M71" s="100">
        <f t="shared" si="16"/>
        <v>-1829.8871785198608</v>
      </c>
      <c r="N71" s="100">
        <f t="shared" si="16"/>
        <v>-1848.6951295745196</v>
      </c>
      <c r="O71" s="100">
        <f t="shared" si="16"/>
        <v>-1925.7936442948653</v>
      </c>
      <c r="P71" s="100">
        <f t="shared" si="16"/>
        <v>-2000.6787317232754</v>
      </c>
      <c r="Q71" s="100">
        <f t="shared" si="16"/>
        <v>-2073.2972861067033</v>
      </c>
      <c r="R71" s="100">
        <f t="shared" si="16"/>
        <v>-1880.4880232203927</v>
      </c>
      <c r="S71" s="100">
        <f t="shared" si="16"/>
        <v>0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-5708.7196838941927</v>
      </c>
      <c r="AB71" s="607">
        <f t="shared" si="2"/>
        <v>-2854.3598419470964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4150.598666133712</v>
      </c>
      <c r="F73" s="28">
        <f t="shared" si="17"/>
        <v>5227.8887433623686</v>
      </c>
      <c r="G73" s="28">
        <f t="shared" si="17"/>
        <v>6452.9300644321929</v>
      </c>
      <c r="H73" s="28">
        <f t="shared" si="17"/>
        <v>4766.0110451652872</v>
      </c>
      <c r="I73" s="28">
        <f t="shared" si="17"/>
        <v>3879.3319703846764</v>
      </c>
      <c r="J73" s="28">
        <f t="shared" si="17"/>
        <v>4151.7847982211842</v>
      </c>
      <c r="K73" s="28">
        <f t="shared" si="17"/>
        <v>3525.9652512642347</v>
      </c>
      <c r="L73" s="28">
        <f t="shared" si="17"/>
        <v>2894.8853727616961</v>
      </c>
      <c r="M73" s="28">
        <f t="shared" si="17"/>
        <v>2954.1315888523241</v>
      </c>
      <c r="N73" s="28">
        <f t="shared" si="17"/>
        <v>2984.494751666055</v>
      </c>
      <c r="O73" s="28">
        <f t="shared" si="17"/>
        <v>3108.9609813126258</v>
      </c>
      <c r="P73" s="28">
        <f t="shared" si="17"/>
        <v>3229.8539002329999</v>
      </c>
      <c r="Q73" s="28">
        <f t="shared" si="17"/>
        <v>3347.0877756101686</v>
      </c>
      <c r="R73" s="28">
        <f t="shared" si="17"/>
        <v>3035.8205342185424</v>
      </c>
      <c r="S73" s="28">
        <f t="shared" si="17"/>
        <v>0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49559.146777484348</v>
      </c>
      <c r="AB73" s="607">
        <f t="shared" si="2"/>
        <v>24779.573388742174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1544.0733376871835</v>
      </c>
      <c r="F76" s="28">
        <f t="shared" si="19"/>
        <v>918.12769744127422</v>
      </c>
      <c r="G76" s="95">
        <f t="shared" si="19"/>
        <v>604.77400372120007</v>
      </c>
      <c r="H76" s="28">
        <f t="shared" si="19"/>
        <v>765.32480526296581</v>
      </c>
      <c r="I76" s="28">
        <f t="shared" si="19"/>
        <v>635.55785510755163</v>
      </c>
      <c r="J76" s="28">
        <f t="shared" si="19"/>
        <v>771.7842690258052</v>
      </c>
      <c r="K76" s="28">
        <f t="shared" si="19"/>
        <v>903.29418558972384</v>
      </c>
      <c r="L76" s="28">
        <f t="shared" si="19"/>
        <v>1032.1739363808483</v>
      </c>
      <c r="M76" s="28">
        <f t="shared" si="19"/>
        <v>1061.7970444261623</v>
      </c>
      <c r="N76" s="28">
        <f t="shared" si="19"/>
        <v>1076.9786258330273</v>
      </c>
      <c r="O76" s="28">
        <f t="shared" si="19"/>
        <v>1139.2117406563129</v>
      </c>
      <c r="P76" s="28">
        <f t="shared" si="19"/>
        <v>1199.6582001165002</v>
      </c>
      <c r="Q76" s="28">
        <f t="shared" si="19"/>
        <v>1258.2751378050843</v>
      </c>
      <c r="R76" s="28">
        <f t="shared" si="19"/>
        <v>1102.6415171092713</v>
      </c>
      <c r="S76" s="28">
        <f t="shared" si="19"/>
        <v>0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12469.599018475728</v>
      </c>
      <c r="AB76" s="607">
        <f>AA76</f>
        <v>12469.599018475728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2075.299333066856</v>
      </c>
      <c r="F77" s="28">
        <f t="shared" si="20"/>
        <v>2613.9443716811843</v>
      </c>
      <c r="G77" s="95">
        <f t="shared" si="20"/>
        <v>3226.4650322160965</v>
      </c>
      <c r="H77" s="28">
        <f t="shared" si="20"/>
        <v>2383.0055225826436</v>
      </c>
      <c r="I77" s="28">
        <f t="shared" si="20"/>
        <v>1939.6659851923382</v>
      </c>
      <c r="J77" s="28">
        <f t="shared" si="20"/>
        <v>2075.8923991105921</v>
      </c>
      <c r="K77" s="28">
        <f t="shared" si="20"/>
        <v>1762.9826256321173</v>
      </c>
      <c r="L77" s="28">
        <f t="shared" si="20"/>
        <v>1447.442686380848</v>
      </c>
      <c r="M77" s="28">
        <f t="shared" si="20"/>
        <v>1477.065794426162</v>
      </c>
      <c r="N77" s="28">
        <f t="shared" si="20"/>
        <v>1492.2473758330275</v>
      </c>
      <c r="O77" s="28">
        <f t="shared" si="20"/>
        <v>1554.4804906563129</v>
      </c>
      <c r="P77" s="28">
        <f t="shared" si="20"/>
        <v>1614.9269501164999</v>
      </c>
      <c r="Q77" s="28">
        <f t="shared" si="20"/>
        <v>1673.5438878050843</v>
      </c>
      <c r="R77" s="28">
        <f t="shared" si="20"/>
        <v>1517.9102671092712</v>
      </c>
      <c r="S77" s="28">
        <f t="shared" si="20"/>
        <v>0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24779.573388742174</v>
      </c>
      <c r="AB77" s="607">
        <f>AA77</f>
        <v>24779.573388742174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3468.2443657421027</v>
      </c>
      <c r="G88" s="200">
        <f t="shared" ref="G88:Y88" si="22">G69</f>
        <v>2453.3336168511742</v>
      </c>
      <c r="H88" s="200">
        <f t="shared" si="22"/>
        <v>2920.1831765981078</v>
      </c>
      <c r="I88" s="200">
        <f t="shared" si="22"/>
        <v>3403.4869801054301</v>
      </c>
      <c r="J88" s="200">
        <f t="shared" si="22"/>
        <v>3844.706134496535</v>
      </c>
      <c r="K88" s="200">
        <f t="shared" si="22"/>
        <v>4270.6491840962717</v>
      </c>
      <c r="L88" s="200">
        <f t="shared" si="22"/>
        <v>4688.0734781565934</v>
      </c>
      <c r="M88" s="200">
        <f t="shared" si="22"/>
        <v>4784.0187673721848</v>
      </c>
      <c r="N88" s="200">
        <f t="shared" si="22"/>
        <v>4833.1898812405743</v>
      </c>
      <c r="O88" s="200">
        <f t="shared" si="22"/>
        <v>5034.7546256074911</v>
      </c>
      <c r="P88" s="200">
        <f t="shared" si="22"/>
        <v>5230.5326319562755</v>
      </c>
      <c r="Q88" s="200">
        <f t="shared" si="22"/>
        <v>5420.3850617168719</v>
      </c>
      <c r="R88" s="200">
        <f t="shared" si="22"/>
        <v>4916.3085574389352</v>
      </c>
      <c r="S88" s="200">
        <f t="shared" si="22"/>
        <v>0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55267.866461378544</v>
      </c>
      <c r="AB88" s="607">
        <f t="shared" si="18"/>
        <v>27633.933230689272</v>
      </c>
    </row>
    <row r="89" spans="1:30" s="199" customFormat="1">
      <c r="A89" s="199" t="s">
        <v>53</v>
      </c>
      <c r="F89" s="110">
        <f>F126+F127</f>
        <v>1759.6443776202659</v>
      </c>
      <c r="G89" s="110">
        <f t="shared" ref="G89:Y89" si="23">G126+G127</f>
        <v>3999.5964475810188</v>
      </c>
      <c r="H89" s="110">
        <f t="shared" si="23"/>
        <v>1845.8278685671794</v>
      </c>
      <c r="I89" s="110">
        <f t="shared" si="23"/>
        <v>475.84499027924642</v>
      </c>
      <c r="J89" s="110">
        <f t="shared" si="23"/>
        <v>307.07866372464878</v>
      </c>
      <c r="K89" s="110">
        <f t="shared" si="23"/>
        <v>-744.68393283203716</v>
      </c>
      <c r="L89" s="110">
        <f t="shared" si="23"/>
        <v>-1793.1881053948971</v>
      </c>
      <c r="M89" s="110">
        <f t="shared" si="23"/>
        <v>-1829.8871785198608</v>
      </c>
      <c r="N89" s="110">
        <f t="shared" si="23"/>
        <v>-1848.6951295745196</v>
      </c>
      <c r="O89" s="110">
        <f t="shared" si="23"/>
        <v>-1925.7936442948653</v>
      </c>
      <c r="P89" s="110">
        <f t="shared" si="23"/>
        <v>-2000.6787317232754</v>
      </c>
      <c r="Q89" s="110">
        <f t="shared" si="23"/>
        <v>-2073.2972861067033</v>
      </c>
      <c r="R89" s="110">
        <f t="shared" si="23"/>
        <v>-1880.4880232203927</v>
      </c>
      <c r="S89" s="110">
        <f t="shared" si="23"/>
        <v>0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-5708.7196838941927</v>
      </c>
      <c r="AB89" s="607">
        <f t="shared" si="18"/>
        <v>-2854.3598419470964</v>
      </c>
    </row>
    <row r="90" spans="1:30" s="199" customFormat="1">
      <c r="A90" s="199" t="s">
        <v>238</v>
      </c>
      <c r="F90" s="110">
        <f>F56</f>
        <v>525.15199903680002</v>
      </c>
      <c r="G90" s="110">
        <f t="shared" ref="G90:Y90" si="24">G56</f>
        <v>525.15199903680002</v>
      </c>
      <c r="H90" s="110">
        <f t="shared" si="24"/>
        <v>557.9739989766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1608.2779970502002</v>
      </c>
      <c r="AB90" s="607">
        <f t="shared" si="18"/>
        <v>804.13899852510008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f>Y99</f>
        <v>39330.468459511481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39330.468459511481</v>
      </c>
      <c r="AB91" s="607">
        <f t="shared" si="18"/>
        <v>19665.234229755741</v>
      </c>
    </row>
    <row r="92" spans="1:30" s="199" customFormat="1">
      <c r="A92" s="199" t="s">
        <v>55</v>
      </c>
      <c r="E92" s="346">
        <v>-44825.67679762702</v>
      </c>
      <c r="F92" s="200">
        <f>SUM(F88:F91)</f>
        <v>5753.0407423991683</v>
      </c>
      <c r="G92" s="200">
        <f t="shared" ref="G92:Y92" si="25">SUM(G88:G91)</f>
        <v>6978.0820634689926</v>
      </c>
      <c r="H92" s="200">
        <f t="shared" si="25"/>
        <v>5323.9850441418876</v>
      </c>
      <c r="I92" s="200">
        <f t="shared" si="25"/>
        <v>3879.3319703846764</v>
      </c>
      <c r="J92" s="200">
        <f t="shared" si="25"/>
        <v>4151.7847982211842</v>
      </c>
      <c r="K92" s="200">
        <f t="shared" si="25"/>
        <v>3525.9652512642347</v>
      </c>
      <c r="L92" s="200">
        <f t="shared" si="25"/>
        <v>2894.8853727616961</v>
      </c>
      <c r="M92" s="200">
        <f t="shared" si="25"/>
        <v>2954.1315888523241</v>
      </c>
      <c r="N92" s="200">
        <f t="shared" si="25"/>
        <v>2984.494751666055</v>
      </c>
      <c r="O92" s="200">
        <f t="shared" si="25"/>
        <v>3108.9609813126258</v>
      </c>
      <c r="P92" s="200">
        <f t="shared" si="25"/>
        <v>3229.8539002329999</v>
      </c>
      <c r="Q92" s="200">
        <f t="shared" si="25"/>
        <v>3347.0877756101686</v>
      </c>
      <c r="R92" s="200">
        <f t="shared" si="25"/>
        <v>42366.288993730021</v>
      </c>
      <c r="S92" s="200">
        <f t="shared" si="25"/>
        <v>0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90497.893234046031</v>
      </c>
      <c r="AB92" s="607">
        <f t="shared" si="18"/>
        <v>45248.946617023015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-2.0025571415183741E-11</v>
      </c>
      <c r="R95" s="204"/>
      <c r="U95" s="205" t="s">
        <v>248</v>
      </c>
      <c r="V95" s="206"/>
      <c r="W95" s="206"/>
      <c r="X95" s="206"/>
      <c r="Y95" s="207">
        <f>R88</f>
        <v>4916.3085574389352</v>
      </c>
      <c r="AA95" s="606">
        <f t="shared" si="6"/>
        <v>4916.3085574389352</v>
      </c>
      <c r="AB95" s="607">
        <f t="shared" si="18"/>
        <v>2458.1542787194676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4916.3085574389352</v>
      </c>
      <c r="AA97" s="606">
        <f t="shared" si="6"/>
        <v>4916.3085574389352</v>
      </c>
      <c r="AB97" s="607">
        <f t="shared" si="18"/>
        <v>2458.1542787194676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39330.468459511481</v>
      </c>
      <c r="AA99" s="606">
        <f t="shared" si="6"/>
        <v>39330.468459511481</v>
      </c>
      <c r="AB99" s="607">
        <f t="shared" si="18"/>
        <v>19665.234229755741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44825.67679762702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44825.67679762702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40343.109117864318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40343.109117864318</v>
      </c>
      <c r="F109" s="203">
        <f>ROUND(D109/$B$109,0)</f>
        <v>1345</v>
      </c>
      <c r="G109" s="203">
        <f>F109</f>
        <v>1345</v>
      </c>
      <c r="H109" s="203">
        <f t="shared" ref="H109:R110" si="28">G109</f>
        <v>1345</v>
      </c>
      <c r="I109" s="203">
        <f t="shared" si="28"/>
        <v>1345</v>
      </c>
      <c r="J109" s="203">
        <f t="shared" si="28"/>
        <v>1345</v>
      </c>
      <c r="K109" s="203">
        <f t="shared" si="28"/>
        <v>1345</v>
      </c>
      <c r="L109" s="203">
        <f t="shared" si="28"/>
        <v>1345</v>
      </c>
      <c r="M109" s="203">
        <f t="shared" si="28"/>
        <v>1345</v>
      </c>
      <c r="N109" s="203">
        <f t="shared" si="28"/>
        <v>1345</v>
      </c>
      <c r="O109" s="203">
        <f t="shared" si="28"/>
        <v>1345</v>
      </c>
      <c r="P109" s="203">
        <f t="shared" si="28"/>
        <v>1345</v>
      </c>
      <c r="Q109" s="203">
        <f t="shared" si="28"/>
        <v>1345</v>
      </c>
      <c r="R109" s="203">
        <f t="shared" si="28"/>
        <v>1345</v>
      </c>
      <c r="S109" s="739"/>
      <c r="T109" s="739"/>
      <c r="U109" s="739"/>
      <c r="V109" s="739"/>
      <c r="W109" s="739"/>
      <c r="X109" s="739"/>
      <c r="Y109" s="739"/>
      <c r="AA109" s="606">
        <f t="shared" si="26"/>
        <v>17485</v>
      </c>
      <c r="AB109" s="607">
        <f t="shared" si="18"/>
        <v>8742.5</v>
      </c>
    </row>
    <row r="110" spans="1:28" s="199" customFormat="1">
      <c r="A110" s="199" t="s">
        <v>571</v>
      </c>
      <c r="D110" s="214">
        <f>D104*'FPLE_Wind Summary'!V21</f>
        <v>3290.1509767963789</v>
      </c>
      <c r="F110" s="203">
        <f>ROUND(D110/$B$109,0)</f>
        <v>110</v>
      </c>
      <c r="G110" s="203">
        <f>F110</f>
        <v>110</v>
      </c>
      <c r="H110" s="203">
        <f t="shared" si="28"/>
        <v>110</v>
      </c>
      <c r="I110" s="203">
        <f t="shared" si="28"/>
        <v>110</v>
      </c>
      <c r="J110" s="203">
        <f t="shared" si="28"/>
        <v>110</v>
      </c>
      <c r="K110" s="203">
        <f t="shared" si="28"/>
        <v>110</v>
      </c>
      <c r="L110" s="203">
        <f t="shared" si="28"/>
        <v>110</v>
      </c>
      <c r="M110" s="203">
        <f t="shared" si="28"/>
        <v>110</v>
      </c>
      <c r="N110" s="203">
        <f t="shared" si="28"/>
        <v>110</v>
      </c>
      <c r="O110" s="203">
        <f t="shared" si="28"/>
        <v>110</v>
      </c>
      <c r="P110" s="203">
        <f t="shared" si="28"/>
        <v>110</v>
      </c>
      <c r="Q110" s="203">
        <f t="shared" si="28"/>
        <v>110</v>
      </c>
      <c r="R110" s="203">
        <f t="shared" si="28"/>
        <v>110</v>
      </c>
      <c r="S110" s="739"/>
      <c r="T110" s="739"/>
      <c r="U110" s="739"/>
      <c r="V110" s="739"/>
      <c r="W110" s="739"/>
      <c r="X110" s="739"/>
      <c r="Y110" s="739"/>
      <c r="AA110" s="606">
        <f t="shared" si="26"/>
        <v>1430</v>
      </c>
      <c r="AB110" s="607">
        <f t="shared" si="18"/>
        <v>715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40343.109117864318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R115" si="29">$D$113*F114</f>
        <v>8068.6218235728638</v>
      </c>
      <c r="G115" s="203">
        <f t="shared" si="29"/>
        <v>12909.794917716583</v>
      </c>
      <c r="H115" s="203">
        <f t="shared" si="29"/>
        <v>7745.8769506299495</v>
      </c>
      <c r="I115" s="203">
        <f t="shared" si="29"/>
        <v>4647.5261703779697</v>
      </c>
      <c r="J115" s="203">
        <f t="shared" si="29"/>
        <v>4647.5261703779697</v>
      </c>
      <c r="K115" s="203">
        <f t="shared" si="29"/>
        <v>2323.7630851889849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739"/>
      <c r="T115" s="739"/>
      <c r="U115" s="739"/>
      <c r="V115" s="739"/>
      <c r="W115" s="739"/>
      <c r="X115" s="739"/>
      <c r="Y115" s="739"/>
      <c r="AA115" s="606">
        <f t="shared" si="26"/>
        <v>40343.109117864318</v>
      </c>
      <c r="AB115" s="607">
        <f t="shared" si="18"/>
        <v>20171.554558932159</v>
      </c>
    </row>
    <row r="116" spans="1:28" s="199" customFormat="1">
      <c r="A116" s="199" t="s">
        <v>571</v>
      </c>
      <c r="D116" s="214">
        <f>D110</f>
        <v>3290.1509767963789</v>
      </c>
      <c r="F116" s="203">
        <f>$D$116*F114</f>
        <v>658.03019535927581</v>
      </c>
      <c r="G116" s="203">
        <f t="shared" ref="G116:R116" si="30">$D$116*G114</f>
        <v>1052.8483125748412</v>
      </c>
      <c r="H116" s="203">
        <f t="shared" si="30"/>
        <v>631.70898754490474</v>
      </c>
      <c r="I116" s="203">
        <f t="shared" si="30"/>
        <v>379.02539252694282</v>
      </c>
      <c r="J116" s="203">
        <f t="shared" si="30"/>
        <v>379.02539252694282</v>
      </c>
      <c r="K116" s="203">
        <f t="shared" si="30"/>
        <v>189.51269626347141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739"/>
      <c r="T116" s="739"/>
      <c r="U116" s="739"/>
      <c r="V116" s="739"/>
      <c r="W116" s="739"/>
      <c r="X116" s="739"/>
      <c r="Y116" s="739"/>
      <c r="AA116" s="606">
        <f t="shared" si="26"/>
        <v>3290.150976796378</v>
      </c>
      <c r="AB116" s="607">
        <f t="shared" si="18"/>
        <v>1645.075488398189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3468.2443657421027</v>
      </c>
      <c r="G121" s="203">
        <f t="shared" ref="G121:Y121" si="32">G39</f>
        <v>2453.3336168511742</v>
      </c>
      <c r="H121" s="203">
        <f t="shared" si="32"/>
        <v>2920.1831765981078</v>
      </c>
      <c r="I121" s="203">
        <f t="shared" si="32"/>
        <v>3403.4869801054301</v>
      </c>
      <c r="J121" s="203">
        <f>J39</f>
        <v>3844.706134496535</v>
      </c>
      <c r="K121" s="203">
        <f t="shared" si="32"/>
        <v>4270.6491840962717</v>
      </c>
      <c r="L121" s="203">
        <f t="shared" si="32"/>
        <v>4688.0734781565934</v>
      </c>
      <c r="M121" s="203">
        <f t="shared" si="32"/>
        <v>4784.0187673721848</v>
      </c>
      <c r="N121" s="203">
        <f t="shared" si="32"/>
        <v>4833.1898812405743</v>
      </c>
      <c r="O121" s="203">
        <f t="shared" si="32"/>
        <v>5034.7546256074911</v>
      </c>
      <c r="P121" s="203">
        <f t="shared" si="32"/>
        <v>5230.5326319562755</v>
      </c>
      <c r="Q121" s="203">
        <f t="shared" si="32"/>
        <v>5420.3850617168719</v>
      </c>
      <c r="R121" s="203">
        <f t="shared" si="32"/>
        <v>4916.3085574389352</v>
      </c>
      <c r="S121" s="203">
        <f t="shared" si="32"/>
        <v>0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55267.866461378544</v>
      </c>
      <c r="AB121" s="607">
        <f t="shared" si="18"/>
        <v>27633.933230689272</v>
      </c>
    </row>
    <row r="122" spans="1:28" s="199" customFormat="1">
      <c r="A122" s="199" t="s">
        <v>74</v>
      </c>
      <c r="F122" s="203">
        <f>-F115</f>
        <v>-8068.6218235728638</v>
      </c>
      <c r="G122" s="203">
        <f t="shared" ref="G122:Y122" si="33">-G115</f>
        <v>-12909.794917716583</v>
      </c>
      <c r="H122" s="203">
        <f t="shared" si="33"/>
        <v>-7745.8769506299495</v>
      </c>
      <c r="I122" s="203">
        <f t="shared" si="33"/>
        <v>-4647.5261703779697</v>
      </c>
      <c r="J122" s="203">
        <f t="shared" si="33"/>
        <v>-4647.5261703779697</v>
      </c>
      <c r="K122" s="203">
        <f t="shared" si="33"/>
        <v>-2323.7630851889849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-40343.109117864318</v>
      </c>
      <c r="AB122" s="607">
        <f t="shared" si="18"/>
        <v>-20171.554558932159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-4600.3774578307612</v>
      </c>
      <c r="G124" s="203">
        <f t="shared" ref="G124:Y124" si="35">SUM(G121:G123)</f>
        <v>-10456.461300865409</v>
      </c>
      <c r="H124" s="203">
        <f t="shared" si="35"/>
        <v>-4825.6937740318417</v>
      </c>
      <c r="I124" s="203">
        <f t="shared" si="35"/>
        <v>-1244.0391902725396</v>
      </c>
      <c r="J124" s="203">
        <f t="shared" si="35"/>
        <v>-802.82003588143471</v>
      </c>
      <c r="K124" s="203">
        <f t="shared" si="35"/>
        <v>1946.8860989072869</v>
      </c>
      <c r="L124" s="203">
        <f t="shared" si="35"/>
        <v>4688.0734781565934</v>
      </c>
      <c r="M124" s="203">
        <f t="shared" si="35"/>
        <v>4784.0187673721848</v>
      </c>
      <c r="N124" s="203">
        <f t="shared" si="35"/>
        <v>4833.1898812405743</v>
      </c>
      <c r="O124" s="203">
        <f t="shared" si="35"/>
        <v>5034.7546256074911</v>
      </c>
      <c r="P124" s="203">
        <f t="shared" si="35"/>
        <v>5230.5326319562755</v>
      </c>
      <c r="Q124" s="203">
        <f t="shared" si="35"/>
        <v>5420.3850617168719</v>
      </c>
      <c r="R124" s="203">
        <f t="shared" si="35"/>
        <v>4916.3085574389352</v>
      </c>
      <c r="S124" s="203">
        <f t="shared" si="35"/>
        <v>0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14924.757343514226</v>
      </c>
      <c r="AB124" s="607">
        <f t="shared" si="18"/>
        <v>7462.3786717571129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230.01887289153808</v>
      </c>
      <c r="G126" s="203">
        <f t="shared" ref="G126:Y126" si="36">-G124*$C$126</f>
        <v>522.8230650432705</v>
      </c>
      <c r="H126" s="203">
        <f t="shared" si="36"/>
        <v>241.2846887015921</v>
      </c>
      <c r="I126" s="203">
        <f t="shared" si="36"/>
        <v>62.201959513626981</v>
      </c>
      <c r="J126" s="203">
        <f t="shared" si="36"/>
        <v>40.141001794071741</v>
      </c>
      <c r="K126" s="203">
        <f t="shared" si="36"/>
        <v>-97.344304945364343</v>
      </c>
      <c r="L126" s="203">
        <f t="shared" si="36"/>
        <v>-234.40367390782967</v>
      </c>
      <c r="M126" s="203">
        <f t="shared" si="36"/>
        <v>-239.20093836860926</v>
      </c>
      <c r="N126" s="203">
        <f t="shared" si="36"/>
        <v>-241.65949406202873</v>
      </c>
      <c r="O126" s="203">
        <f t="shared" si="36"/>
        <v>-251.73773128037456</v>
      </c>
      <c r="P126" s="203">
        <f t="shared" si="36"/>
        <v>-261.52663159781378</v>
      </c>
      <c r="Q126" s="203">
        <f t="shared" si="36"/>
        <v>-271.01925308584362</v>
      </c>
      <c r="R126" s="203">
        <f t="shared" si="36"/>
        <v>-245.81542787194678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-746.23786717571136</v>
      </c>
      <c r="AB126" s="607">
        <f t="shared" si="18"/>
        <v>-373.11893358785568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1529.6255047287279</v>
      </c>
      <c r="G127" s="203">
        <f t="shared" ref="G127:Y127" si="37">-(G124+G126)*$C$127</f>
        <v>3476.7733825377481</v>
      </c>
      <c r="H127" s="203">
        <f t="shared" si="37"/>
        <v>1604.5431798655873</v>
      </c>
      <c r="I127" s="203">
        <f t="shared" si="37"/>
        <v>413.64303076561941</v>
      </c>
      <c r="J127" s="203">
        <f t="shared" si="37"/>
        <v>266.93766193057701</v>
      </c>
      <c r="K127" s="203">
        <f t="shared" si="37"/>
        <v>-647.33962788667282</v>
      </c>
      <c r="L127" s="203">
        <f t="shared" si="37"/>
        <v>-1558.7844314870674</v>
      </c>
      <c r="M127" s="203">
        <f t="shared" si="37"/>
        <v>-1590.6862401512515</v>
      </c>
      <c r="N127" s="203">
        <f t="shared" si="37"/>
        <v>-1607.0356355124909</v>
      </c>
      <c r="O127" s="203">
        <f t="shared" si="37"/>
        <v>-1674.0559130144907</v>
      </c>
      <c r="P127" s="203">
        <f t="shared" si="37"/>
        <v>-1739.1521001254616</v>
      </c>
      <c r="Q127" s="203">
        <f t="shared" si="37"/>
        <v>-1802.2780330208595</v>
      </c>
      <c r="R127" s="203">
        <f t="shared" si="37"/>
        <v>-1634.6725953484458</v>
      </c>
      <c r="S127" s="203">
        <f t="shared" si="37"/>
        <v>0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-4962.4818167184812</v>
      </c>
      <c r="AB127" s="607">
        <f t="shared" si="18"/>
        <v>-2481.2409083592406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353.05349760000007</v>
      </c>
      <c r="G138" s="218">
        <f t="shared" si="41"/>
        <v>360.82067454720004</v>
      </c>
      <c r="H138" s="218">
        <f t="shared" si="41"/>
        <v>369.48037073633287</v>
      </c>
      <c r="I138" s="218">
        <f t="shared" si="41"/>
        <v>378.34789963400488</v>
      </c>
      <c r="J138" s="218">
        <f t="shared" si="41"/>
        <v>387.04990132558697</v>
      </c>
      <c r="K138" s="218">
        <f t="shared" si="41"/>
        <v>396.33909895740101</v>
      </c>
      <c r="L138" s="218">
        <f t="shared" si="41"/>
        <v>405.85123733237867</v>
      </c>
      <c r="M138" s="218">
        <f t="shared" si="41"/>
        <v>415.5916670283558</v>
      </c>
      <c r="N138" s="218">
        <f t="shared" si="41"/>
        <v>425.56586703703636</v>
      </c>
      <c r="O138" s="218">
        <f t="shared" si="41"/>
        <v>435.77944784592523</v>
      </c>
      <c r="P138" s="218">
        <f t="shared" si="41"/>
        <v>446.23815459422741</v>
      </c>
      <c r="Q138" s="218">
        <f t="shared" si="41"/>
        <v>456.9478703044889</v>
      </c>
      <c r="R138" s="218">
        <f t="shared" si="41"/>
        <v>467.91461919179665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5298.9803061347338</v>
      </c>
      <c r="AB138" s="607">
        <f t="shared" si="39"/>
        <v>5298.9803061347338</v>
      </c>
    </row>
    <row r="139" spans="1:28" s="199" customFormat="1">
      <c r="A139" s="199" t="s">
        <v>79</v>
      </c>
      <c r="F139" s="203">
        <f>F137+F138</f>
        <v>353.05349760000007</v>
      </c>
      <c r="G139" s="203">
        <f t="shared" ref="G139:Y139" si="42">G137+G138</f>
        <v>360.82067454720004</v>
      </c>
      <c r="H139" s="203">
        <f t="shared" si="42"/>
        <v>369.48037073633287</v>
      </c>
      <c r="I139" s="203">
        <f t="shared" si="42"/>
        <v>378.34789963400488</v>
      </c>
      <c r="J139" s="203">
        <f t="shared" si="42"/>
        <v>387.04990132558697</v>
      </c>
      <c r="K139" s="203">
        <f t="shared" si="42"/>
        <v>396.33909895740101</v>
      </c>
      <c r="L139" s="203">
        <f t="shared" si="42"/>
        <v>405.85123733237867</v>
      </c>
      <c r="M139" s="203">
        <f t="shared" si="42"/>
        <v>415.5916670283558</v>
      </c>
      <c r="N139" s="203">
        <f t="shared" si="42"/>
        <v>425.56586703703636</v>
      </c>
      <c r="O139" s="203">
        <f t="shared" si="42"/>
        <v>435.77944784592523</v>
      </c>
      <c r="P139" s="203">
        <f t="shared" si="42"/>
        <v>446.23815459422741</v>
      </c>
      <c r="Q139" s="203">
        <f t="shared" si="42"/>
        <v>456.9478703044889</v>
      </c>
      <c r="R139" s="203">
        <f t="shared" si="42"/>
        <v>467.91461919179665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5298.9803061347338</v>
      </c>
      <c r="AB139" s="607">
        <f t="shared" si="39"/>
        <v>5298.9803061347338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17.652674880000003</v>
      </c>
      <c r="G140" s="203">
        <f t="shared" ref="G140:Y140" si="43">G139*$C$140</f>
        <v>18.041033727360002</v>
      </c>
      <c r="H140" s="203">
        <f t="shared" si="43"/>
        <v>18.474018536816644</v>
      </c>
      <c r="I140" s="203">
        <f t="shared" si="43"/>
        <v>18.917394981700244</v>
      </c>
      <c r="J140" s="203">
        <f t="shared" si="43"/>
        <v>19.352495066279349</v>
      </c>
      <c r="K140" s="203">
        <f t="shared" si="43"/>
        <v>19.816954947870052</v>
      </c>
      <c r="L140" s="203">
        <f t="shared" si="43"/>
        <v>20.292561866618936</v>
      </c>
      <c r="M140" s="203">
        <f t="shared" si="43"/>
        <v>20.779583351417791</v>
      </c>
      <c r="N140" s="203">
        <f t="shared" si="43"/>
        <v>21.278293351851818</v>
      </c>
      <c r="O140" s="203">
        <f t="shared" si="43"/>
        <v>21.788972392296262</v>
      </c>
      <c r="P140" s="203">
        <f t="shared" si="43"/>
        <v>22.311907729711372</v>
      </c>
      <c r="Q140" s="203">
        <f t="shared" si="43"/>
        <v>22.847393515224447</v>
      </c>
      <c r="R140" s="203">
        <f t="shared" si="43"/>
        <v>23.395730959589834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264.94901530673678</v>
      </c>
      <c r="AB140" s="607">
        <f t="shared" si="39"/>
        <v>264.94901530673678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117.39028795200001</v>
      </c>
      <c r="G141" s="218">
        <f t="shared" ref="G141:Y141" si="44">(G139-G140)*$C$141</f>
        <v>119.97287428694401</v>
      </c>
      <c r="H141" s="218">
        <f t="shared" si="44"/>
        <v>122.85222326983067</v>
      </c>
      <c r="I141" s="218">
        <f t="shared" si="44"/>
        <v>125.80067662830662</v>
      </c>
      <c r="J141" s="218">
        <f t="shared" si="44"/>
        <v>128.69409219075766</v>
      </c>
      <c r="K141" s="218">
        <f t="shared" si="44"/>
        <v>131.78275040333583</v>
      </c>
      <c r="L141" s="218">
        <f t="shared" si="44"/>
        <v>134.9455364130159</v>
      </c>
      <c r="M141" s="218">
        <f t="shared" si="44"/>
        <v>138.18422928692829</v>
      </c>
      <c r="N141" s="218">
        <f t="shared" si="44"/>
        <v>141.50065078981459</v>
      </c>
      <c r="O141" s="218">
        <f t="shared" si="44"/>
        <v>144.89666640877013</v>
      </c>
      <c r="P141" s="218">
        <f t="shared" si="44"/>
        <v>148.37418640258059</v>
      </c>
      <c r="Q141" s="218">
        <f t="shared" si="44"/>
        <v>151.93516687624256</v>
      </c>
      <c r="R141" s="218">
        <f t="shared" si="44"/>
        <v>155.58161088127235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1761.9109517897994</v>
      </c>
      <c r="AB141" s="607">
        <f t="shared" si="39"/>
        <v>1761.9109517897994</v>
      </c>
    </row>
    <row r="142" spans="1:28" s="199" customFormat="1">
      <c r="A142" s="199" t="s">
        <v>82</v>
      </c>
      <c r="F142" s="203">
        <f>F139-F140-F141</f>
        <v>218.01053476800007</v>
      </c>
      <c r="G142" s="203">
        <f t="shared" ref="G142:Y142" si="45">G139-G140-G141</f>
        <v>222.80676653289603</v>
      </c>
      <c r="H142" s="203">
        <f t="shared" si="45"/>
        <v>228.15412892968556</v>
      </c>
      <c r="I142" s="203">
        <f t="shared" si="45"/>
        <v>233.62982802399802</v>
      </c>
      <c r="J142" s="203">
        <f t="shared" si="45"/>
        <v>239.00331406854997</v>
      </c>
      <c r="K142" s="203">
        <f t="shared" si="45"/>
        <v>244.73939360619514</v>
      </c>
      <c r="L142" s="203">
        <f t="shared" si="45"/>
        <v>250.61313905274383</v>
      </c>
      <c r="M142" s="203">
        <f t="shared" si="45"/>
        <v>256.6278543900097</v>
      </c>
      <c r="N142" s="203">
        <f t="shared" si="45"/>
        <v>262.78692289536997</v>
      </c>
      <c r="O142" s="203">
        <f t="shared" si="45"/>
        <v>269.09380904485886</v>
      </c>
      <c r="P142" s="203">
        <f t="shared" si="45"/>
        <v>275.55206046193541</v>
      </c>
      <c r="Q142" s="203">
        <f t="shared" si="45"/>
        <v>282.16530991302193</v>
      </c>
      <c r="R142" s="203">
        <f t="shared" si="45"/>
        <v>288.93727735093444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3272.1203390381993</v>
      </c>
      <c r="AB142" s="607">
        <f t="shared" si="39"/>
        <v>3272.1203390381993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918.12769744127422</v>
      </c>
      <c r="G144" s="220">
        <f t="shared" ref="G144:Y144" si="46">G76</f>
        <v>604.77400372120007</v>
      </c>
      <c r="H144" s="220">
        <f t="shared" si="46"/>
        <v>765.32480526296581</v>
      </c>
      <c r="I144" s="220">
        <f t="shared" si="46"/>
        <v>635.55785510755163</v>
      </c>
      <c r="J144" s="220">
        <f t="shared" si="46"/>
        <v>771.7842690258052</v>
      </c>
      <c r="K144" s="220">
        <f t="shared" si="46"/>
        <v>903.29418558972384</v>
      </c>
      <c r="L144" s="220">
        <f t="shared" si="46"/>
        <v>1032.1739363808483</v>
      </c>
      <c r="M144" s="220">
        <f t="shared" si="46"/>
        <v>1061.7970444261623</v>
      </c>
      <c r="N144" s="220">
        <f t="shared" si="46"/>
        <v>1076.9786258330273</v>
      </c>
      <c r="O144" s="220">
        <f t="shared" si="46"/>
        <v>1139.2117406563129</v>
      </c>
      <c r="P144" s="220">
        <f t="shared" si="46"/>
        <v>1199.6582001165002</v>
      </c>
      <c r="Q144" s="220">
        <f t="shared" si="46"/>
        <v>1258.2751378050843</v>
      </c>
      <c r="R144" s="220">
        <f t="shared" si="46"/>
        <v>1102.6415171092713</v>
      </c>
      <c r="S144" s="220">
        <f t="shared" si="46"/>
        <v>0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12469.599018475728</v>
      </c>
      <c r="AB144" s="607">
        <f t="shared" si="39"/>
        <v>12469.599018475728</v>
      </c>
    </row>
    <row r="145" spans="1:28" s="199" customFormat="1">
      <c r="A145" s="124" t="s">
        <v>91</v>
      </c>
      <c r="F145" s="213">
        <f>F142+F144</f>
        <v>1136.1382322092743</v>
      </c>
      <c r="G145" s="213">
        <f t="shared" ref="G145:Y145" si="47">G142+G144</f>
        <v>827.58077025409614</v>
      </c>
      <c r="H145" s="213">
        <f t="shared" si="47"/>
        <v>993.47893419265142</v>
      </c>
      <c r="I145" s="213">
        <f t="shared" si="47"/>
        <v>869.18768313154965</v>
      </c>
      <c r="J145" s="213">
        <f t="shared" si="47"/>
        <v>1010.7875830943551</v>
      </c>
      <c r="K145" s="213">
        <f t="shared" si="47"/>
        <v>1148.0335791959189</v>
      </c>
      <c r="L145" s="213">
        <f t="shared" si="47"/>
        <v>1282.7870754335922</v>
      </c>
      <c r="M145" s="213">
        <f t="shared" si="47"/>
        <v>1318.4248988161721</v>
      </c>
      <c r="N145" s="213">
        <f t="shared" si="47"/>
        <v>1339.7655487283973</v>
      </c>
      <c r="O145" s="213">
        <f t="shared" si="47"/>
        <v>1408.3055497011719</v>
      </c>
      <c r="P145" s="213">
        <f t="shared" si="47"/>
        <v>1475.2102605784357</v>
      </c>
      <c r="Q145" s="213">
        <f t="shared" si="47"/>
        <v>1540.4404477181063</v>
      </c>
      <c r="R145" s="213">
        <f t="shared" si="47"/>
        <v>1391.5787944602057</v>
      </c>
      <c r="S145" s="213">
        <f t="shared" si="47"/>
        <v>0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15741.719357513926</v>
      </c>
      <c r="AB145" s="607">
        <f t="shared" si="39"/>
        <v>15741.719357513926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218.01053476800007</v>
      </c>
      <c r="G150" s="200">
        <f t="shared" ref="G150:Y150" si="48">G142</f>
        <v>222.80676653289603</v>
      </c>
      <c r="H150" s="200">
        <f t="shared" si="48"/>
        <v>228.15412892968556</v>
      </c>
      <c r="I150" s="200">
        <f t="shared" si="48"/>
        <v>233.62982802399802</v>
      </c>
      <c r="J150" s="200">
        <f t="shared" si="48"/>
        <v>239.00331406854997</v>
      </c>
      <c r="K150" s="200">
        <f t="shared" si="48"/>
        <v>244.73939360619514</v>
      </c>
      <c r="L150" s="200">
        <f t="shared" si="48"/>
        <v>250.61313905274383</v>
      </c>
      <c r="M150" s="200">
        <f t="shared" si="48"/>
        <v>256.6278543900097</v>
      </c>
      <c r="N150" s="200">
        <f t="shared" si="48"/>
        <v>262.78692289536997</v>
      </c>
      <c r="O150" s="200">
        <f t="shared" si="48"/>
        <v>269.09380904485886</v>
      </c>
      <c r="P150" s="200">
        <f t="shared" si="48"/>
        <v>275.55206046193541</v>
      </c>
      <c r="Q150" s="200">
        <f t="shared" si="48"/>
        <v>282.16530991302193</v>
      </c>
      <c r="R150" s="200">
        <f t="shared" si="48"/>
        <v>288.93727735093444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3272.1203390381993</v>
      </c>
      <c r="AB150" s="607">
        <f t="shared" si="39"/>
        <v>3272.1203390381993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218.01053476800007</v>
      </c>
      <c r="G152" s="200">
        <f t="shared" ref="G152:Y152" si="49">G150+G151</f>
        <v>222.80676653289603</v>
      </c>
      <c r="H152" s="200">
        <f t="shared" si="49"/>
        <v>228.15412892968556</v>
      </c>
      <c r="I152" s="200">
        <f t="shared" si="49"/>
        <v>233.62982802399802</v>
      </c>
      <c r="J152" s="200">
        <f t="shared" si="49"/>
        <v>239.00331406854997</v>
      </c>
      <c r="K152" s="200">
        <f t="shared" si="49"/>
        <v>244.73939360619514</v>
      </c>
      <c r="L152" s="200">
        <f t="shared" si="49"/>
        <v>250.61313905274383</v>
      </c>
      <c r="M152" s="200">
        <f t="shared" si="49"/>
        <v>256.6278543900097</v>
      </c>
      <c r="N152" s="200">
        <f t="shared" si="49"/>
        <v>262.78692289536997</v>
      </c>
      <c r="O152" s="200">
        <f t="shared" si="49"/>
        <v>269.09380904485886</v>
      </c>
      <c r="P152" s="200">
        <f t="shared" si="49"/>
        <v>275.55206046193541</v>
      </c>
      <c r="Q152" s="200">
        <f t="shared" si="49"/>
        <v>282.16530991302193</v>
      </c>
      <c r="R152" s="200">
        <f t="shared" si="49"/>
        <v>288.93727735093444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3272.1203390381993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1832.3932111114589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22412.83839881351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1832.3932111114589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24245.231609924969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[25]Financials!G$10</f>
        <v>266.41748555507894</v>
      </c>
      <c r="F10" s="336">
        <f>[25]Financials!H$10</f>
        <v>280.2111685716099</v>
      </c>
      <c r="G10" s="336">
        <f>[25]Financials!I$10</f>
        <v>294.08234418935746</v>
      </c>
      <c r="H10" s="336">
        <f>[25]Financials!J$10</f>
        <v>308.10850500953813</v>
      </c>
      <c r="I10" s="336">
        <f>[25]Financials!K$10</f>
        <v>321.74720282363626</v>
      </c>
      <c r="J10" s="336">
        <f>[25]Financials!L$10</f>
        <v>335.54088584016716</v>
      </c>
      <c r="K10" s="336">
        <f>[25]Financials!M$10</f>
        <v>349.41206145791477</v>
      </c>
      <c r="L10" s="336">
        <f>[25]Financials!N$10</f>
        <v>363.2832370756625</v>
      </c>
      <c r="M10" s="336">
        <f>[25]Financials!O$10</f>
        <v>377.07692009219363</v>
      </c>
      <c r="N10" s="336">
        <f>[25]Financials!P$10</f>
        <v>390.94809570994113</v>
      </c>
      <c r="O10" s="336">
        <f>[25]Financials!Q$10</f>
        <v>404.74177872647215</v>
      </c>
      <c r="P10" s="336">
        <f>[25]Financials!R$10</f>
        <v>418.61295434421965</v>
      </c>
      <c r="Q10" s="336">
        <f>[25]Financials!S$10</f>
        <v>432.40663736075084</v>
      </c>
      <c r="R10" s="336">
        <f>[25]Financials!T$10</f>
        <v>446.27781297849839</v>
      </c>
      <c r="S10" s="336">
        <f>[25]Financials!U$10</f>
        <v>460.14898859624611</v>
      </c>
      <c r="T10" s="336">
        <f>[25]Financials!V$10</f>
        <v>473.9426716127773</v>
      </c>
      <c r="U10" s="336">
        <f>[25]Financials!W$10</f>
        <v>487.81384723052474</v>
      </c>
      <c r="V10" s="336">
        <f>[25]Financials!X$10</f>
        <v>501.60753024705582</v>
      </c>
      <c r="W10" s="336">
        <f>[25]Financials!Y$10</f>
        <v>515.47870586480337</v>
      </c>
      <c r="X10" s="336">
        <f>[25]Financials!Z$10</f>
        <v>162.40687001290263</v>
      </c>
      <c r="Y10" s="336">
        <f>[25]Financials!AA$10</f>
        <v>0</v>
      </c>
      <c r="AA10" s="606">
        <f t="shared" ref="AA10:AA38" si="1">SUM(F10:Y10)</f>
        <v>7323.8482177442729</v>
      </c>
      <c r="AB10" s="607">
        <f>AA10*$C$60</f>
        <v>3661.9241088721365</v>
      </c>
    </row>
    <row r="11" spans="1:28">
      <c r="A11" s="4" t="s">
        <v>9</v>
      </c>
      <c r="B11" s="12"/>
      <c r="C11" s="12"/>
      <c r="D11" s="90">
        <v>1</v>
      </c>
      <c r="E11" s="336">
        <f>[25]Financials!G$9</f>
        <v>707.2048957035023</v>
      </c>
      <c r="F11" s="336">
        <f>[25]Financials!H$9</f>
        <v>597.30291572800024</v>
      </c>
      <c r="G11" s="336">
        <f>[25]Financials!I$9</f>
        <v>528.75237614330433</v>
      </c>
      <c r="H11" s="336">
        <f>[25]Financials!J$9</f>
        <v>565.47134776456653</v>
      </c>
      <c r="I11" s="336">
        <f>[25]Financials!K$9</f>
        <v>603.22248694309133</v>
      </c>
      <c r="J11" s="336">
        <f>[25]Financials!L$9</f>
        <v>642.70387286842356</v>
      </c>
      <c r="K11" s="336">
        <f>[25]Financials!M$9</f>
        <v>641.74544024711099</v>
      </c>
      <c r="L11" s="336">
        <f>[25]Financials!N$9</f>
        <v>661.35645943467921</v>
      </c>
      <c r="M11" s="336">
        <f>[25]Financials!O$9</f>
        <v>680.78616134066147</v>
      </c>
      <c r="N11" s="336">
        <f>[25]Financials!P$9</f>
        <v>700.21396888180789</v>
      </c>
      <c r="O11" s="336">
        <f>[25]Financials!Q$9</f>
        <v>744.89181525160325</v>
      </c>
      <c r="P11" s="336">
        <f>[25]Financials!R$9</f>
        <v>782.67595417400662</v>
      </c>
      <c r="Q11" s="336">
        <f>[25]Financials!S$9</f>
        <v>821.27668333570887</v>
      </c>
      <c r="R11" s="336">
        <f>[25]Financials!T$9</f>
        <v>860.91765340854363</v>
      </c>
      <c r="S11" s="336">
        <f>[25]Financials!U$9</f>
        <v>876.27534073652839</v>
      </c>
      <c r="T11" s="336">
        <f>[25]Financials!V$9</f>
        <v>896.90004066823292</v>
      </c>
      <c r="U11" s="336">
        <f>[25]Financials!W$9</f>
        <v>917.51732381257307</v>
      </c>
      <c r="V11" s="336">
        <f>[25]Financials!X$9</f>
        <v>937.88690333196575</v>
      </c>
      <c r="W11" s="336">
        <f>[25]Financials!Y$9</f>
        <v>987.8484658200133</v>
      </c>
      <c r="X11" s="336">
        <f>[25]Financials!Z$9</f>
        <v>393.88751704856207</v>
      </c>
      <c r="Y11" s="336">
        <f>[25]Financials!AA$9</f>
        <v>0</v>
      </c>
      <c r="AA11" s="606">
        <f t="shared" si="1"/>
        <v>13841.632726939388</v>
      </c>
      <c r="AB11" s="607">
        <f t="shared" ref="AB11:AB74" si="2">AA11*$C$60</f>
        <v>6920.8163634696939</v>
      </c>
    </row>
    <row r="12" spans="1:28">
      <c r="A12" s="4" t="s">
        <v>247</v>
      </c>
      <c r="B12" s="12"/>
      <c r="C12" s="12"/>
      <c r="D12" s="90">
        <v>1</v>
      </c>
      <c r="E12" s="336">
        <f>[25]Financials!H$11</f>
        <v>65.715594499999995</v>
      </c>
      <c r="F12" s="336">
        <f>[25]Financials!I$11</f>
        <v>0</v>
      </c>
      <c r="G12" s="336">
        <f>[25]Financials!J$11</f>
        <v>0</v>
      </c>
      <c r="H12" s="336">
        <f>[25]Financials!K$11</f>
        <v>0</v>
      </c>
      <c r="I12" s="336">
        <f>[25]Financials!L$11</f>
        <v>0</v>
      </c>
      <c r="J12" s="336">
        <f>[25]Financials!M$11</f>
        <v>0</v>
      </c>
      <c r="K12" s="336">
        <f>[25]Financials!N$11</f>
        <v>0</v>
      </c>
      <c r="L12" s="336">
        <f>[25]Financials!O$11</f>
        <v>0</v>
      </c>
      <c r="M12" s="336">
        <f>[25]Financials!P$11</f>
        <v>0</v>
      </c>
      <c r="N12" s="336">
        <f>[25]Financials!Q$11</f>
        <v>0</v>
      </c>
      <c r="O12" s="336">
        <f>[25]Financials!R$11</f>
        <v>0</v>
      </c>
      <c r="P12" s="336">
        <f>[25]Financials!S$11</f>
        <v>0</v>
      </c>
      <c r="Q12" s="336">
        <f>[25]Financials!T$11</f>
        <v>0</v>
      </c>
      <c r="R12" s="336">
        <f>[25]Financials!U$11</f>
        <v>0</v>
      </c>
      <c r="S12" s="336">
        <f>[25]Financials!V$11</f>
        <v>0</v>
      </c>
      <c r="T12" s="336">
        <f>[25]Financials!W$11</f>
        <v>0</v>
      </c>
      <c r="U12" s="336">
        <f>[25]Financials!X$11</f>
        <v>0</v>
      </c>
      <c r="V12" s="336">
        <f>[25]Financials!Y$11</f>
        <v>0</v>
      </c>
      <c r="W12" s="336">
        <f>[25]Financials!Z$11</f>
        <v>0</v>
      </c>
      <c r="X12" s="336">
        <f>[25]Financials!AA$11</f>
        <v>0</v>
      </c>
      <c r="Y12" s="336">
        <f>[25]Financials!AB$11</f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1039.3379757585813</v>
      </c>
      <c r="F20" s="90">
        <f t="shared" si="3"/>
        <v>877.5140842996102</v>
      </c>
      <c r="G20" s="90">
        <f t="shared" si="3"/>
        <v>822.83472033266185</v>
      </c>
      <c r="H20" s="90">
        <f t="shared" si="3"/>
        <v>873.57985277410467</v>
      </c>
      <c r="I20" s="90">
        <f t="shared" si="3"/>
        <v>924.96968976672758</v>
      </c>
      <c r="J20" s="90">
        <f t="shared" si="3"/>
        <v>978.24475870859078</v>
      </c>
      <c r="K20" s="90">
        <f t="shared" si="3"/>
        <v>991.15750170502577</v>
      </c>
      <c r="L20" s="90">
        <f t="shared" si="3"/>
        <v>1024.6396965103418</v>
      </c>
      <c r="M20" s="90">
        <f t="shared" si="3"/>
        <v>1057.8630814328551</v>
      </c>
      <c r="N20" s="90">
        <f t="shared" si="3"/>
        <v>1091.162064591749</v>
      </c>
      <c r="O20" s="90">
        <f t="shared" si="3"/>
        <v>1149.6335939780754</v>
      </c>
      <c r="P20" s="90">
        <f t="shared" si="3"/>
        <v>1201.2889085182262</v>
      </c>
      <c r="Q20" s="90">
        <f t="shared" si="3"/>
        <v>1253.6833206964598</v>
      </c>
      <c r="R20" s="90">
        <f t="shared" si="3"/>
        <v>1307.195466387042</v>
      </c>
      <c r="S20" s="90">
        <f t="shared" si="3"/>
        <v>1336.4243293327745</v>
      </c>
      <c r="T20" s="90">
        <f t="shared" si="3"/>
        <v>1370.8427122810103</v>
      </c>
      <c r="U20" s="90">
        <f t="shared" si="3"/>
        <v>1405.3311710430978</v>
      </c>
      <c r="V20" s="90">
        <f t="shared" si="3"/>
        <v>1439.4944335790215</v>
      </c>
      <c r="W20" s="90">
        <f t="shared" si="3"/>
        <v>1503.3271716848167</v>
      </c>
      <c r="X20" s="90">
        <f t="shared" si="3"/>
        <v>556.2943870614647</v>
      </c>
      <c r="Y20" s="90">
        <f t="shared" si="3"/>
        <v>0</v>
      </c>
      <c r="AA20" s="606">
        <f t="shared" si="1"/>
        <v>21165.480944683655</v>
      </c>
      <c r="AB20" s="607">
        <f t="shared" si="2"/>
        <v>10582.740472341828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[25]Financials!G$36</f>
        <v>-130.45211946325585</v>
      </c>
      <c r="F25" s="336">
        <f>[25]Financials!H$36</f>
        <v>-138.151751328188</v>
      </c>
      <c r="G25" s="336">
        <f>[25]Financials!I$36</f>
        <v>-144.71416121741419</v>
      </c>
      <c r="H25" s="336">
        <f>[25]Financials!J$36</f>
        <v>-143.67478260923752</v>
      </c>
      <c r="I25" s="336">
        <f>[25]Financials!K$36</f>
        <v>-138.16697195043037</v>
      </c>
      <c r="J25" s="336">
        <f>[25]Financials!L$36</f>
        <v>-114.7929114309451</v>
      </c>
      <c r="K25" s="336">
        <f>[25]Financials!M$36</f>
        <v>-112.19981389578714</v>
      </c>
      <c r="L25" s="336">
        <f>[25]Financials!N$36</f>
        <v>-107.35081327581602</v>
      </c>
      <c r="M25" s="336">
        <f>[25]Financials!O$36</f>
        <v>-101.59562901744702</v>
      </c>
      <c r="N25" s="336">
        <f>[25]Financials!P$36</f>
        <v>39.434505804669172</v>
      </c>
      <c r="O25" s="336">
        <f>[25]Financials!Q$36</f>
        <v>87.474548982533335</v>
      </c>
      <c r="P25" s="336">
        <f>[25]Financials!R$36</f>
        <v>100.31083801489234</v>
      </c>
      <c r="Q25" s="336">
        <f>[25]Financials!S$36</f>
        <v>114.31221637861938</v>
      </c>
      <c r="R25" s="336">
        <f>[25]Financials!T$36</f>
        <v>129.69198088747166</v>
      </c>
      <c r="S25" s="336">
        <f>[25]Financials!U$36</f>
        <v>143.62614165028637</v>
      </c>
      <c r="T25" s="336">
        <f>[25]Financials!V$36</f>
        <v>159.57484193100984</v>
      </c>
      <c r="U25" s="336">
        <f>[25]Financials!W$36</f>
        <v>179.63260413500834</v>
      </c>
      <c r="V25" s="336">
        <f>[25]Financials!X$36</f>
        <v>200.52582661834487</v>
      </c>
      <c r="W25" s="336">
        <f>[25]Financials!Y$36</f>
        <v>224.34858276205213</v>
      </c>
      <c r="X25" s="336">
        <f>[25]Financials!Z$36</f>
        <v>185.92222732602235</v>
      </c>
      <c r="Y25" s="336">
        <f>[25]Financials!AA$36</f>
        <v>0</v>
      </c>
      <c r="AA25" s="606">
        <f t="shared" si="1"/>
        <v>564.20747976564451</v>
      </c>
      <c r="AB25" s="607">
        <f t="shared" si="2"/>
        <v>282.10373988282225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-130.45211946325585</v>
      </c>
      <c r="F36" s="90">
        <f t="shared" si="4"/>
        <v>-138.151751328188</v>
      </c>
      <c r="G36" s="90">
        <f t="shared" si="4"/>
        <v>-144.71416121741419</v>
      </c>
      <c r="H36" s="90">
        <f t="shared" si="4"/>
        <v>-143.67478260923752</v>
      </c>
      <c r="I36" s="90">
        <f t="shared" si="4"/>
        <v>-138.16697195043037</v>
      </c>
      <c r="J36" s="90">
        <f t="shared" si="4"/>
        <v>-114.7929114309451</v>
      </c>
      <c r="K36" s="90">
        <f t="shared" si="4"/>
        <v>-112.19981389578714</v>
      </c>
      <c r="L36" s="90">
        <f t="shared" si="4"/>
        <v>-107.35081327581602</v>
      </c>
      <c r="M36" s="90">
        <f t="shared" si="4"/>
        <v>-101.59562901744702</v>
      </c>
      <c r="N36" s="90">
        <f t="shared" si="4"/>
        <v>39.434505804669172</v>
      </c>
      <c r="O36" s="90">
        <f t="shared" si="4"/>
        <v>87.474548982533335</v>
      </c>
      <c r="P36" s="90">
        <f t="shared" si="4"/>
        <v>100.31083801489234</v>
      </c>
      <c r="Q36" s="90">
        <f t="shared" si="4"/>
        <v>114.31221637861938</v>
      </c>
      <c r="R36" s="90">
        <f t="shared" si="4"/>
        <v>129.69198088747166</v>
      </c>
      <c r="S36" s="90">
        <f t="shared" si="4"/>
        <v>143.62614165028637</v>
      </c>
      <c r="T36" s="90">
        <f t="shared" si="4"/>
        <v>159.57484193100984</v>
      </c>
      <c r="U36" s="90">
        <f t="shared" si="4"/>
        <v>179.63260413500834</v>
      </c>
      <c r="V36" s="90">
        <f t="shared" si="4"/>
        <v>200.52582661834487</v>
      </c>
      <c r="W36" s="90">
        <f t="shared" si="4"/>
        <v>224.34858276205213</v>
      </c>
      <c r="X36" s="90">
        <f t="shared" si="4"/>
        <v>185.92222732602235</v>
      </c>
      <c r="Y36" s="90">
        <f t="shared" si="4"/>
        <v>0</v>
      </c>
      <c r="AA36" s="606">
        <f t="shared" si="1"/>
        <v>564.20747976564451</v>
      </c>
      <c r="AB36" s="607">
        <f t="shared" si="2"/>
        <v>282.10373988282225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1169.7900952218372</v>
      </c>
      <c r="F39" s="93">
        <f t="shared" si="5"/>
        <v>1015.6658356277982</v>
      </c>
      <c r="G39" s="93">
        <f t="shared" si="5"/>
        <v>967.54888155007598</v>
      </c>
      <c r="H39" s="93">
        <f t="shared" si="5"/>
        <v>1017.2546353833422</v>
      </c>
      <c r="I39" s="93">
        <f t="shared" si="5"/>
        <v>1063.1366617171579</v>
      </c>
      <c r="J39" s="93">
        <f t="shared" si="5"/>
        <v>1093.037670139536</v>
      </c>
      <c r="K39" s="93">
        <f t="shared" si="5"/>
        <v>1103.3573156008129</v>
      </c>
      <c r="L39" s="93">
        <f t="shared" si="5"/>
        <v>1131.9905097861579</v>
      </c>
      <c r="M39" s="93">
        <f t="shared" si="5"/>
        <v>1159.4587104503021</v>
      </c>
      <c r="N39" s="93">
        <f t="shared" si="5"/>
        <v>1051.7275587870797</v>
      </c>
      <c r="O39" s="93">
        <f t="shared" si="5"/>
        <v>1062.159044995542</v>
      </c>
      <c r="P39" s="93">
        <f t="shared" si="5"/>
        <v>1100.9780705033338</v>
      </c>
      <c r="Q39" s="93">
        <f t="shared" si="5"/>
        <v>1139.3711043178405</v>
      </c>
      <c r="R39" s="93">
        <f t="shared" si="5"/>
        <v>1177.5034854995704</v>
      </c>
      <c r="S39" s="93">
        <f t="shared" si="5"/>
        <v>1192.7981876824881</v>
      </c>
      <c r="T39" s="93">
        <f t="shared" si="5"/>
        <v>1211.2678703500005</v>
      </c>
      <c r="U39" s="93">
        <f t="shared" si="5"/>
        <v>1225.6985669080896</v>
      </c>
      <c r="V39" s="93">
        <f t="shared" si="5"/>
        <v>1238.9686069606767</v>
      </c>
      <c r="W39" s="93">
        <f t="shared" si="5"/>
        <v>1278.9785889227646</v>
      </c>
      <c r="X39" s="93">
        <f t="shared" si="5"/>
        <v>370.37215973544232</v>
      </c>
      <c r="Y39" s="93">
        <f t="shared" si="5"/>
        <v>0</v>
      </c>
      <c r="AA39" s="606">
        <f>SUM(F39:Y39)</f>
        <v>20601.273464918009</v>
      </c>
      <c r="AB39" s="607">
        <f t="shared" si="2"/>
        <v>10300.636732459005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552</v>
      </c>
      <c r="G41" s="90">
        <f t="shared" ref="G41:Y41" si="7">+G109</f>
        <v>552</v>
      </c>
      <c r="H41" s="90">
        <f t="shared" si="7"/>
        <v>552</v>
      </c>
      <c r="I41" s="90">
        <f t="shared" si="7"/>
        <v>552</v>
      </c>
      <c r="J41" s="90">
        <f t="shared" si="7"/>
        <v>552</v>
      </c>
      <c r="K41" s="90">
        <f t="shared" si="7"/>
        <v>552</v>
      </c>
      <c r="L41" s="90">
        <f t="shared" si="7"/>
        <v>552</v>
      </c>
      <c r="M41" s="90">
        <f t="shared" si="7"/>
        <v>552</v>
      </c>
      <c r="N41" s="90">
        <f t="shared" si="7"/>
        <v>552</v>
      </c>
      <c r="O41" s="90">
        <f t="shared" si="7"/>
        <v>552</v>
      </c>
      <c r="P41" s="90">
        <f t="shared" si="7"/>
        <v>552</v>
      </c>
      <c r="Q41" s="90">
        <f t="shared" si="7"/>
        <v>552</v>
      </c>
      <c r="R41" s="90">
        <f t="shared" si="7"/>
        <v>552</v>
      </c>
      <c r="S41" s="90">
        <f t="shared" si="7"/>
        <v>552</v>
      </c>
      <c r="T41" s="90">
        <f t="shared" si="7"/>
        <v>552</v>
      </c>
      <c r="U41" s="90">
        <f t="shared" si="7"/>
        <v>552</v>
      </c>
      <c r="V41" s="90">
        <f t="shared" si="7"/>
        <v>552</v>
      </c>
      <c r="W41" s="90">
        <f t="shared" si="7"/>
        <v>552</v>
      </c>
      <c r="X41" s="90">
        <f t="shared" si="7"/>
        <v>552</v>
      </c>
      <c r="Y41" s="90">
        <f t="shared" si="7"/>
        <v>0</v>
      </c>
      <c r="AA41" s="606">
        <f t="shared" si="6"/>
        <v>10488</v>
      </c>
      <c r="AB41" s="607">
        <f t="shared" si="2"/>
        <v>5244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1169.7900952218372</v>
      </c>
      <c r="F44" s="93">
        <f t="shared" si="8"/>
        <v>463.66583562779817</v>
      </c>
      <c r="G44" s="93">
        <f t="shared" si="8"/>
        <v>415.54888155007598</v>
      </c>
      <c r="H44" s="93">
        <f t="shared" si="8"/>
        <v>465.25463538334225</v>
      </c>
      <c r="I44" s="93">
        <f t="shared" si="8"/>
        <v>511.13666171715795</v>
      </c>
      <c r="J44" s="93">
        <f t="shared" si="8"/>
        <v>541.03767013953598</v>
      </c>
      <c r="K44" s="93">
        <f t="shared" si="8"/>
        <v>551.35731560081285</v>
      </c>
      <c r="L44" s="93">
        <f t="shared" si="8"/>
        <v>579.99050978615787</v>
      </c>
      <c r="M44" s="93">
        <f t="shared" si="8"/>
        <v>607.45871045030208</v>
      </c>
      <c r="N44" s="93">
        <f t="shared" si="8"/>
        <v>499.72755878707972</v>
      </c>
      <c r="O44" s="93">
        <f t="shared" si="8"/>
        <v>510.15904499554199</v>
      </c>
      <c r="P44" s="93">
        <f t="shared" si="8"/>
        <v>548.97807050333381</v>
      </c>
      <c r="Q44" s="93">
        <f t="shared" si="8"/>
        <v>587.37110431784049</v>
      </c>
      <c r="R44" s="93">
        <f t="shared" si="8"/>
        <v>625.50348549957039</v>
      </c>
      <c r="S44" s="93">
        <f t="shared" si="8"/>
        <v>640.79818768248811</v>
      </c>
      <c r="T44" s="93">
        <f t="shared" si="8"/>
        <v>659.26787035000052</v>
      </c>
      <c r="U44" s="93">
        <f t="shared" si="8"/>
        <v>673.69856690808956</v>
      </c>
      <c r="V44" s="93">
        <f t="shared" si="8"/>
        <v>686.96860696067665</v>
      </c>
      <c r="W44" s="93">
        <f t="shared" si="8"/>
        <v>726.97858892276463</v>
      </c>
      <c r="X44" s="93">
        <f t="shared" si="8"/>
        <v>-181.62784026455768</v>
      </c>
      <c r="Y44" s="93">
        <f t="shared" si="8"/>
        <v>0</v>
      </c>
      <c r="AA44" s="606">
        <f t="shared" si="6"/>
        <v>10113.273464918009</v>
      </c>
      <c r="AB44" s="607">
        <f t="shared" si="2"/>
        <v>5056.6367324590046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1169.7900952218372</v>
      </c>
      <c r="F49" s="93">
        <f t="shared" si="9"/>
        <v>463.66583562779817</v>
      </c>
      <c r="G49" s="93">
        <f t="shared" si="9"/>
        <v>415.54888155007598</v>
      </c>
      <c r="H49" s="93">
        <f t="shared" si="9"/>
        <v>465.25463538334225</v>
      </c>
      <c r="I49" s="93">
        <f t="shared" si="9"/>
        <v>511.13666171715795</v>
      </c>
      <c r="J49" s="93">
        <f t="shared" si="9"/>
        <v>541.03767013953598</v>
      </c>
      <c r="K49" s="93">
        <f t="shared" si="9"/>
        <v>551.35731560081285</v>
      </c>
      <c r="L49" s="93">
        <f t="shared" si="9"/>
        <v>579.99050978615787</v>
      </c>
      <c r="M49" s="93">
        <f t="shared" si="9"/>
        <v>607.45871045030208</v>
      </c>
      <c r="N49" s="93">
        <f t="shared" si="9"/>
        <v>499.72755878707972</v>
      </c>
      <c r="O49" s="93">
        <f t="shared" si="9"/>
        <v>510.15904499554199</v>
      </c>
      <c r="P49" s="93">
        <f t="shared" si="9"/>
        <v>548.97807050333381</v>
      </c>
      <c r="Q49" s="93">
        <f t="shared" si="9"/>
        <v>587.37110431784049</v>
      </c>
      <c r="R49" s="93">
        <f t="shared" si="9"/>
        <v>625.50348549957039</v>
      </c>
      <c r="S49" s="93">
        <f t="shared" si="9"/>
        <v>640.79818768248811</v>
      </c>
      <c r="T49" s="93">
        <f t="shared" si="9"/>
        <v>659.26787035000052</v>
      </c>
      <c r="U49" s="93">
        <f t="shared" si="9"/>
        <v>673.69856690808956</v>
      </c>
      <c r="V49" s="93">
        <f t="shared" si="9"/>
        <v>686.96860696067665</v>
      </c>
      <c r="W49" s="93">
        <f t="shared" si="9"/>
        <v>726.97858892276463</v>
      </c>
      <c r="X49" s="93">
        <f t="shared" si="9"/>
        <v>-181.62784026455768</v>
      </c>
      <c r="Y49" s="93">
        <f t="shared" si="9"/>
        <v>0</v>
      </c>
      <c r="AA49" s="606">
        <f t="shared" si="6"/>
        <v>10113.273464918009</v>
      </c>
      <c r="AB49" s="607">
        <f t="shared" si="2"/>
        <v>5056.6367324590046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-58.489504761091865</v>
      </c>
      <c r="F51" s="90">
        <f t="shared" si="10"/>
        <v>-23.183291781389912</v>
      </c>
      <c r="G51" s="55">
        <f t="shared" si="10"/>
        <v>-20.777444077503802</v>
      </c>
      <c r="H51" s="90">
        <f t="shared" si="10"/>
        <v>-23.262731769167114</v>
      </c>
      <c r="I51" s="90">
        <f t="shared" si="10"/>
        <v>-25.5568330858579</v>
      </c>
      <c r="J51" s="90">
        <f t="shared" si="10"/>
        <v>-27.0518835069768</v>
      </c>
      <c r="K51" s="90">
        <f t="shared" si="10"/>
        <v>-27.567865780040645</v>
      </c>
      <c r="L51" s="90">
        <f t="shared" si="10"/>
        <v>-28.999525489307896</v>
      </c>
      <c r="M51" s="90">
        <f t="shared" si="10"/>
        <v>-30.372935522515107</v>
      </c>
      <c r="N51" s="90">
        <f t="shared" si="10"/>
        <v>-24.986377939353986</v>
      </c>
      <c r="O51" s="90">
        <f t="shared" si="10"/>
        <v>-25.507952249777102</v>
      </c>
      <c r="P51" s="90">
        <f t="shared" si="10"/>
        <v>-27.448903525166692</v>
      </c>
      <c r="Q51" s="90">
        <f t="shared" si="10"/>
        <v>-29.368555215892027</v>
      </c>
      <c r="R51" s="90">
        <f t="shared" si="10"/>
        <v>-31.275174274978522</v>
      </c>
      <c r="S51" s="90">
        <f t="shared" si="10"/>
        <v>-32.039909384124407</v>
      </c>
      <c r="T51" s="90">
        <f t="shared" si="10"/>
        <v>-32.96339351750003</v>
      </c>
      <c r="U51" s="90">
        <f t="shared" si="10"/>
        <v>-33.684928345404479</v>
      </c>
      <c r="V51" s="90">
        <f t="shared" si="10"/>
        <v>-34.348430348033837</v>
      </c>
      <c r="W51" s="90">
        <f t="shared" si="10"/>
        <v>-36.348929446138236</v>
      </c>
      <c r="X51" s="90">
        <f t="shared" si="10"/>
        <v>9.0813920132278838</v>
      </c>
      <c r="Y51" s="90">
        <f t="shared" si="10"/>
        <v>0</v>
      </c>
      <c r="AA51" s="606">
        <f t="shared" si="6"/>
        <v>-505.66367324590067</v>
      </c>
      <c r="AB51" s="607">
        <f t="shared" si="2"/>
        <v>-252.83183662295033</v>
      </c>
    </row>
    <row r="52" spans="1:28">
      <c r="A52" s="4" t="s">
        <v>29</v>
      </c>
      <c r="C52" s="341">
        <v>0.35</v>
      </c>
      <c r="D52" s="89"/>
      <c r="E52" s="89">
        <f>((E49+E51)*-$C$52)+E56</f>
        <v>411.1725733387392</v>
      </c>
      <c r="F52" s="89">
        <f t="shared" ref="F52:Y52" si="11">((F49+F51)*-$C$52)+F56</f>
        <v>693.02522965375704</v>
      </c>
      <c r="G52" s="89">
        <f t="shared" si="11"/>
        <v>709.02411688459961</v>
      </c>
      <c r="H52" s="89">
        <f t="shared" si="11"/>
        <v>692.49695373503857</v>
      </c>
      <c r="I52" s="89">
        <f t="shared" si="11"/>
        <v>724.30751997904497</v>
      </c>
      <c r="J52" s="89">
        <f t="shared" si="11"/>
        <v>714.36543467860429</v>
      </c>
      <c r="K52" s="89">
        <f t="shared" si="11"/>
        <v>758.00049256272973</v>
      </c>
      <c r="L52" s="89">
        <f t="shared" si="11"/>
        <v>748.47995549610243</v>
      </c>
      <c r="M52" s="89">
        <f t="shared" si="11"/>
        <v>739.34677877527452</v>
      </c>
      <c r="N52" s="89">
        <f t="shared" si="11"/>
        <v>328.03715670329598</v>
      </c>
      <c r="O52" s="89">
        <f t="shared" si="11"/>
        <v>-169.62788246101772</v>
      </c>
      <c r="P52" s="89">
        <f t="shared" si="11"/>
        <v>-182.53520844235848</v>
      </c>
      <c r="Q52" s="89">
        <f t="shared" si="11"/>
        <v>-195.30089218568196</v>
      </c>
      <c r="R52" s="89">
        <f t="shared" si="11"/>
        <v>-207.97990892860713</v>
      </c>
      <c r="S52" s="89">
        <f t="shared" si="11"/>
        <v>-213.0653974044273</v>
      </c>
      <c r="T52" s="89">
        <f t="shared" si="11"/>
        <v>-219.20656689137519</v>
      </c>
      <c r="U52" s="89">
        <f t="shared" si="11"/>
        <v>-224.00477349693975</v>
      </c>
      <c r="V52" s="89">
        <f t="shared" si="11"/>
        <v>-228.41706181442495</v>
      </c>
      <c r="W52" s="89">
        <f t="shared" si="11"/>
        <v>-241.72038081681924</v>
      </c>
      <c r="X52" s="89">
        <f t="shared" si="11"/>
        <v>60.391256887965426</v>
      </c>
      <c r="Y52" s="89">
        <f t="shared" si="11"/>
        <v>0</v>
      </c>
      <c r="AA52" s="606">
        <f t="shared" si="6"/>
        <v>4285.6168229147597</v>
      </c>
      <c r="AB52" s="607">
        <f t="shared" si="2"/>
        <v>2142.8084114573799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1522.4731637994846</v>
      </c>
      <c r="F54" s="93">
        <f t="shared" si="12"/>
        <v>1133.5077735001653</v>
      </c>
      <c r="G54" s="93">
        <f t="shared" si="12"/>
        <v>1103.7955543571718</v>
      </c>
      <c r="H54" s="93">
        <f t="shared" si="12"/>
        <v>1134.4888573492137</v>
      </c>
      <c r="I54" s="93">
        <f t="shared" si="12"/>
        <v>1209.887348610345</v>
      </c>
      <c r="J54" s="93">
        <f t="shared" si="12"/>
        <v>1228.3512213111635</v>
      </c>
      <c r="K54" s="93">
        <f t="shared" si="12"/>
        <v>1281.789942383502</v>
      </c>
      <c r="L54" s="93">
        <f t="shared" si="12"/>
        <v>1299.4709397929523</v>
      </c>
      <c r="M54" s="93">
        <f t="shared" si="12"/>
        <v>1316.4325537030613</v>
      </c>
      <c r="N54" s="93">
        <f t="shared" si="12"/>
        <v>802.77833755102165</v>
      </c>
      <c r="O54" s="93">
        <f t="shared" si="12"/>
        <v>315.02321028474717</v>
      </c>
      <c r="P54" s="93">
        <f t="shared" si="12"/>
        <v>338.9939585358087</v>
      </c>
      <c r="Q54" s="93">
        <f t="shared" si="12"/>
        <v>362.70165691626653</v>
      </c>
      <c r="R54" s="93">
        <f t="shared" si="12"/>
        <v>386.2484022959847</v>
      </c>
      <c r="S54" s="93">
        <f t="shared" si="12"/>
        <v>395.69288089393643</v>
      </c>
      <c r="T54" s="93">
        <f t="shared" si="12"/>
        <v>407.09790994112535</v>
      </c>
      <c r="U54" s="93">
        <f t="shared" si="12"/>
        <v>416.00886506574534</v>
      </c>
      <c r="V54" s="93">
        <f t="shared" si="12"/>
        <v>424.20311479821783</v>
      </c>
      <c r="W54" s="93">
        <f t="shared" si="12"/>
        <v>448.90927865980723</v>
      </c>
      <c r="X54" s="93">
        <f t="shared" si="12"/>
        <v>-112.15519136336437</v>
      </c>
      <c r="Y54" s="93">
        <f t="shared" si="12"/>
        <v>0</v>
      </c>
      <c r="AA54" s="606">
        <f t="shared" si="6"/>
        <v>13893.226614586871</v>
      </c>
      <c r="AB54" s="607">
        <f t="shared" si="2"/>
        <v>6946.6133072934354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[25]Tax!G$46</f>
        <v>800.12778000000003</v>
      </c>
      <c r="F56" s="342">
        <f>[25]Tax!H$46</f>
        <v>847.19411999999988</v>
      </c>
      <c r="G56" s="342">
        <f>[25]Tax!I$46</f>
        <v>847.19411999999988</v>
      </c>
      <c r="H56" s="342">
        <f>[25]Tax!J$46</f>
        <v>847.19411999999988</v>
      </c>
      <c r="I56" s="342">
        <f>[25]Tax!K$46</f>
        <v>894.26045999999997</v>
      </c>
      <c r="J56" s="342">
        <f>[25]Tax!L$46</f>
        <v>894.26045999999997</v>
      </c>
      <c r="K56" s="342">
        <f>[25]Tax!M$46</f>
        <v>941.32679999999993</v>
      </c>
      <c r="L56" s="342">
        <f>[25]Tax!N$46</f>
        <v>941.32679999999993</v>
      </c>
      <c r="M56" s="342">
        <f>[25]Tax!O$46</f>
        <v>941.32679999999993</v>
      </c>
      <c r="N56" s="342">
        <f>[25]Tax!P$46</f>
        <v>494.19657000000001</v>
      </c>
      <c r="O56" s="342">
        <f>[25]Tax!Q$46</f>
        <v>0</v>
      </c>
      <c r="P56" s="342">
        <f>[25]Tax!R$46</f>
        <v>0</v>
      </c>
      <c r="Q56" s="342">
        <f>[25]Tax!S$46</f>
        <v>0</v>
      </c>
      <c r="R56" s="342">
        <f>[25]Tax!T$46</f>
        <v>0</v>
      </c>
      <c r="S56" s="342">
        <f>[25]Tax!U$46</f>
        <v>0</v>
      </c>
      <c r="T56" s="342">
        <f>[25]Tax!V$46</f>
        <v>0</v>
      </c>
      <c r="U56" s="342">
        <f>[25]Tax!W$46</f>
        <v>0</v>
      </c>
      <c r="V56" s="342">
        <f>[25]Tax!X$46</f>
        <v>0</v>
      </c>
      <c r="W56" s="342">
        <f>[25]Tax!Y$46</f>
        <v>0</v>
      </c>
      <c r="X56" s="342">
        <f>[25]Tax!Z$46</f>
        <v>0</v>
      </c>
      <c r="Y56" s="342">
        <f>[25]Tax!AA$46</f>
        <v>0</v>
      </c>
      <c r="AA56" s="606">
        <f t="shared" si="6"/>
        <v>7648.2802499999989</v>
      </c>
      <c r="AB56" s="607">
        <f t="shared" si="2"/>
        <v>3824.1401249999994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1169.7900952218372</v>
      </c>
      <c r="F64" s="20">
        <f t="shared" si="14"/>
        <v>1015.6658356277982</v>
      </c>
      <c r="G64" s="24">
        <f t="shared" si="14"/>
        <v>967.54888155007598</v>
      </c>
      <c r="H64" s="20">
        <f t="shared" si="14"/>
        <v>1017.2546353833422</v>
      </c>
      <c r="I64" s="20">
        <f t="shared" si="14"/>
        <v>1063.1366617171579</v>
      </c>
      <c r="J64" s="20">
        <f t="shared" si="14"/>
        <v>1093.037670139536</v>
      </c>
      <c r="K64" s="20">
        <f t="shared" si="14"/>
        <v>1103.3573156008129</v>
      </c>
      <c r="L64" s="20">
        <f t="shared" si="14"/>
        <v>1131.9905097861579</v>
      </c>
      <c r="M64" s="20">
        <f t="shared" si="14"/>
        <v>1159.4587104503021</v>
      </c>
      <c r="N64" s="20">
        <f t="shared" si="14"/>
        <v>1051.7275587870797</v>
      </c>
      <c r="O64" s="20">
        <f t="shared" si="14"/>
        <v>1062.159044995542</v>
      </c>
      <c r="P64" s="20">
        <f t="shared" si="14"/>
        <v>1100.9780705033338</v>
      </c>
      <c r="Q64" s="20">
        <f t="shared" si="14"/>
        <v>1139.3711043178405</v>
      </c>
      <c r="R64" s="20">
        <f t="shared" si="14"/>
        <v>1177.5034854995704</v>
      </c>
      <c r="S64" s="20">
        <f t="shared" si="14"/>
        <v>1192.7981876824881</v>
      </c>
      <c r="T64" s="20">
        <f t="shared" si="14"/>
        <v>1211.2678703500005</v>
      </c>
      <c r="U64" s="20">
        <f t="shared" si="14"/>
        <v>1225.6985669080896</v>
      </c>
      <c r="V64" s="20">
        <f t="shared" si="14"/>
        <v>1238.9686069606767</v>
      </c>
      <c r="W64" s="20">
        <f t="shared" si="14"/>
        <v>1278.9785889227646</v>
      </c>
      <c r="X64" s="20">
        <f t="shared" si="14"/>
        <v>370.37215973544232</v>
      </c>
      <c r="Y64" s="20">
        <f t="shared" si="14"/>
        <v>0</v>
      </c>
      <c r="AA64" s="606">
        <f t="shared" si="6"/>
        <v>20601.273464918009</v>
      </c>
      <c r="AB64" s="607">
        <f t="shared" si="2"/>
        <v>10300.636732459005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1169.7900952218372</v>
      </c>
      <c r="F69" s="95">
        <f t="shared" si="15"/>
        <v>1015.6658356277982</v>
      </c>
      <c r="G69" s="95">
        <f t="shared" si="15"/>
        <v>967.54888155007598</v>
      </c>
      <c r="H69" s="95">
        <f t="shared" si="15"/>
        <v>1017.2546353833422</v>
      </c>
      <c r="I69" s="95">
        <f t="shared" si="15"/>
        <v>1063.1366617171579</v>
      </c>
      <c r="J69" s="95">
        <f t="shared" si="15"/>
        <v>1093.037670139536</v>
      </c>
      <c r="K69" s="95">
        <f t="shared" si="15"/>
        <v>1103.3573156008129</v>
      </c>
      <c r="L69" s="95">
        <f t="shared" si="15"/>
        <v>1131.9905097861579</v>
      </c>
      <c r="M69" s="95">
        <f t="shared" si="15"/>
        <v>1159.4587104503021</v>
      </c>
      <c r="N69" s="95">
        <f t="shared" si="15"/>
        <v>1051.7275587870797</v>
      </c>
      <c r="O69" s="95">
        <f t="shared" si="15"/>
        <v>1062.159044995542</v>
      </c>
      <c r="P69" s="95">
        <f t="shared" si="15"/>
        <v>1100.9780705033338</v>
      </c>
      <c r="Q69" s="95">
        <f t="shared" si="15"/>
        <v>1139.3711043178405</v>
      </c>
      <c r="R69" s="95">
        <f t="shared" si="15"/>
        <v>1177.5034854995704</v>
      </c>
      <c r="S69" s="95">
        <f t="shared" si="15"/>
        <v>1192.7981876824881</v>
      </c>
      <c r="T69" s="95">
        <f t="shared" si="15"/>
        <v>1211.2678703500005</v>
      </c>
      <c r="U69" s="95">
        <f t="shared" si="15"/>
        <v>1225.6985669080896</v>
      </c>
      <c r="V69" s="95">
        <f t="shared" si="15"/>
        <v>1238.9686069606767</v>
      </c>
      <c r="W69" s="95">
        <f t="shared" si="15"/>
        <v>1278.9785889227646</v>
      </c>
      <c r="X69" s="95">
        <f t="shared" si="15"/>
        <v>370.37215973544232</v>
      </c>
      <c r="Y69" s="95">
        <f t="shared" si="15"/>
        <v>0</v>
      </c>
      <c r="AA69" s="606">
        <f t="shared" si="6"/>
        <v>20601.273464918009</v>
      </c>
      <c r="AB69" s="607">
        <f t="shared" si="2"/>
        <v>10300.636732459005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878.68180278653676</v>
      </c>
      <c r="G71" s="100">
        <f t="shared" si="16"/>
        <v>1657.3909286697674</v>
      </c>
      <c r="H71" s="100">
        <f t="shared" si="16"/>
        <v>827.38712748347439</v>
      </c>
      <c r="I71" s="100">
        <f t="shared" si="16"/>
        <v>323.24244220374874</v>
      </c>
      <c r="J71" s="100">
        <f t="shared" si="16"/>
        <v>311.80530648218917</v>
      </c>
      <c r="K71" s="100">
        <f t="shared" si="16"/>
        <v>-57.088065562030089</v>
      </c>
      <c r="L71" s="100">
        <f t="shared" si="16"/>
        <v>-432.98636999320541</v>
      </c>
      <c r="M71" s="100">
        <f t="shared" si="16"/>
        <v>-443.4929567472405</v>
      </c>
      <c r="N71" s="100">
        <f t="shared" si="16"/>
        <v>-402.285791236058</v>
      </c>
      <c r="O71" s="100">
        <f t="shared" si="16"/>
        <v>-406.27583471079481</v>
      </c>
      <c r="P71" s="100">
        <f t="shared" si="16"/>
        <v>-421.12411196752515</v>
      </c>
      <c r="Q71" s="100">
        <f t="shared" si="16"/>
        <v>-435.80944740157395</v>
      </c>
      <c r="R71" s="100">
        <f t="shared" si="16"/>
        <v>-450.39508320358567</v>
      </c>
      <c r="S71" s="100">
        <f t="shared" si="16"/>
        <v>-456.24530678855166</v>
      </c>
      <c r="T71" s="100">
        <f t="shared" si="16"/>
        <v>-463.3099604088751</v>
      </c>
      <c r="U71" s="100">
        <f t="shared" si="16"/>
        <v>-468.82970184234421</v>
      </c>
      <c r="V71" s="100">
        <f t="shared" si="16"/>
        <v>-473.90549216245881</v>
      </c>
      <c r="W71" s="100">
        <f t="shared" si="16"/>
        <v>-489.2093102629575</v>
      </c>
      <c r="X71" s="100">
        <f t="shared" si="16"/>
        <v>-141.66735109880668</v>
      </c>
      <c r="Y71" s="100">
        <f t="shared" si="16"/>
        <v>0</v>
      </c>
      <c r="AA71" s="606">
        <f t="shared" si="6"/>
        <v>-1544.1171757602906</v>
      </c>
      <c r="AB71" s="607">
        <f t="shared" si="2"/>
        <v>-772.0585878801453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1169.7900952218372</v>
      </c>
      <c r="F73" s="28">
        <f t="shared" si="17"/>
        <v>1894.3476384143351</v>
      </c>
      <c r="G73" s="28">
        <f t="shared" si="17"/>
        <v>2624.9398102198434</v>
      </c>
      <c r="H73" s="28">
        <f t="shared" si="17"/>
        <v>1844.6417628668166</v>
      </c>
      <c r="I73" s="28">
        <f t="shared" si="17"/>
        <v>1386.3791039209068</v>
      </c>
      <c r="J73" s="28">
        <f t="shared" si="17"/>
        <v>1404.842976621725</v>
      </c>
      <c r="K73" s="28">
        <f t="shared" si="17"/>
        <v>1046.2692500387827</v>
      </c>
      <c r="L73" s="28">
        <f t="shared" si="17"/>
        <v>699.0041397929524</v>
      </c>
      <c r="M73" s="28">
        <f t="shared" si="17"/>
        <v>715.96575370306164</v>
      </c>
      <c r="N73" s="28">
        <f t="shared" si="17"/>
        <v>649.44176755102171</v>
      </c>
      <c r="O73" s="28">
        <f t="shared" si="17"/>
        <v>655.88321028474718</v>
      </c>
      <c r="P73" s="28">
        <f t="shared" si="17"/>
        <v>679.85395853580872</v>
      </c>
      <c r="Q73" s="28">
        <f t="shared" si="17"/>
        <v>703.56165691626654</v>
      </c>
      <c r="R73" s="28">
        <f t="shared" si="17"/>
        <v>727.10840229598466</v>
      </c>
      <c r="S73" s="28">
        <f t="shared" si="17"/>
        <v>736.55288089393639</v>
      </c>
      <c r="T73" s="28">
        <f t="shared" si="17"/>
        <v>747.95790994112542</v>
      </c>
      <c r="U73" s="28">
        <f t="shared" si="17"/>
        <v>756.86886506574535</v>
      </c>
      <c r="V73" s="28">
        <f t="shared" si="17"/>
        <v>765.06311479821784</v>
      </c>
      <c r="W73" s="28">
        <f t="shared" si="17"/>
        <v>789.76927865980713</v>
      </c>
      <c r="X73" s="28">
        <f t="shared" si="17"/>
        <v>228.70480863663565</v>
      </c>
      <c r="Y73" s="28">
        <f t="shared" si="17"/>
        <v>0</v>
      </c>
      <c r="AA73" s="606">
        <f t="shared" si="6"/>
        <v>19057.156289157712</v>
      </c>
      <c r="AB73" s="607">
        <f t="shared" si="2"/>
        <v>9528.5781445788562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761.2365818997423</v>
      </c>
      <c r="F76" s="28">
        <f t="shared" si="19"/>
        <v>566.75388675008264</v>
      </c>
      <c r="G76" s="95">
        <f t="shared" si="19"/>
        <v>551.8977771785859</v>
      </c>
      <c r="H76" s="28">
        <f t="shared" si="19"/>
        <v>567.24442867460687</v>
      </c>
      <c r="I76" s="28">
        <f t="shared" si="19"/>
        <v>604.94367430517252</v>
      </c>
      <c r="J76" s="28">
        <f t="shared" si="19"/>
        <v>614.17561065558175</v>
      </c>
      <c r="K76" s="28">
        <f t="shared" si="19"/>
        <v>640.89497119175098</v>
      </c>
      <c r="L76" s="28">
        <f t="shared" si="19"/>
        <v>649.73546989647616</v>
      </c>
      <c r="M76" s="28">
        <f t="shared" si="19"/>
        <v>658.21627685153067</v>
      </c>
      <c r="N76" s="28">
        <f t="shared" si="19"/>
        <v>401.38916877551083</v>
      </c>
      <c r="O76" s="28">
        <f t="shared" si="19"/>
        <v>157.51160514237358</v>
      </c>
      <c r="P76" s="28">
        <f t="shared" si="19"/>
        <v>169.49697926790435</v>
      </c>
      <c r="Q76" s="28">
        <f t="shared" si="19"/>
        <v>181.35082845813326</v>
      </c>
      <c r="R76" s="28">
        <f t="shared" si="19"/>
        <v>193.12420114799235</v>
      </c>
      <c r="S76" s="28">
        <f t="shared" si="19"/>
        <v>197.84644044696822</v>
      </c>
      <c r="T76" s="28">
        <f t="shared" si="19"/>
        <v>203.54895497056268</v>
      </c>
      <c r="U76" s="28">
        <f t="shared" si="19"/>
        <v>208.00443253287267</v>
      </c>
      <c r="V76" s="28">
        <f t="shared" si="19"/>
        <v>212.10155739910891</v>
      </c>
      <c r="W76" s="28">
        <f t="shared" si="19"/>
        <v>224.45463932990361</v>
      </c>
      <c r="X76" s="28">
        <f t="shared" si="19"/>
        <v>-56.077595681682183</v>
      </c>
      <c r="Y76" s="28">
        <f t="shared" si="19"/>
        <v>0</v>
      </c>
      <c r="AA76" s="606">
        <f t="shared" si="6"/>
        <v>6946.6133072934354</v>
      </c>
      <c r="AB76" s="607">
        <f>AA76</f>
        <v>6946.6133072934354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584.8950476109186</v>
      </c>
      <c r="F77" s="28">
        <f t="shared" si="20"/>
        <v>947.17381920716753</v>
      </c>
      <c r="G77" s="95">
        <f t="shared" si="20"/>
        <v>1312.4699051099217</v>
      </c>
      <c r="H77" s="28">
        <f t="shared" si="20"/>
        <v>922.32088143340832</v>
      </c>
      <c r="I77" s="28">
        <f t="shared" si="20"/>
        <v>693.1895519604534</v>
      </c>
      <c r="J77" s="28">
        <f t="shared" si="20"/>
        <v>702.42148831086251</v>
      </c>
      <c r="K77" s="28">
        <f t="shared" si="20"/>
        <v>523.13462501939136</v>
      </c>
      <c r="L77" s="28">
        <f t="shared" si="20"/>
        <v>349.5020698964762</v>
      </c>
      <c r="M77" s="28">
        <f t="shared" si="20"/>
        <v>357.98287685153082</v>
      </c>
      <c r="N77" s="28">
        <f t="shared" si="20"/>
        <v>324.72088377551086</v>
      </c>
      <c r="O77" s="28">
        <f t="shared" si="20"/>
        <v>327.94160514237359</v>
      </c>
      <c r="P77" s="28">
        <f t="shared" si="20"/>
        <v>339.92697926790436</v>
      </c>
      <c r="Q77" s="28">
        <f t="shared" si="20"/>
        <v>351.78082845813327</v>
      </c>
      <c r="R77" s="28">
        <f t="shared" si="20"/>
        <v>363.55420114799233</v>
      </c>
      <c r="S77" s="28">
        <f t="shared" si="20"/>
        <v>368.27644044696819</v>
      </c>
      <c r="T77" s="28">
        <f t="shared" si="20"/>
        <v>373.97895497056271</v>
      </c>
      <c r="U77" s="28">
        <f t="shared" si="20"/>
        <v>378.43443253287268</v>
      </c>
      <c r="V77" s="28">
        <f t="shared" si="20"/>
        <v>382.53155739910892</v>
      </c>
      <c r="W77" s="28">
        <f t="shared" si="20"/>
        <v>394.88463932990356</v>
      </c>
      <c r="X77" s="28">
        <f t="shared" si="20"/>
        <v>114.35240431831782</v>
      </c>
      <c r="Y77" s="28">
        <f t="shared" si="20"/>
        <v>0</v>
      </c>
      <c r="AA77" s="606">
        <f t="shared" si="6"/>
        <v>9528.5781445788562</v>
      </c>
      <c r="AB77" s="607">
        <f>AA77</f>
        <v>9528.5781445788562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1015.6658356277982</v>
      </c>
      <c r="G88" s="200">
        <f t="shared" ref="G88:Y88" si="22">G69</f>
        <v>967.54888155007598</v>
      </c>
      <c r="H88" s="200">
        <f t="shared" si="22"/>
        <v>1017.2546353833422</v>
      </c>
      <c r="I88" s="200">
        <f t="shared" si="22"/>
        <v>1063.1366617171579</v>
      </c>
      <c r="J88" s="200">
        <f t="shared" si="22"/>
        <v>1093.037670139536</v>
      </c>
      <c r="K88" s="200">
        <f t="shared" si="22"/>
        <v>1103.3573156008129</v>
      </c>
      <c r="L88" s="200">
        <f t="shared" si="22"/>
        <v>1131.9905097861579</v>
      </c>
      <c r="M88" s="200">
        <f t="shared" si="22"/>
        <v>1159.4587104503021</v>
      </c>
      <c r="N88" s="200">
        <f t="shared" si="22"/>
        <v>1051.7275587870797</v>
      </c>
      <c r="O88" s="200">
        <f t="shared" si="22"/>
        <v>1062.159044995542</v>
      </c>
      <c r="P88" s="200">
        <f t="shared" si="22"/>
        <v>1100.9780705033338</v>
      </c>
      <c r="Q88" s="200">
        <f t="shared" si="22"/>
        <v>1139.3711043178405</v>
      </c>
      <c r="R88" s="200">
        <f t="shared" si="22"/>
        <v>1177.5034854995704</v>
      </c>
      <c r="S88" s="200">
        <f t="shared" si="22"/>
        <v>1192.7981876824881</v>
      </c>
      <c r="T88" s="200">
        <f t="shared" si="22"/>
        <v>1211.2678703500005</v>
      </c>
      <c r="U88" s="200">
        <f t="shared" si="22"/>
        <v>1225.6985669080896</v>
      </c>
      <c r="V88" s="200">
        <f t="shared" si="22"/>
        <v>1238.9686069606767</v>
      </c>
      <c r="W88" s="200">
        <f t="shared" si="22"/>
        <v>1278.9785889227646</v>
      </c>
      <c r="X88" s="200">
        <f t="shared" si="22"/>
        <v>370.37215973544232</v>
      </c>
      <c r="Y88" s="200">
        <f t="shared" si="22"/>
        <v>0</v>
      </c>
      <c r="AA88" s="606">
        <f t="shared" si="6"/>
        <v>20601.273464918009</v>
      </c>
      <c r="AB88" s="607">
        <f t="shared" si="18"/>
        <v>10300.636732459005</v>
      </c>
    </row>
    <row r="89" spans="1:30" s="199" customFormat="1">
      <c r="A89" s="199" t="s">
        <v>53</v>
      </c>
      <c r="F89" s="110">
        <f>F126+F127</f>
        <v>878.68180278653676</v>
      </c>
      <c r="G89" s="110">
        <f t="shared" ref="G89:Y89" si="23">G126+G127</f>
        <v>1657.3909286697674</v>
      </c>
      <c r="H89" s="110">
        <f t="shared" si="23"/>
        <v>827.38712748347439</v>
      </c>
      <c r="I89" s="110">
        <f t="shared" si="23"/>
        <v>323.24244220374874</v>
      </c>
      <c r="J89" s="110">
        <f t="shared" si="23"/>
        <v>311.80530648218917</v>
      </c>
      <c r="K89" s="110">
        <f t="shared" si="23"/>
        <v>-57.088065562030089</v>
      </c>
      <c r="L89" s="110">
        <f t="shared" si="23"/>
        <v>-432.98636999320541</v>
      </c>
      <c r="M89" s="110">
        <f t="shared" si="23"/>
        <v>-443.4929567472405</v>
      </c>
      <c r="N89" s="110">
        <f t="shared" si="23"/>
        <v>-402.285791236058</v>
      </c>
      <c r="O89" s="110">
        <f t="shared" si="23"/>
        <v>-406.27583471079481</v>
      </c>
      <c r="P89" s="110">
        <f t="shared" si="23"/>
        <v>-421.12411196752515</v>
      </c>
      <c r="Q89" s="110">
        <f t="shared" si="23"/>
        <v>-435.80944740157395</v>
      </c>
      <c r="R89" s="110">
        <f t="shared" si="23"/>
        <v>-450.39508320358567</v>
      </c>
      <c r="S89" s="110">
        <f t="shared" si="23"/>
        <v>-456.24530678855166</v>
      </c>
      <c r="T89" s="110">
        <f t="shared" si="23"/>
        <v>-463.3099604088751</v>
      </c>
      <c r="U89" s="110">
        <f t="shared" si="23"/>
        <v>-468.82970184234421</v>
      </c>
      <c r="V89" s="110">
        <f t="shared" si="23"/>
        <v>-473.90549216245881</v>
      </c>
      <c r="W89" s="110">
        <f t="shared" si="23"/>
        <v>-489.2093102629575</v>
      </c>
      <c r="X89" s="110">
        <f t="shared" si="23"/>
        <v>-141.66735109880668</v>
      </c>
      <c r="Y89" s="110">
        <f t="shared" si="23"/>
        <v>0</v>
      </c>
      <c r="AA89" s="606">
        <f t="shared" si="6"/>
        <v>-1544.1171757602906</v>
      </c>
      <c r="AB89" s="607">
        <f t="shared" si="18"/>
        <v>-772.0585878801453</v>
      </c>
    </row>
    <row r="90" spans="1:30" s="199" customFormat="1">
      <c r="A90" s="199" t="s">
        <v>238</v>
      </c>
      <c r="F90" s="110">
        <f>F56</f>
        <v>847.19411999999988</v>
      </c>
      <c r="G90" s="110">
        <f t="shared" ref="G90:Y90" si="24">G56</f>
        <v>847.19411999999988</v>
      </c>
      <c r="H90" s="110">
        <f t="shared" si="24"/>
        <v>847.19411999999988</v>
      </c>
      <c r="I90" s="110">
        <f t="shared" si="24"/>
        <v>894.26045999999997</v>
      </c>
      <c r="J90" s="110">
        <f t="shared" si="24"/>
        <v>894.26045999999997</v>
      </c>
      <c r="K90" s="110">
        <f t="shared" si="24"/>
        <v>941.32679999999993</v>
      </c>
      <c r="L90" s="110">
        <f t="shared" si="24"/>
        <v>941.32679999999993</v>
      </c>
      <c r="M90" s="110">
        <f t="shared" si="24"/>
        <v>941.32679999999993</v>
      </c>
      <c r="N90" s="110">
        <f t="shared" si="24"/>
        <v>494.19657000000001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7648.2802499999989</v>
      </c>
      <c r="AB90" s="607">
        <f t="shared" si="18"/>
        <v>3824.1401249999994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11851.909111534154</v>
      </c>
      <c r="Y91" s="111"/>
      <c r="AA91" s="606">
        <f t="shared" si="6"/>
        <v>11851.909111534154</v>
      </c>
      <c r="AB91" s="607">
        <f t="shared" si="18"/>
        <v>5925.9545557670772</v>
      </c>
    </row>
    <row r="92" spans="1:30" s="199" customFormat="1">
      <c r="A92" s="199" t="s">
        <v>55</v>
      </c>
      <c r="E92" s="346">
        <v>-18404.850906523887</v>
      </c>
      <c r="F92" s="200">
        <f>SUM(F88:F91)</f>
        <v>2741.5417584143352</v>
      </c>
      <c r="G92" s="200">
        <f t="shared" ref="G92:Y92" si="25">SUM(G88:G91)</f>
        <v>3472.133930219843</v>
      </c>
      <c r="H92" s="200">
        <f t="shared" si="25"/>
        <v>2691.8358828668165</v>
      </c>
      <c r="I92" s="200">
        <f t="shared" si="25"/>
        <v>2280.6395639209068</v>
      </c>
      <c r="J92" s="200">
        <f t="shared" si="25"/>
        <v>2299.103436621725</v>
      </c>
      <c r="K92" s="200">
        <f t="shared" si="25"/>
        <v>1987.5960500387828</v>
      </c>
      <c r="L92" s="200">
        <f t="shared" si="25"/>
        <v>1640.3309397929524</v>
      </c>
      <c r="M92" s="200">
        <f t="shared" si="25"/>
        <v>1657.2925537030615</v>
      </c>
      <c r="N92" s="200">
        <f t="shared" si="25"/>
        <v>1143.6383375510218</v>
      </c>
      <c r="O92" s="200">
        <f t="shared" si="25"/>
        <v>655.88321028474718</v>
      </c>
      <c r="P92" s="200">
        <f t="shared" si="25"/>
        <v>679.85395853580872</v>
      </c>
      <c r="Q92" s="200">
        <f t="shared" si="25"/>
        <v>703.56165691626654</v>
      </c>
      <c r="R92" s="200">
        <f t="shared" si="25"/>
        <v>727.10840229598466</v>
      </c>
      <c r="S92" s="200">
        <f t="shared" si="25"/>
        <v>736.55288089393639</v>
      </c>
      <c r="T92" s="200">
        <f t="shared" si="25"/>
        <v>747.95790994112542</v>
      </c>
      <c r="U92" s="200">
        <f t="shared" si="25"/>
        <v>756.86886506574535</v>
      </c>
      <c r="V92" s="200">
        <f t="shared" si="25"/>
        <v>765.06311479821784</v>
      </c>
      <c r="W92" s="200">
        <f t="shared" si="25"/>
        <v>789.76927865980713</v>
      </c>
      <c r="X92" s="200">
        <f t="shared" si="25"/>
        <v>12080.61392017079</v>
      </c>
      <c r="Y92" s="200">
        <f t="shared" si="25"/>
        <v>0</v>
      </c>
      <c r="AA92" s="606">
        <f t="shared" si="6"/>
        <v>38557.345650691874</v>
      </c>
      <c r="AB92" s="607">
        <f t="shared" si="18"/>
        <v>19278.672825345937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-8.3439880896598915E-13</v>
      </c>
      <c r="R95" s="204"/>
      <c r="U95" s="205" t="s">
        <v>241</v>
      </c>
      <c r="V95" s="206"/>
      <c r="W95" s="206"/>
      <c r="X95" s="206"/>
      <c r="Y95" s="207">
        <f>X88*4</f>
        <v>1481.4886389417693</v>
      </c>
      <c r="AA95" s="606">
        <f t="shared" si="6"/>
        <v>1481.4886389417693</v>
      </c>
      <c r="AB95" s="607">
        <f t="shared" si="18"/>
        <v>740.74431947088465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1481.4886389417693</v>
      </c>
      <c r="AA97" s="606">
        <f t="shared" si="6"/>
        <v>1481.4886389417693</v>
      </c>
      <c r="AB97" s="607">
        <f t="shared" si="18"/>
        <v>740.74431947088465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11851.909111534154</v>
      </c>
      <c r="AA99" s="606">
        <f t="shared" si="6"/>
        <v>11851.909111534154</v>
      </c>
      <c r="AB99" s="607">
        <f t="shared" si="18"/>
        <v>5925.9545557670772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18404.850906523887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18404.850906523887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16564.365815871497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16564.365815871497</v>
      </c>
      <c r="F109" s="203">
        <f>ROUND(D109/$B$109,0)</f>
        <v>552</v>
      </c>
      <c r="G109" s="203">
        <f>F109</f>
        <v>552</v>
      </c>
      <c r="H109" s="203">
        <f t="shared" ref="H109:X110" si="28">G109</f>
        <v>552</v>
      </c>
      <c r="I109" s="203">
        <f t="shared" si="28"/>
        <v>552</v>
      </c>
      <c r="J109" s="203">
        <f t="shared" si="28"/>
        <v>552</v>
      </c>
      <c r="K109" s="203">
        <f t="shared" si="28"/>
        <v>552</v>
      </c>
      <c r="L109" s="203">
        <f t="shared" si="28"/>
        <v>552</v>
      </c>
      <c r="M109" s="203">
        <f t="shared" si="28"/>
        <v>552</v>
      </c>
      <c r="N109" s="203">
        <f t="shared" si="28"/>
        <v>552</v>
      </c>
      <c r="O109" s="203">
        <f t="shared" si="28"/>
        <v>552</v>
      </c>
      <c r="P109" s="203">
        <f t="shared" si="28"/>
        <v>552</v>
      </c>
      <c r="Q109" s="203">
        <f t="shared" si="28"/>
        <v>552</v>
      </c>
      <c r="R109" s="203">
        <f t="shared" si="28"/>
        <v>552</v>
      </c>
      <c r="S109" s="203">
        <f t="shared" si="28"/>
        <v>552</v>
      </c>
      <c r="T109" s="203">
        <f t="shared" si="28"/>
        <v>552</v>
      </c>
      <c r="U109" s="203">
        <f t="shared" si="28"/>
        <v>552</v>
      </c>
      <c r="V109" s="203">
        <f t="shared" si="28"/>
        <v>552</v>
      </c>
      <c r="W109" s="203">
        <f t="shared" si="28"/>
        <v>552</v>
      </c>
      <c r="X109" s="203">
        <f t="shared" si="28"/>
        <v>552</v>
      </c>
      <c r="Y109" s="739"/>
      <c r="AA109" s="606">
        <f t="shared" si="26"/>
        <v>10488</v>
      </c>
      <c r="AB109" s="607">
        <f t="shared" si="18"/>
        <v>5244</v>
      </c>
    </row>
    <row r="110" spans="1:28" s="199" customFormat="1">
      <c r="A110" s="199" t="s">
        <v>571</v>
      </c>
      <c r="D110" s="214">
        <f>D104*'FPLE_Wind Summary'!V22</f>
        <v>1248.7968595668672</v>
      </c>
      <c r="F110" s="203">
        <f>ROUND(D110/$B$109,0)</f>
        <v>42</v>
      </c>
      <c r="G110" s="203">
        <f>F110</f>
        <v>42</v>
      </c>
      <c r="H110" s="203">
        <f t="shared" si="28"/>
        <v>42</v>
      </c>
      <c r="I110" s="203">
        <f t="shared" si="28"/>
        <v>42</v>
      </c>
      <c r="J110" s="203">
        <f t="shared" si="28"/>
        <v>42</v>
      </c>
      <c r="K110" s="203">
        <f t="shared" si="28"/>
        <v>42</v>
      </c>
      <c r="L110" s="203">
        <f t="shared" si="28"/>
        <v>42</v>
      </c>
      <c r="M110" s="203">
        <f t="shared" si="28"/>
        <v>42</v>
      </c>
      <c r="N110" s="203">
        <f t="shared" si="28"/>
        <v>42</v>
      </c>
      <c r="O110" s="203">
        <f t="shared" si="28"/>
        <v>42</v>
      </c>
      <c r="P110" s="203">
        <f t="shared" si="28"/>
        <v>42</v>
      </c>
      <c r="Q110" s="203">
        <f t="shared" si="28"/>
        <v>42</v>
      </c>
      <c r="R110" s="203">
        <f t="shared" si="28"/>
        <v>42</v>
      </c>
      <c r="S110" s="203">
        <f t="shared" si="28"/>
        <v>42</v>
      </c>
      <c r="T110" s="203">
        <f t="shared" si="28"/>
        <v>42</v>
      </c>
      <c r="U110" s="203">
        <f t="shared" si="28"/>
        <v>42</v>
      </c>
      <c r="V110" s="203">
        <f t="shared" si="28"/>
        <v>42</v>
      </c>
      <c r="W110" s="203">
        <f t="shared" si="28"/>
        <v>42</v>
      </c>
      <c r="X110" s="203">
        <f t="shared" si="28"/>
        <v>42</v>
      </c>
      <c r="Y110" s="739"/>
      <c r="AA110" s="606">
        <f t="shared" si="26"/>
        <v>798</v>
      </c>
      <c r="AB110" s="607">
        <f t="shared" si="18"/>
        <v>399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16564.365815871497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3312.8731631742994</v>
      </c>
      <c r="G115" s="203">
        <f t="shared" si="29"/>
        <v>5300.5970610788791</v>
      </c>
      <c r="H115" s="203">
        <f t="shared" si="29"/>
        <v>3180.3582366473274</v>
      </c>
      <c r="I115" s="203">
        <f t="shared" si="29"/>
        <v>1908.2149419883965</v>
      </c>
      <c r="J115" s="203">
        <f t="shared" si="29"/>
        <v>1908.2149419883965</v>
      </c>
      <c r="K115" s="203">
        <f t="shared" si="29"/>
        <v>954.10747099419825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16564.365815871497</v>
      </c>
      <c r="AB115" s="607">
        <f t="shared" si="18"/>
        <v>8282.1829079357485</v>
      </c>
    </row>
    <row r="116" spans="1:28" s="199" customFormat="1">
      <c r="A116" s="199" t="s">
        <v>571</v>
      </c>
      <c r="D116" s="214">
        <f>D110</f>
        <v>1248.7968595668672</v>
      </c>
      <c r="F116" s="203">
        <f>$D$116*F114</f>
        <v>249.75937191337346</v>
      </c>
      <c r="G116" s="203">
        <f t="shared" ref="G116:X116" si="30">$D$116*G114</f>
        <v>399.61499506139751</v>
      </c>
      <c r="H116" s="203">
        <f t="shared" si="30"/>
        <v>239.7689970368385</v>
      </c>
      <c r="I116" s="203">
        <f t="shared" si="30"/>
        <v>143.86139822210311</v>
      </c>
      <c r="J116" s="203">
        <f t="shared" si="30"/>
        <v>143.86139822210311</v>
      </c>
      <c r="K116" s="203">
        <f t="shared" si="30"/>
        <v>71.930699111051553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1248.7968595668674</v>
      </c>
      <c r="AB116" s="607">
        <f t="shared" si="18"/>
        <v>624.3984297834337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1015.6658356277982</v>
      </c>
      <c r="G121" s="203">
        <f t="shared" ref="G121:Y121" si="32">G39</f>
        <v>967.54888155007598</v>
      </c>
      <c r="H121" s="203">
        <f t="shared" si="32"/>
        <v>1017.2546353833422</v>
      </c>
      <c r="I121" s="203">
        <f t="shared" si="32"/>
        <v>1063.1366617171579</v>
      </c>
      <c r="J121" s="203">
        <f>J39</f>
        <v>1093.037670139536</v>
      </c>
      <c r="K121" s="203">
        <f t="shared" si="32"/>
        <v>1103.3573156008129</v>
      </c>
      <c r="L121" s="203">
        <f t="shared" si="32"/>
        <v>1131.9905097861579</v>
      </c>
      <c r="M121" s="203">
        <f t="shared" si="32"/>
        <v>1159.4587104503021</v>
      </c>
      <c r="N121" s="203">
        <f t="shared" si="32"/>
        <v>1051.7275587870797</v>
      </c>
      <c r="O121" s="203">
        <f t="shared" si="32"/>
        <v>1062.159044995542</v>
      </c>
      <c r="P121" s="203">
        <f t="shared" si="32"/>
        <v>1100.9780705033338</v>
      </c>
      <c r="Q121" s="203">
        <f t="shared" si="32"/>
        <v>1139.3711043178405</v>
      </c>
      <c r="R121" s="203">
        <f t="shared" si="32"/>
        <v>1177.5034854995704</v>
      </c>
      <c r="S121" s="203">
        <f t="shared" si="32"/>
        <v>1192.7981876824881</v>
      </c>
      <c r="T121" s="203">
        <f t="shared" si="32"/>
        <v>1211.2678703500005</v>
      </c>
      <c r="U121" s="203">
        <f t="shared" si="32"/>
        <v>1225.6985669080896</v>
      </c>
      <c r="V121" s="203">
        <f t="shared" si="32"/>
        <v>1238.9686069606767</v>
      </c>
      <c r="W121" s="203">
        <f t="shared" si="32"/>
        <v>1278.9785889227646</v>
      </c>
      <c r="X121" s="203">
        <f t="shared" si="32"/>
        <v>370.37215973544232</v>
      </c>
      <c r="Y121" s="203">
        <f t="shared" si="32"/>
        <v>0</v>
      </c>
      <c r="AA121" s="606">
        <f t="shared" si="26"/>
        <v>20601.273464918009</v>
      </c>
      <c r="AB121" s="607">
        <f t="shared" si="18"/>
        <v>10300.636732459005</v>
      </c>
    </row>
    <row r="122" spans="1:28" s="199" customFormat="1">
      <c r="A122" s="199" t="s">
        <v>74</v>
      </c>
      <c r="F122" s="203">
        <f>-F115</f>
        <v>-3312.8731631742994</v>
      </c>
      <c r="G122" s="203">
        <f t="shared" ref="G122:Y122" si="33">-G115</f>
        <v>-5300.5970610788791</v>
      </c>
      <c r="H122" s="203">
        <f t="shared" si="33"/>
        <v>-3180.3582366473274</v>
      </c>
      <c r="I122" s="203">
        <f t="shared" si="33"/>
        <v>-1908.2149419883965</v>
      </c>
      <c r="J122" s="203">
        <f t="shared" si="33"/>
        <v>-1908.2149419883965</v>
      </c>
      <c r="K122" s="203">
        <f t="shared" si="33"/>
        <v>-954.10747099419825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-16564.365815871497</v>
      </c>
      <c r="AB122" s="607">
        <f t="shared" si="18"/>
        <v>-8282.1829079357485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-2297.2073275465013</v>
      </c>
      <c r="G124" s="203">
        <f t="shared" ref="G124:Y124" si="35">SUM(G121:G123)</f>
        <v>-4333.0481795288033</v>
      </c>
      <c r="H124" s="203">
        <f t="shared" si="35"/>
        <v>-2163.1036012639852</v>
      </c>
      <c r="I124" s="203">
        <f t="shared" si="35"/>
        <v>-845.07828027123855</v>
      </c>
      <c r="J124" s="203">
        <f t="shared" si="35"/>
        <v>-815.17727184886053</v>
      </c>
      <c r="K124" s="203">
        <f t="shared" si="35"/>
        <v>149.2498446066146</v>
      </c>
      <c r="L124" s="203">
        <f t="shared" si="35"/>
        <v>1131.9905097861579</v>
      </c>
      <c r="M124" s="203">
        <f t="shared" si="35"/>
        <v>1159.4587104503021</v>
      </c>
      <c r="N124" s="203">
        <f t="shared" si="35"/>
        <v>1051.7275587870797</v>
      </c>
      <c r="O124" s="203">
        <f t="shared" si="35"/>
        <v>1062.159044995542</v>
      </c>
      <c r="P124" s="203">
        <f t="shared" si="35"/>
        <v>1100.9780705033338</v>
      </c>
      <c r="Q124" s="203">
        <f t="shared" si="35"/>
        <v>1139.3711043178405</v>
      </c>
      <c r="R124" s="203">
        <f t="shared" si="35"/>
        <v>1177.5034854995704</v>
      </c>
      <c r="S124" s="203">
        <f t="shared" si="35"/>
        <v>1192.7981876824881</v>
      </c>
      <c r="T124" s="203">
        <f t="shared" si="35"/>
        <v>1211.2678703500005</v>
      </c>
      <c r="U124" s="203">
        <f t="shared" si="35"/>
        <v>1225.6985669080896</v>
      </c>
      <c r="V124" s="203">
        <f t="shared" si="35"/>
        <v>1238.9686069606767</v>
      </c>
      <c r="W124" s="203">
        <f t="shared" si="35"/>
        <v>1278.9785889227646</v>
      </c>
      <c r="X124" s="203">
        <f t="shared" si="35"/>
        <v>370.37215973544232</v>
      </c>
      <c r="Y124" s="203">
        <f t="shared" si="35"/>
        <v>0</v>
      </c>
      <c r="AA124" s="606">
        <f t="shared" si="26"/>
        <v>4036.9076490465145</v>
      </c>
      <c r="AB124" s="607">
        <f t="shared" si="18"/>
        <v>2018.4538245232573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114.86036637732508</v>
      </c>
      <c r="G126" s="203">
        <f t="shared" ref="G126:Y126" si="36">-G124*$C$126</f>
        <v>216.65240897644017</v>
      </c>
      <c r="H126" s="203">
        <f t="shared" si="36"/>
        <v>108.15518006319927</v>
      </c>
      <c r="I126" s="203">
        <f t="shared" si="36"/>
        <v>42.253914013561932</v>
      </c>
      <c r="J126" s="203">
        <f t="shared" si="36"/>
        <v>40.758863592443028</v>
      </c>
      <c r="K126" s="203">
        <f t="shared" si="36"/>
        <v>-7.4624922303307306</v>
      </c>
      <c r="L126" s="203">
        <f t="shared" si="36"/>
        <v>-56.599525489307894</v>
      </c>
      <c r="M126" s="203">
        <f t="shared" si="36"/>
        <v>-57.972935522515108</v>
      </c>
      <c r="N126" s="203">
        <f t="shared" si="36"/>
        <v>-52.586377939353987</v>
      </c>
      <c r="O126" s="203">
        <f t="shared" si="36"/>
        <v>-53.107952249777099</v>
      </c>
      <c r="P126" s="203">
        <f t="shared" si="36"/>
        <v>-55.048903525166693</v>
      </c>
      <c r="Q126" s="203">
        <f t="shared" si="36"/>
        <v>-56.968555215892025</v>
      </c>
      <c r="R126" s="203">
        <f t="shared" si="36"/>
        <v>-58.875174274978519</v>
      </c>
      <c r="S126" s="203">
        <f t="shared" si="36"/>
        <v>-59.639909384124408</v>
      </c>
      <c r="T126" s="203">
        <f t="shared" si="36"/>
        <v>-60.563393517500032</v>
      </c>
      <c r="U126" s="203">
        <f t="shared" si="36"/>
        <v>-61.284928345404481</v>
      </c>
      <c r="V126" s="203">
        <f t="shared" si="36"/>
        <v>-61.948430348033838</v>
      </c>
      <c r="W126" s="203">
        <f t="shared" si="36"/>
        <v>-63.948929446138237</v>
      </c>
      <c r="X126" s="203">
        <f t="shared" si="36"/>
        <v>-18.518607986772118</v>
      </c>
      <c r="Y126" s="203">
        <f t="shared" si="36"/>
        <v>0</v>
      </c>
      <c r="AA126" s="606">
        <f t="shared" si="26"/>
        <v>-201.84538245232568</v>
      </c>
      <c r="AB126" s="607">
        <f t="shared" si="18"/>
        <v>-100.92269122616284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763.82143640921163</v>
      </c>
      <c r="G127" s="203">
        <f t="shared" ref="G127:Y127" si="37">-(G124+G126)*$C$127</f>
        <v>1440.7385196933271</v>
      </c>
      <c r="H127" s="203">
        <f t="shared" si="37"/>
        <v>719.23194742027511</v>
      </c>
      <c r="I127" s="203">
        <f t="shared" si="37"/>
        <v>280.9885281901868</v>
      </c>
      <c r="J127" s="203">
        <f t="shared" si="37"/>
        <v>271.04644288974612</v>
      </c>
      <c r="K127" s="203">
        <f t="shared" si="37"/>
        <v>-49.625573331699357</v>
      </c>
      <c r="L127" s="203">
        <f t="shared" si="37"/>
        <v>-376.38684450389752</v>
      </c>
      <c r="M127" s="203">
        <f t="shared" si="37"/>
        <v>-385.52002122472538</v>
      </c>
      <c r="N127" s="203">
        <f t="shared" si="37"/>
        <v>-349.69941329670399</v>
      </c>
      <c r="O127" s="203">
        <f t="shared" si="37"/>
        <v>-353.16788246101771</v>
      </c>
      <c r="P127" s="203">
        <f t="shared" si="37"/>
        <v>-366.07520844235847</v>
      </c>
      <c r="Q127" s="203">
        <f t="shared" si="37"/>
        <v>-378.84089218568192</v>
      </c>
      <c r="R127" s="203">
        <f t="shared" si="37"/>
        <v>-391.51990892860715</v>
      </c>
      <c r="S127" s="203">
        <f t="shared" si="37"/>
        <v>-396.60539740442726</v>
      </c>
      <c r="T127" s="203">
        <f t="shared" si="37"/>
        <v>-402.7465668913751</v>
      </c>
      <c r="U127" s="203">
        <f t="shared" si="37"/>
        <v>-407.54477349693974</v>
      </c>
      <c r="V127" s="203">
        <f t="shared" si="37"/>
        <v>-411.957061814425</v>
      </c>
      <c r="W127" s="203">
        <f t="shared" si="37"/>
        <v>-425.26038081681924</v>
      </c>
      <c r="X127" s="203">
        <f t="shared" si="37"/>
        <v>-123.14874311203457</v>
      </c>
      <c r="Y127" s="203">
        <f t="shared" si="37"/>
        <v>0</v>
      </c>
      <c r="AA127" s="606">
        <f t="shared" si="26"/>
        <v>-1342.2717933079655</v>
      </c>
      <c r="AB127" s="607">
        <f t="shared" si="18"/>
        <v>-671.13589665398274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566.75388675008264</v>
      </c>
      <c r="G144" s="220">
        <f t="shared" ref="G144:Y144" si="46">G76</f>
        <v>551.8977771785859</v>
      </c>
      <c r="H144" s="220">
        <f t="shared" si="46"/>
        <v>567.24442867460687</v>
      </c>
      <c r="I144" s="220">
        <f t="shared" si="46"/>
        <v>604.94367430517252</v>
      </c>
      <c r="J144" s="220">
        <f t="shared" si="46"/>
        <v>614.17561065558175</v>
      </c>
      <c r="K144" s="220">
        <f t="shared" si="46"/>
        <v>640.89497119175098</v>
      </c>
      <c r="L144" s="220">
        <f t="shared" si="46"/>
        <v>649.73546989647616</v>
      </c>
      <c r="M144" s="220">
        <f t="shared" si="46"/>
        <v>658.21627685153067</v>
      </c>
      <c r="N144" s="220">
        <f t="shared" si="46"/>
        <v>401.38916877551083</v>
      </c>
      <c r="O144" s="220">
        <f t="shared" si="46"/>
        <v>157.51160514237358</v>
      </c>
      <c r="P144" s="220">
        <f t="shared" si="46"/>
        <v>169.49697926790435</v>
      </c>
      <c r="Q144" s="220">
        <f t="shared" si="46"/>
        <v>181.35082845813326</v>
      </c>
      <c r="R144" s="220">
        <f t="shared" si="46"/>
        <v>193.12420114799235</v>
      </c>
      <c r="S144" s="220">
        <f t="shared" si="46"/>
        <v>197.84644044696822</v>
      </c>
      <c r="T144" s="220">
        <f t="shared" si="46"/>
        <v>203.54895497056268</v>
      </c>
      <c r="U144" s="220">
        <f t="shared" si="46"/>
        <v>208.00443253287267</v>
      </c>
      <c r="V144" s="220">
        <f t="shared" si="46"/>
        <v>212.10155739910891</v>
      </c>
      <c r="W144" s="220">
        <f t="shared" si="46"/>
        <v>224.45463932990361</v>
      </c>
      <c r="X144" s="220">
        <f t="shared" si="46"/>
        <v>-56.077595681682183</v>
      </c>
      <c r="Y144" s="220">
        <f t="shared" si="46"/>
        <v>0</v>
      </c>
      <c r="AA144" s="606">
        <f t="shared" si="26"/>
        <v>6946.6133072934354</v>
      </c>
      <c r="AB144" s="607">
        <f t="shared" si="39"/>
        <v>6946.6133072934354</v>
      </c>
    </row>
    <row r="145" spans="1:28" s="199" customFormat="1">
      <c r="A145" s="124" t="s">
        <v>91</v>
      </c>
      <c r="F145" s="213">
        <f>F142+F144</f>
        <v>566.75388675008264</v>
      </c>
      <c r="G145" s="213">
        <f t="shared" ref="G145:Y145" si="47">G142+G144</f>
        <v>551.8977771785859</v>
      </c>
      <c r="H145" s="213">
        <f t="shared" si="47"/>
        <v>567.24442867460687</v>
      </c>
      <c r="I145" s="213">
        <f t="shared" si="47"/>
        <v>604.94367430517252</v>
      </c>
      <c r="J145" s="213">
        <f t="shared" si="47"/>
        <v>614.17561065558175</v>
      </c>
      <c r="K145" s="213">
        <f t="shared" si="47"/>
        <v>640.89497119175098</v>
      </c>
      <c r="L145" s="213">
        <f t="shared" si="47"/>
        <v>649.73546989647616</v>
      </c>
      <c r="M145" s="213">
        <f t="shared" si="47"/>
        <v>658.21627685153067</v>
      </c>
      <c r="N145" s="213">
        <f t="shared" si="47"/>
        <v>401.38916877551083</v>
      </c>
      <c r="O145" s="213">
        <f t="shared" si="47"/>
        <v>157.51160514237358</v>
      </c>
      <c r="P145" s="213">
        <f t="shared" si="47"/>
        <v>169.49697926790435</v>
      </c>
      <c r="Q145" s="213">
        <f t="shared" si="47"/>
        <v>181.35082845813326</v>
      </c>
      <c r="R145" s="213">
        <f t="shared" si="47"/>
        <v>193.12420114799235</v>
      </c>
      <c r="S145" s="213">
        <f t="shared" si="47"/>
        <v>197.84644044696822</v>
      </c>
      <c r="T145" s="213">
        <f t="shared" si="47"/>
        <v>203.54895497056268</v>
      </c>
      <c r="U145" s="213">
        <f t="shared" si="47"/>
        <v>208.00443253287267</v>
      </c>
      <c r="V145" s="213">
        <f t="shared" si="47"/>
        <v>212.10155739910891</v>
      </c>
      <c r="W145" s="213">
        <f t="shared" si="47"/>
        <v>224.45463932990361</v>
      </c>
      <c r="X145" s="213">
        <f t="shared" si="47"/>
        <v>-56.077595681682183</v>
      </c>
      <c r="Y145" s="213">
        <f t="shared" si="47"/>
        <v>0</v>
      </c>
      <c r="AA145" s="606">
        <f t="shared" si="26"/>
        <v>6946.6133072934354</v>
      </c>
      <c r="AB145" s="607">
        <f t="shared" si="39"/>
        <v>6946.6133072934354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9202.4254532619434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9202.4254532619434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[24]FINANCIALS!E$13</f>
        <v>4031.7425350920244</v>
      </c>
      <c r="F11" s="336">
        <f>[24]FINANCIALS!F$13</f>
        <v>3821.9619123665011</v>
      </c>
      <c r="G11" s="336">
        <f>[24]FINANCIALS!G$13</f>
        <v>3506.0822011237019</v>
      </c>
      <c r="H11" s="336">
        <f>[24]FINANCIALS!H$13</f>
        <v>3501.3279438987151</v>
      </c>
      <c r="I11" s="336">
        <f>[24]FINANCIALS!I$13</f>
        <v>3496.2660929267263</v>
      </c>
      <c r="J11" s="336">
        <f>[24]FINANCIALS!J$13</f>
        <v>3662.3441560469028</v>
      </c>
      <c r="K11" s="336">
        <f>[24]FINANCIALS!K$13</f>
        <v>3767.8703385789968</v>
      </c>
      <c r="L11" s="336">
        <f>[24]FINANCIALS!L$13</f>
        <v>3873.3965211110904</v>
      </c>
      <c r="M11" s="336">
        <f>[24]FINANCIALS!M$13</f>
        <v>3978.9227036431839</v>
      </c>
      <c r="N11" s="336">
        <f>[24]FINANCIALS!N$13</f>
        <v>4084.4488861752775</v>
      </c>
      <c r="O11" s="336">
        <f>[24]FINANCIALS!O$13</f>
        <v>4189.975068707372</v>
      </c>
      <c r="P11" s="336">
        <f>[24]FINANCIALS!P$13</f>
        <v>2751.0359995538279</v>
      </c>
      <c r="Q11" s="336">
        <f>[24]FINANCIALS!Q$13</f>
        <v>2776.2962134599779</v>
      </c>
      <c r="R11" s="336">
        <f>[24]FINANCIALS!R$13</f>
        <v>2801.556427366128</v>
      </c>
      <c r="S11" s="336">
        <f>[24]FINANCIALS!S$13</f>
        <v>2826.8166412722776</v>
      </c>
      <c r="T11" s="336">
        <f>[24]FINANCIALS!T$13</f>
        <v>2852.0768551784286</v>
      </c>
      <c r="U11" s="336">
        <f>[24]FINANCIALS!U$13</f>
        <v>3191.6321851165262</v>
      </c>
      <c r="V11" s="336">
        <f>[24]FINANCIALS!V$13</f>
        <v>0</v>
      </c>
      <c r="W11" s="336">
        <f>[24]FINANCIALS!W$13</f>
        <v>0</v>
      </c>
      <c r="X11" s="336">
        <f>[24]FINANCIALS!X$13</f>
        <v>0</v>
      </c>
      <c r="Y11" s="336">
        <f>[24]FINANCIALS!Y$13</f>
        <v>0</v>
      </c>
      <c r="AA11" s="606">
        <f t="shared" si="1"/>
        <v>55082.010146525645</v>
      </c>
      <c r="AB11" s="607">
        <f t="shared" ref="AB11:AB74" si="2">AA11*$C$60</f>
        <v>27541.005073262822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4031.7425350920244</v>
      </c>
      <c r="F20" s="90">
        <f t="shared" si="3"/>
        <v>3821.9619123665011</v>
      </c>
      <c r="G20" s="90">
        <f t="shared" si="3"/>
        <v>3506.0822011237019</v>
      </c>
      <c r="H20" s="90">
        <f t="shared" si="3"/>
        <v>3501.3279438987151</v>
      </c>
      <c r="I20" s="90">
        <f t="shared" si="3"/>
        <v>3496.2660929267263</v>
      </c>
      <c r="J20" s="90">
        <f t="shared" si="3"/>
        <v>3662.3441560469028</v>
      </c>
      <c r="K20" s="90">
        <f t="shared" si="3"/>
        <v>3767.8703385789968</v>
      </c>
      <c r="L20" s="90">
        <f t="shared" si="3"/>
        <v>3873.3965211110904</v>
      </c>
      <c r="M20" s="90">
        <f t="shared" si="3"/>
        <v>3978.9227036431839</v>
      </c>
      <c r="N20" s="90">
        <f t="shared" si="3"/>
        <v>4084.4488861752775</v>
      </c>
      <c r="O20" s="90">
        <f t="shared" si="3"/>
        <v>4189.975068707372</v>
      </c>
      <c r="P20" s="90">
        <f t="shared" si="3"/>
        <v>2751.0359995538279</v>
      </c>
      <c r="Q20" s="90">
        <f t="shared" si="3"/>
        <v>2776.2962134599779</v>
      </c>
      <c r="R20" s="90">
        <f t="shared" si="3"/>
        <v>2801.556427366128</v>
      </c>
      <c r="S20" s="90">
        <f t="shared" si="3"/>
        <v>2826.8166412722776</v>
      </c>
      <c r="T20" s="90">
        <f t="shared" si="3"/>
        <v>2852.0768551784286</v>
      </c>
      <c r="U20" s="90">
        <f t="shared" si="3"/>
        <v>3191.6321851165262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55082.010146525645</v>
      </c>
      <c r="AB20" s="607">
        <f t="shared" si="2"/>
        <v>27541.005073262822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[24]FINANCIALS!E$40</f>
        <v>1634.5427474109215</v>
      </c>
      <c r="F25" s="336">
        <f>[24]FINANCIALS!F$40</f>
        <v>1895.3479507491838</v>
      </c>
      <c r="G25" s="336">
        <f>[24]FINANCIALS!G$40</f>
        <v>1889.0406804384447</v>
      </c>
      <c r="H25" s="336">
        <f>[24]FINANCIALS!H$40</f>
        <v>1546.0399492102065</v>
      </c>
      <c r="I25" s="336">
        <f>[24]FINANCIALS!I$40</f>
        <v>1550.651077990146</v>
      </c>
      <c r="J25" s="336">
        <f>[24]FINANCIALS!J$40</f>
        <v>1610.6485631966166</v>
      </c>
      <c r="K25" s="336">
        <f>[24]FINANCIALS!K$40</f>
        <v>1631.0245756171671</v>
      </c>
      <c r="L25" s="336">
        <f>[24]FINANCIALS!L$40</f>
        <v>1656.3376951481036</v>
      </c>
      <c r="M25" s="336">
        <f>[24]FINANCIALS!M$40</f>
        <v>1684.3133814185974</v>
      </c>
      <c r="N25" s="336">
        <f>[24]FINANCIALS!N$40</f>
        <v>1712.4833990165678</v>
      </c>
      <c r="O25" s="336">
        <f>[24]FINANCIALS!O$40</f>
        <v>1775.4211667378574</v>
      </c>
      <c r="P25" s="336">
        <f>[24]FINANCIALS!P$40</f>
        <v>1208.9049913021058</v>
      </c>
      <c r="Q25" s="336">
        <f>[24]FINANCIALS!Q$40</f>
        <v>1222.4970661425741</v>
      </c>
      <c r="R25" s="336">
        <f>[24]FINANCIALS!R$40</f>
        <v>1233.5381384319064</v>
      </c>
      <c r="S25" s="336">
        <f>[24]FINANCIALS!S$40</f>
        <v>1252.793261349693</v>
      </c>
      <c r="T25" s="336">
        <f>[24]FINANCIALS!T$40</f>
        <v>1176.693418800329</v>
      </c>
      <c r="U25" s="336">
        <f>[24]FINANCIALS!U$40</f>
        <v>1219.6583655045913</v>
      </c>
      <c r="V25" s="336">
        <f>[24]FINANCIALS!V$40</f>
        <v>0</v>
      </c>
      <c r="W25" s="336">
        <f>[24]FINANCIALS!W$40</f>
        <v>0</v>
      </c>
      <c r="X25" s="336">
        <f>[24]FINANCIALS!X$40</f>
        <v>0</v>
      </c>
      <c r="Y25" s="336">
        <f>[24]FINANCIALS!Y$40</f>
        <v>0</v>
      </c>
      <c r="AA25" s="606">
        <f t="shared" si="1"/>
        <v>24265.393681054091</v>
      </c>
      <c r="AB25" s="607">
        <f t="shared" si="2"/>
        <v>12132.696840527045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1634.5427474109215</v>
      </c>
      <c r="F36" s="90">
        <f t="shared" si="4"/>
        <v>1895.3479507491838</v>
      </c>
      <c r="G36" s="90">
        <f t="shared" si="4"/>
        <v>1889.0406804384447</v>
      </c>
      <c r="H36" s="90">
        <f t="shared" si="4"/>
        <v>1546.0399492102065</v>
      </c>
      <c r="I36" s="90">
        <f t="shared" si="4"/>
        <v>1550.651077990146</v>
      </c>
      <c r="J36" s="90">
        <f t="shared" si="4"/>
        <v>1610.6485631966166</v>
      </c>
      <c r="K36" s="90">
        <f t="shared" si="4"/>
        <v>1631.0245756171671</v>
      </c>
      <c r="L36" s="90">
        <f t="shared" si="4"/>
        <v>1656.3376951481036</v>
      </c>
      <c r="M36" s="90">
        <f t="shared" si="4"/>
        <v>1684.3133814185974</v>
      </c>
      <c r="N36" s="90">
        <f t="shared" si="4"/>
        <v>1712.4833990165678</v>
      </c>
      <c r="O36" s="90">
        <f t="shared" si="4"/>
        <v>1775.4211667378574</v>
      </c>
      <c r="P36" s="90">
        <f t="shared" si="4"/>
        <v>1208.9049913021058</v>
      </c>
      <c r="Q36" s="90">
        <f t="shared" si="4"/>
        <v>1222.4970661425741</v>
      </c>
      <c r="R36" s="90">
        <f t="shared" si="4"/>
        <v>1233.5381384319064</v>
      </c>
      <c r="S36" s="90">
        <f t="shared" si="4"/>
        <v>1252.793261349693</v>
      </c>
      <c r="T36" s="90">
        <f t="shared" si="4"/>
        <v>1176.693418800329</v>
      </c>
      <c r="U36" s="90">
        <f t="shared" si="4"/>
        <v>1219.6583655045913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24265.393681054091</v>
      </c>
      <c r="AB36" s="607">
        <f t="shared" si="2"/>
        <v>12132.696840527045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2397.1997876811029</v>
      </c>
      <c r="F39" s="93">
        <f t="shared" si="5"/>
        <v>1926.6139616173173</v>
      </c>
      <c r="G39" s="93">
        <f t="shared" si="5"/>
        <v>1617.0415206852572</v>
      </c>
      <c r="H39" s="93">
        <f t="shared" si="5"/>
        <v>1955.2879946885087</v>
      </c>
      <c r="I39" s="93">
        <f t="shared" si="5"/>
        <v>1945.6150149365803</v>
      </c>
      <c r="J39" s="93">
        <f t="shared" si="5"/>
        <v>2051.6955928502862</v>
      </c>
      <c r="K39" s="93">
        <f t="shared" si="5"/>
        <v>2136.8457629618297</v>
      </c>
      <c r="L39" s="93">
        <f t="shared" si="5"/>
        <v>2217.0588259629867</v>
      </c>
      <c r="M39" s="93">
        <f t="shared" si="5"/>
        <v>2294.6093222245863</v>
      </c>
      <c r="N39" s="93">
        <f t="shared" si="5"/>
        <v>2371.9654871587099</v>
      </c>
      <c r="O39" s="93">
        <f t="shared" si="5"/>
        <v>2414.5539019695143</v>
      </c>
      <c r="P39" s="93">
        <f t="shared" si="5"/>
        <v>1542.1310082517221</v>
      </c>
      <c r="Q39" s="93">
        <f t="shared" si="5"/>
        <v>1553.7991473174038</v>
      </c>
      <c r="R39" s="93">
        <f t="shared" si="5"/>
        <v>1568.0182889342216</v>
      </c>
      <c r="S39" s="93">
        <f t="shared" si="5"/>
        <v>1574.0233799225846</v>
      </c>
      <c r="T39" s="93">
        <f t="shared" si="5"/>
        <v>1675.3834363780995</v>
      </c>
      <c r="U39" s="93">
        <f t="shared" si="5"/>
        <v>1971.9738196119349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30816.616465471547</v>
      </c>
      <c r="AB39" s="607">
        <f t="shared" si="2"/>
        <v>15408.308232735773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784</v>
      </c>
      <c r="G41" s="90">
        <f t="shared" ref="G41:Y41" si="7">+G109</f>
        <v>784</v>
      </c>
      <c r="H41" s="90">
        <f t="shared" si="7"/>
        <v>784</v>
      </c>
      <c r="I41" s="90">
        <f t="shared" si="7"/>
        <v>784</v>
      </c>
      <c r="J41" s="90">
        <f t="shared" si="7"/>
        <v>784</v>
      </c>
      <c r="K41" s="90">
        <f t="shared" si="7"/>
        <v>784</v>
      </c>
      <c r="L41" s="90">
        <f t="shared" si="7"/>
        <v>784</v>
      </c>
      <c r="M41" s="90">
        <f t="shared" si="7"/>
        <v>784</v>
      </c>
      <c r="N41" s="90">
        <f t="shared" si="7"/>
        <v>784</v>
      </c>
      <c r="O41" s="90">
        <f t="shared" si="7"/>
        <v>784</v>
      </c>
      <c r="P41" s="90">
        <f t="shared" si="7"/>
        <v>784</v>
      </c>
      <c r="Q41" s="90">
        <f t="shared" si="7"/>
        <v>784</v>
      </c>
      <c r="R41" s="90">
        <f t="shared" si="7"/>
        <v>784</v>
      </c>
      <c r="S41" s="90">
        <f t="shared" si="7"/>
        <v>784</v>
      </c>
      <c r="T41" s="90">
        <f t="shared" si="7"/>
        <v>784</v>
      </c>
      <c r="U41" s="90">
        <f t="shared" si="7"/>
        <v>784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12544</v>
      </c>
      <c r="AB41" s="607">
        <f t="shared" si="2"/>
        <v>6272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2397.1997876811029</v>
      </c>
      <c r="F44" s="93">
        <f t="shared" si="8"/>
        <v>1142.6139616173173</v>
      </c>
      <c r="G44" s="93">
        <f t="shared" si="8"/>
        <v>833.04152068525718</v>
      </c>
      <c r="H44" s="93">
        <f t="shared" si="8"/>
        <v>1171.2879946885087</v>
      </c>
      <c r="I44" s="93">
        <f t="shared" si="8"/>
        <v>1161.6150149365803</v>
      </c>
      <c r="J44" s="93">
        <f t="shared" si="8"/>
        <v>1267.6955928502862</v>
      </c>
      <c r="K44" s="93">
        <f t="shared" si="8"/>
        <v>1352.8457629618297</v>
      </c>
      <c r="L44" s="93">
        <f t="shared" si="8"/>
        <v>1433.0588259629867</v>
      </c>
      <c r="M44" s="93">
        <f t="shared" si="8"/>
        <v>1510.6093222245863</v>
      </c>
      <c r="N44" s="93">
        <f t="shared" si="8"/>
        <v>1587.9654871587099</v>
      </c>
      <c r="O44" s="93">
        <f t="shared" si="8"/>
        <v>1630.5539019695143</v>
      </c>
      <c r="P44" s="93">
        <f t="shared" si="8"/>
        <v>758.13100825172205</v>
      </c>
      <c r="Q44" s="93">
        <f t="shared" si="8"/>
        <v>769.79914731740382</v>
      </c>
      <c r="R44" s="93">
        <f t="shared" si="8"/>
        <v>784.01828893422157</v>
      </c>
      <c r="S44" s="93">
        <f t="shared" si="8"/>
        <v>790.02337992258458</v>
      </c>
      <c r="T44" s="93">
        <f t="shared" si="8"/>
        <v>891.38343637809953</v>
      </c>
      <c r="U44" s="93">
        <f t="shared" si="8"/>
        <v>1187.9738196119349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18272.616465471547</v>
      </c>
      <c r="AB44" s="607">
        <f t="shared" si="2"/>
        <v>9136.3082327357733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2397.1997876811029</v>
      </c>
      <c r="F49" s="93">
        <f t="shared" si="9"/>
        <v>1142.6139616173173</v>
      </c>
      <c r="G49" s="93">
        <f t="shared" si="9"/>
        <v>833.04152068525718</v>
      </c>
      <c r="H49" s="93">
        <f t="shared" si="9"/>
        <v>1171.2879946885087</v>
      </c>
      <c r="I49" s="93">
        <f t="shared" si="9"/>
        <v>1161.6150149365803</v>
      </c>
      <c r="J49" s="93">
        <f t="shared" si="9"/>
        <v>1267.6955928502862</v>
      </c>
      <c r="K49" s="93">
        <f t="shared" si="9"/>
        <v>1352.8457629618297</v>
      </c>
      <c r="L49" s="93">
        <f t="shared" si="9"/>
        <v>1433.0588259629867</v>
      </c>
      <c r="M49" s="93">
        <f t="shared" si="9"/>
        <v>1510.6093222245863</v>
      </c>
      <c r="N49" s="93">
        <f t="shared" si="9"/>
        <v>1587.9654871587099</v>
      </c>
      <c r="O49" s="93">
        <f t="shared" si="9"/>
        <v>1630.5539019695143</v>
      </c>
      <c r="P49" s="93">
        <f t="shared" si="9"/>
        <v>758.13100825172205</v>
      </c>
      <c r="Q49" s="93">
        <f t="shared" si="9"/>
        <v>769.79914731740382</v>
      </c>
      <c r="R49" s="93">
        <f t="shared" si="9"/>
        <v>784.01828893422157</v>
      </c>
      <c r="S49" s="93">
        <f t="shared" si="9"/>
        <v>790.02337992258458</v>
      </c>
      <c r="T49" s="93">
        <f t="shared" si="9"/>
        <v>891.38343637809953</v>
      </c>
      <c r="U49" s="93">
        <f t="shared" si="9"/>
        <v>1187.9738196119349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18272.616465471547</v>
      </c>
      <c r="AB49" s="607">
        <f t="shared" si="2"/>
        <v>9136.3082327357733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-119.85998938405515</v>
      </c>
      <c r="F51" s="90">
        <f t="shared" si="10"/>
        <v>-57.130698080865869</v>
      </c>
      <c r="G51" s="55">
        <f t="shared" si="10"/>
        <v>-41.652076034262862</v>
      </c>
      <c r="H51" s="90">
        <f t="shared" si="10"/>
        <v>-58.564399734425436</v>
      </c>
      <c r="I51" s="90">
        <f t="shared" si="10"/>
        <v>-58.080750746829018</v>
      </c>
      <c r="J51" s="90">
        <f t="shared" si="10"/>
        <v>-63.38477964251431</v>
      </c>
      <c r="K51" s="90">
        <f t="shared" si="10"/>
        <v>-67.642288148091481</v>
      </c>
      <c r="L51" s="90">
        <f t="shared" si="10"/>
        <v>-71.652941298149344</v>
      </c>
      <c r="M51" s="90">
        <f t="shared" si="10"/>
        <v>-75.530466111229316</v>
      </c>
      <c r="N51" s="90">
        <f t="shared" si="10"/>
        <v>-79.398274357935506</v>
      </c>
      <c r="O51" s="90">
        <f t="shared" si="10"/>
        <v>-81.527695098475718</v>
      </c>
      <c r="P51" s="90">
        <f t="shared" si="10"/>
        <v>-37.906550412586107</v>
      </c>
      <c r="Q51" s="90">
        <f t="shared" si="10"/>
        <v>-38.489957365870197</v>
      </c>
      <c r="R51" s="90">
        <f t="shared" si="10"/>
        <v>-39.200914446711081</v>
      </c>
      <c r="S51" s="90">
        <f t="shared" si="10"/>
        <v>-39.50116899612923</v>
      </c>
      <c r="T51" s="90">
        <f t="shared" si="10"/>
        <v>-44.569171818904977</v>
      </c>
      <c r="U51" s="90">
        <f t="shared" si="10"/>
        <v>-59.398690980596747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-913.63082327357711</v>
      </c>
      <c r="AB51" s="607">
        <f t="shared" si="2"/>
        <v>-456.81541163678855</v>
      </c>
    </row>
    <row r="52" spans="1:28">
      <c r="A52" s="4" t="s">
        <v>29</v>
      </c>
      <c r="C52" s="341">
        <v>0.35</v>
      </c>
      <c r="D52" s="89"/>
      <c r="E52" s="89">
        <f>((E49+E51)*-$C$52)+E56</f>
        <v>-78.100441403966784</v>
      </c>
      <c r="F52" s="89">
        <f t="shared" ref="F52:Y52" si="11">((F49+F51)*-$C$52)+F56</f>
        <v>455.71285776224187</v>
      </c>
      <c r="G52" s="89">
        <f t="shared" si="11"/>
        <v>558.64569437215187</v>
      </c>
      <c r="H52" s="89">
        <f t="shared" si="11"/>
        <v>446.17874176607074</v>
      </c>
      <c r="I52" s="89">
        <f t="shared" si="11"/>
        <v>495.81900753358707</v>
      </c>
      <c r="J52" s="89">
        <f t="shared" si="11"/>
        <v>460.54721537727994</v>
      </c>
      <c r="K52" s="89">
        <f t="shared" si="11"/>
        <v>432.23478381519169</v>
      </c>
      <c r="L52" s="89">
        <f t="shared" si="11"/>
        <v>451.98794036730692</v>
      </c>
      <c r="M52" s="89">
        <f t="shared" si="11"/>
        <v>426.2024003603251</v>
      </c>
      <c r="N52" s="89">
        <f t="shared" si="11"/>
        <v>-40.546524480270989</v>
      </c>
      <c r="O52" s="89">
        <f t="shared" si="11"/>
        <v>-542.1591724048634</v>
      </c>
      <c r="P52" s="89">
        <f t="shared" si="11"/>
        <v>-252.07856024369758</v>
      </c>
      <c r="Q52" s="89">
        <f t="shared" si="11"/>
        <v>-255.95821648303675</v>
      </c>
      <c r="R52" s="89">
        <f t="shared" si="11"/>
        <v>-260.68608107062869</v>
      </c>
      <c r="S52" s="89">
        <f t="shared" si="11"/>
        <v>-262.68277382425936</v>
      </c>
      <c r="T52" s="89">
        <f t="shared" si="11"/>
        <v>-296.38499259571807</v>
      </c>
      <c r="U52" s="89">
        <f t="shared" si="11"/>
        <v>-395.00129502096837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1421.8310252307122</v>
      </c>
      <c r="AB52" s="607">
        <f t="shared" si="2"/>
        <v>710.91551261535608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2199.2393568930811</v>
      </c>
      <c r="F54" s="93">
        <f t="shared" si="12"/>
        <v>1541.1961212986932</v>
      </c>
      <c r="G54" s="93">
        <f t="shared" si="12"/>
        <v>1350.0351390231463</v>
      </c>
      <c r="H54" s="93">
        <f t="shared" si="12"/>
        <v>1558.9023367201539</v>
      </c>
      <c r="I54" s="93">
        <f t="shared" si="12"/>
        <v>1599.3532717233384</v>
      </c>
      <c r="J54" s="93">
        <f t="shared" si="12"/>
        <v>1664.8580285850517</v>
      </c>
      <c r="K54" s="93">
        <f t="shared" si="12"/>
        <v>1717.4382586289298</v>
      </c>
      <c r="L54" s="93">
        <f t="shared" si="12"/>
        <v>1813.3938250321444</v>
      </c>
      <c r="M54" s="93">
        <f t="shared" si="12"/>
        <v>1861.2812564736821</v>
      </c>
      <c r="N54" s="93">
        <f t="shared" si="12"/>
        <v>1468.0206883205035</v>
      </c>
      <c r="O54" s="93">
        <f t="shared" si="12"/>
        <v>1006.8670344661751</v>
      </c>
      <c r="P54" s="93">
        <f t="shared" si="12"/>
        <v>468.14589759543844</v>
      </c>
      <c r="Q54" s="93">
        <f t="shared" si="12"/>
        <v>475.35097346849693</v>
      </c>
      <c r="R54" s="93">
        <f t="shared" si="12"/>
        <v>484.13129341688182</v>
      </c>
      <c r="S54" s="93">
        <f t="shared" si="12"/>
        <v>487.83943710219603</v>
      </c>
      <c r="T54" s="93">
        <f t="shared" si="12"/>
        <v>550.42927196347637</v>
      </c>
      <c r="U54" s="93">
        <f t="shared" si="12"/>
        <v>733.57383361036977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18780.81666742868</v>
      </c>
      <c r="AB54" s="607">
        <f t="shared" si="2"/>
        <v>9390.4083337143402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[24]TAX!E$48</f>
        <v>718.96848799999987</v>
      </c>
      <c r="F56" s="342">
        <f>[24]TAX!F$48</f>
        <v>835.63199999999983</v>
      </c>
      <c r="G56" s="342">
        <f>[24]TAX!G$48</f>
        <v>835.63199999999983</v>
      </c>
      <c r="H56" s="342">
        <f>[24]TAX!H$48</f>
        <v>835.63199999999983</v>
      </c>
      <c r="I56" s="342">
        <f>[24]TAX!I$48</f>
        <v>882.05600000000004</v>
      </c>
      <c r="J56" s="342">
        <f>[24]TAX!J$48</f>
        <v>882.05600000000004</v>
      </c>
      <c r="K56" s="342">
        <f>[24]TAX!K$48</f>
        <v>882.05600000000004</v>
      </c>
      <c r="L56" s="342">
        <f>[24]TAX!L$48</f>
        <v>928.48</v>
      </c>
      <c r="M56" s="342">
        <f>[24]TAX!M$48</f>
        <v>928.48</v>
      </c>
      <c r="N56" s="342">
        <f>[24]TAX!N$48</f>
        <v>487.45200000000006</v>
      </c>
      <c r="O56" s="342">
        <f>[24]TAX!O$48</f>
        <v>0</v>
      </c>
      <c r="P56" s="342">
        <f>[24]TAX!P$48</f>
        <v>0</v>
      </c>
      <c r="Q56" s="342">
        <f>[24]TAX!Q$48</f>
        <v>0</v>
      </c>
      <c r="R56" s="342">
        <f>[24]TAX!R$48</f>
        <v>0</v>
      </c>
      <c r="S56" s="342">
        <f>[24]TAX!S$48</f>
        <v>0</v>
      </c>
      <c r="T56" s="342">
        <f>[24]TAX!T$48</f>
        <v>0</v>
      </c>
      <c r="U56" s="342">
        <f>[24]TAX!U$48</f>
        <v>0</v>
      </c>
      <c r="V56" s="342">
        <f>[24]TAX!V$48</f>
        <v>0</v>
      </c>
      <c r="W56" s="342">
        <f>[24]TAX!W$48</f>
        <v>0</v>
      </c>
      <c r="X56" s="342">
        <f>[24]TAX!X$48</f>
        <v>0</v>
      </c>
      <c r="Y56" s="342">
        <f>[24]TAX!Y$48</f>
        <v>0</v>
      </c>
      <c r="AA56" s="606">
        <f t="shared" si="6"/>
        <v>7497.4759999999997</v>
      </c>
      <c r="AB56" s="607">
        <f t="shared" si="2"/>
        <v>3748.7379999999998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2397.1997876811029</v>
      </c>
      <c r="F64" s="20">
        <f t="shared" si="14"/>
        <v>1926.6139616173173</v>
      </c>
      <c r="G64" s="24">
        <f t="shared" si="14"/>
        <v>1617.0415206852572</v>
      </c>
      <c r="H64" s="20">
        <f t="shared" si="14"/>
        <v>1955.2879946885087</v>
      </c>
      <c r="I64" s="20">
        <f t="shared" si="14"/>
        <v>1945.6150149365803</v>
      </c>
      <c r="J64" s="20">
        <f t="shared" si="14"/>
        <v>2051.6955928502862</v>
      </c>
      <c r="K64" s="20">
        <f t="shared" si="14"/>
        <v>2136.8457629618297</v>
      </c>
      <c r="L64" s="20">
        <f t="shared" si="14"/>
        <v>2217.0588259629867</v>
      </c>
      <c r="M64" s="20">
        <f t="shared" si="14"/>
        <v>2294.6093222245863</v>
      </c>
      <c r="N64" s="20">
        <f t="shared" si="14"/>
        <v>2371.9654871587099</v>
      </c>
      <c r="O64" s="20">
        <f t="shared" si="14"/>
        <v>2414.5539019695143</v>
      </c>
      <c r="P64" s="20">
        <f t="shared" si="14"/>
        <v>1542.1310082517221</v>
      </c>
      <c r="Q64" s="20">
        <f t="shared" si="14"/>
        <v>1553.7991473174038</v>
      </c>
      <c r="R64" s="20">
        <f t="shared" si="14"/>
        <v>1568.0182889342216</v>
      </c>
      <c r="S64" s="20">
        <f t="shared" si="14"/>
        <v>1574.0233799225846</v>
      </c>
      <c r="T64" s="20">
        <f t="shared" si="14"/>
        <v>1675.3834363780995</v>
      </c>
      <c r="U64" s="20">
        <f t="shared" si="14"/>
        <v>1971.9738196119349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30816.616465471547</v>
      </c>
      <c r="AB64" s="607">
        <f t="shared" si="2"/>
        <v>15408.308232735773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2397.1997876811029</v>
      </c>
      <c r="F69" s="95">
        <f t="shared" si="15"/>
        <v>1926.6139616173173</v>
      </c>
      <c r="G69" s="95">
        <f t="shared" si="15"/>
        <v>1617.0415206852572</v>
      </c>
      <c r="H69" s="95">
        <f t="shared" si="15"/>
        <v>1955.2879946885087</v>
      </c>
      <c r="I69" s="95">
        <f t="shared" si="15"/>
        <v>1945.6150149365803</v>
      </c>
      <c r="J69" s="95">
        <f t="shared" si="15"/>
        <v>2051.6955928502862</v>
      </c>
      <c r="K69" s="95">
        <f t="shared" si="15"/>
        <v>2136.8457629618297</v>
      </c>
      <c r="L69" s="95">
        <f t="shared" si="15"/>
        <v>2217.0588259629867</v>
      </c>
      <c r="M69" s="95">
        <f t="shared" si="15"/>
        <v>2294.6093222245863</v>
      </c>
      <c r="N69" s="95">
        <f t="shared" si="15"/>
        <v>2371.9654871587099</v>
      </c>
      <c r="O69" s="95">
        <f t="shared" si="15"/>
        <v>2414.5539019695143</v>
      </c>
      <c r="P69" s="95">
        <f t="shared" si="15"/>
        <v>1542.1310082517221</v>
      </c>
      <c r="Q69" s="95">
        <f t="shared" si="15"/>
        <v>1553.7991473174038</v>
      </c>
      <c r="R69" s="95">
        <f t="shared" si="15"/>
        <v>1568.0182889342216</v>
      </c>
      <c r="S69" s="95">
        <f t="shared" si="15"/>
        <v>1574.0233799225846</v>
      </c>
      <c r="T69" s="95">
        <f t="shared" si="15"/>
        <v>1675.3834363780995</v>
      </c>
      <c r="U69" s="95">
        <f t="shared" si="15"/>
        <v>1971.9738196119349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30816.616465471547</v>
      </c>
      <c r="AB69" s="607">
        <f t="shared" si="2"/>
        <v>15408.308232735773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1062.2916861386557</v>
      </c>
      <c r="G71" s="100">
        <f t="shared" si="16"/>
        <v>2260.2360606695365</v>
      </c>
      <c r="H71" s="100">
        <f t="shared" si="16"/>
        <v>979.35500743063392</v>
      </c>
      <c r="I71" s="100">
        <f t="shared" si="16"/>
        <v>292.15385602615089</v>
      </c>
      <c r="J71" s="100">
        <f t="shared" si="16"/>
        <v>251.57803497415841</v>
      </c>
      <c r="K71" s="100">
        <f t="shared" si="16"/>
        <v>-299.16770471320342</v>
      </c>
      <c r="L71" s="100">
        <f t="shared" si="16"/>
        <v>-848.02500093084245</v>
      </c>
      <c r="M71" s="100">
        <f t="shared" si="16"/>
        <v>-877.68806575090423</v>
      </c>
      <c r="N71" s="100">
        <f t="shared" si="16"/>
        <v>-907.27679883820656</v>
      </c>
      <c r="O71" s="100">
        <f t="shared" si="16"/>
        <v>-923.56686750333915</v>
      </c>
      <c r="P71" s="100">
        <f t="shared" si="16"/>
        <v>-589.8651106562836</v>
      </c>
      <c r="Q71" s="100">
        <f t="shared" si="16"/>
        <v>-594.328173848907</v>
      </c>
      <c r="R71" s="100">
        <f t="shared" si="16"/>
        <v>-599.76699551733975</v>
      </c>
      <c r="S71" s="100">
        <f t="shared" si="16"/>
        <v>-602.06394282038855</v>
      </c>
      <c r="T71" s="100">
        <f t="shared" si="16"/>
        <v>-640.83416441462293</v>
      </c>
      <c r="U71" s="100">
        <f t="shared" si="16"/>
        <v>-754.27998600156502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-2791.2481657564676</v>
      </c>
      <c r="AB71" s="607">
        <f t="shared" si="2"/>
        <v>-1395.6240828782338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2397.1997876811029</v>
      </c>
      <c r="F73" s="28">
        <f t="shared" si="17"/>
        <v>2988.905647755973</v>
      </c>
      <c r="G73" s="28">
        <f t="shared" si="17"/>
        <v>3877.2775813547937</v>
      </c>
      <c r="H73" s="28">
        <f t="shared" si="17"/>
        <v>2934.6430021191427</v>
      </c>
      <c r="I73" s="28">
        <f t="shared" si="17"/>
        <v>2237.7688709627314</v>
      </c>
      <c r="J73" s="28">
        <f t="shared" si="17"/>
        <v>2303.2736278244447</v>
      </c>
      <c r="K73" s="28">
        <f t="shared" si="17"/>
        <v>1837.6780582486263</v>
      </c>
      <c r="L73" s="28">
        <f t="shared" si="17"/>
        <v>1369.0338250321443</v>
      </c>
      <c r="M73" s="28">
        <f t="shared" si="17"/>
        <v>1416.9212564736822</v>
      </c>
      <c r="N73" s="28">
        <f t="shared" si="17"/>
        <v>1464.6886883205034</v>
      </c>
      <c r="O73" s="28">
        <f t="shared" si="17"/>
        <v>1490.9870344661751</v>
      </c>
      <c r="P73" s="28">
        <f t="shared" si="17"/>
        <v>952.26589759543845</v>
      </c>
      <c r="Q73" s="28">
        <f t="shared" si="17"/>
        <v>959.47097346849682</v>
      </c>
      <c r="R73" s="28">
        <f t="shared" si="17"/>
        <v>968.25129341688182</v>
      </c>
      <c r="S73" s="28">
        <f t="shared" si="17"/>
        <v>971.95943710219603</v>
      </c>
      <c r="T73" s="28">
        <f t="shared" si="17"/>
        <v>1034.5492719634767</v>
      </c>
      <c r="U73" s="28">
        <f t="shared" si="17"/>
        <v>1217.6938336103699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28025.368299715075</v>
      </c>
      <c r="AB73" s="607">
        <f t="shared" si="2"/>
        <v>14012.684149857538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1099.6196784465405</v>
      </c>
      <c r="F76" s="28">
        <f t="shared" si="19"/>
        <v>770.59806064934662</v>
      </c>
      <c r="G76" s="95">
        <f t="shared" si="19"/>
        <v>675.01756951157313</v>
      </c>
      <c r="H76" s="28">
        <f t="shared" si="19"/>
        <v>779.45116836007696</v>
      </c>
      <c r="I76" s="28">
        <f t="shared" si="19"/>
        <v>799.67663586166918</v>
      </c>
      <c r="J76" s="28">
        <f t="shared" si="19"/>
        <v>832.42901429252584</v>
      </c>
      <c r="K76" s="28">
        <f t="shared" si="19"/>
        <v>858.71912931446491</v>
      </c>
      <c r="L76" s="28">
        <f t="shared" si="19"/>
        <v>906.69691251607219</v>
      </c>
      <c r="M76" s="28">
        <f t="shared" si="19"/>
        <v>930.64062823684105</v>
      </c>
      <c r="N76" s="28">
        <f t="shared" si="19"/>
        <v>734.01034416025175</v>
      </c>
      <c r="O76" s="28">
        <f t="shared" si="19"/>
        <v>503.43351723308757</v>
      </c>
      <c r="P76" s="28">
        <f t="shared" si="19"/>
        <v>234.07294879771922</v>
      </c>
      <c r="Q76" s="28">
        <f t="shared" si="19"/>
        <v>237.67548673424847</v>
      </c>
      <c r="R76" s="28">
        <f t="shared" si="19"/>
        <v>242.06564670844091</v>
      </c>
      <c r="S76" s="28">
        <f t="shared" si="19"/>
        <v>243.91971855109801</v>
      </c>
      <c r="T76" s="28">
        <f t="shared" si="19"/>
        <v>275.21463598173818</v>
      </c>
      <c r="U76" s="28">
        <f t="shared" si="19"/>
        <v>366.78691680518489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9390.4083337143402</v>
      </c>
      <c r="AB76" s="607">
        <f>AA76</f>
        <v>9390.4083337143402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1198.5998938405514</v>
      </c>
      <c r="F77" s="28">
        <f t="shared" si="20"/>
        <v>1494.4528238779865</v>
      </c>
      <c r="G77" s="95">
        <f t="shared" si="20"/>
        <v>1938.6387906773969</v>
      </c>
      <c r="H77" s="28">
        <f t="shared" si="20"/>
        <v>1467.3215010595713</v>
      </c>
      <c r="I77" s="28">
        <f t="shared" si="20"/>
        <v>1118.8844354813657</v>
      </c>
      <c r="J77" s="28">
        <f t="shared" si="20"/>
        <v>1151.6368139122224</v>
      </c>
      <c r="K77" s="28">
        <f t="shared" si="20"/>
        <v>918.83902912431313</v>
      </c>
      <c r="L77" s="28">
        <f t="shared" si="20"/>
        <v>684.51691251607213</v>
      </c>
      <c r="M77" s="28">
        <f t="shared" si="20"/>
        <v>708.4606282368411</v>
      </c>
      <c r="N77" s="28">
        <f t="shared" si="20"/>
        <v>732.34434416025169</v>
      </c>
      <c r="O77" s="28">
        <f t="shared" si="20"/>
        <v>745.49351723308757</v>
      </c>
      <c r="P77" s="28">
        <f t="shared" si="20"/>
        <v>476.13294879771922</v>
      </c>
      <c r="Q77" s="28">
        <f t="shared" si="20"/>
        <v>479.73548673424841</v>
      </c>
      <c r="R77" s="28">
        <f t="shared" si="20"/>
        <v>484.12564670844091</v>
      </c>
      <c r="S77" s="28">
        <f t="shared" si="20"/>
        <v>485.97971855109802</v>
      </c>
      <c r="T77" s="28">
        <f t="shared" si="20"/>
        <v>517.27463598173836</v>
      </c>
      <c r="U77" s="28">
        <f t="shared" si="20"/>
        <v>608.84691680518495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14012.684149857538</v>
      </c>
      <c r="AB77" s="607">
        <f>AA77</f>
        <v>14012.684149857538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1926.6139616173173</v>
      </c>
      <c r="G88" s="200">
        <f t="shared" ref="G88:Y88" si="22">G69</f>
        <v>1617.0415206852572</v>
      </c>
      <c r="H88" s="200">
        <f t="shared" si="22"/>
        <v>1955.2879946885087</v>
      </c>
      <c r="I88" s="200">
        <f t="shared" si="22"/>
        <v>1945.6150149365803</v>
      </c>
      <c r="J88" s="200">
        <f t="shared" si="22"/>
        <v>2051.6955928502862</v>
      </c>
      <c r="K88" s="200">
        <f t="shared" si="22"/>
        <v>2136.8457629618297</v>
      </c>
      <c r="L88" s="200">
        <f t="shared" si="22"/>
        <v>2217.0588259629867</v>
      </c>
      <c r="M88" s="200">
        <f t="shared" si="22"/>
        <v>2294.6093222245863</v>
      </c>
      <c r="N88" s="200">
        <f t="shared" si="22"/>
        <v>2371.9654871587099</v>
      </c>
      <c r="O88" s="200">
        <f t="shared" si="22"/>
        <v>2414.5539019695143</v>
      </c>
      <c r="P88" s="200">
        <f t="shared" si="22"/>
        <v>1542.1310082517221</v>
      </c>
      <c r="Q88" s="200">
        <f t="shared" si="22"/>
        <v>1553.7991473174038</v>
      </c>
      <c r="R88" s="200">
        <f t="shared" si="22"/>
        <v>1568.0182889342216</v>
      </c>
      <c r="S88" s="200">
        <f t="shared" si="22"/>
        <v>1574.0233799225846</v>
      </c>
      <c r="T88" s="200">
        <f t="shared" si="22"/>
        <v>1675.3834363780995</v>
      </c>
      <c r="U88" s="200">
        <f t="shared" si="22"/>
        <v>1971.9738196119349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30816.616465471547</v>
      </c>
      <c r="AB88" s="607">
        <f t="shared" si="18"/>
        <v>15408.308232735773</v>
      </c>
    </row>
    <row r="89" spans="1:30" s="199" customFormat="1">
      <c r="A89" s="199" t="s">
        <v>53</v>
      </c>
      <c r="F89" s="110">
        <f>F126+F127</f>
        <v>1062.2916861386557</v>
      </c>
      <c r="G89" s="110">
        <f t="shared" ref="G89:Y89" si="23">G126+G127</f>
        <v>2260.2360606695365</v>
      </c>
      <c r="H89" s="110">
        <f t="shared" si="23"/>
        <v>979.35500743063392</v>
      </c>
      <c r="I89" s="110">
        <f t="shared" si="23"/>
        <v>292.15385602615089</v>
      </c>
      <c r="J89" s="110">
        <f t="shared" si="23"/>
        <v>251.57803497415841</v>
      </c>
      <c r="K89" s="110">
        <f t="shared" si="23"/>
        <v>-299.16770471320342</v>
      </c>
      <c r="L89" s="110">
        <f t="shared" si="23"/>
        <v>-848.02500093084245</v>
      </c>
      <c r="M89" s="110">
        <f t="shared" si="23"/>
        <v>-877.68806575090423</v>
      </c>
      <c r="N89" s="110">
        <f t="shared" si="23"/>
        <v>-907.27679883820656</v>
      </c>
      <c r="O89" s="110">
        <f t="shared" si="23"/>
        <v>-923.56686750333915</v>
      </c>
      <c r="P89" s="110">
        <f t="shared" si="23"/>
        <v>-589.8651106562836</v>
      </c>
      <c r="Q89" s="110">
        <f t="shared" si="23"/>
        <v>-594.328173848907</v>
      </c>
      <c r="R89" s="110">
        <f t="shared" si="23"/>
        <v>-599.76699551733975</v>
      </c>
      <c r="S89" s="110">
        <f t="shared" si="23"/>
        <v>-602.06394282038855</v>
      </c>
      <c r="T89" s="110">
        <f t="shared" si="23"/>
        <v>-640.83416441462293</v>
      </c>
      <c r="U89" s="110">
        <f t="shared" si="23"/>
        <v>-754.27998600156502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-2791.2481657564676</v>
      </c>
      <c r="AB89" s="607">
        <f t="shared" si="18"/>
        <v>-1395.6240828782338</v>
      </c>
    </row>
    <row r="90" spans="1:30" s="199" customFormat="1">
      <c r="A90" s="199" t="s">
        <v>238</v>
      </c>
      <c r="F90" s="110">
        <f>F56</f>
        <v>835.63199999999983</v>
      </c>
      <c r="G90" s="110">
        <f t="shared" ref="G90:Y90" si="24">G56</f>
        <v>835.63199999999983</v>
      </c>
      <c r="H90" s="110">
        <f t="shared" si="24"/>
        <v>835.63199999999983</v>
      </c>
      <c r="I90" s="110">
        <f t="shared" si="24"/>
        <v>882.05600000000004</v>
      </c>
      <c r="J90" s="110">
        <f t="shared" si="24"/>
        <v>882.05600000000004</v>
      </c>
      <c r="K90" s="110">
        <f t="shared" si="24"/>
        <v>882.05600000000004</v>
      </c>
      <c r="L90" s="110">
        <f t="shared" si="24"/>
        <v>928.48</v>
      </c>
      <c r="M90" s="110">
        <f t="shared" si="24"/>
        <v>928.48</v>
      </c>
      <c r="N90" s="110">
        <f t="shared" si="24"/>
        <v>487.45200000000006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7497.4759999999997</v>
      </c>
      <c r="AB90" s="607">
        <f t="shared" si="18"/>
        <v>3748.7379999999998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f>Y99</f>
        <v>15775.790556895479</v>
      </c>
      <c r="V91" s="111">
        <v>0</v>
      </c>
      <c r="W91" s="111">
        <v>0</v>
      </c>
      <c r="X91" s="111">
        <v>0</v>
      </c>
      <c r="Y91" s="111"/>
      <c r="AA91" s="606">
        <f t="shared" si="6"/>
        <v>15775.790556895479</v>
      </c>
      <c r="AB91" s="607">
        <f t="shared" si="18"/>
        <v>7887.8952784477397</v>
      </c>
    </row>
    <row r="92" spans="1:30" s="199" customFormat="1">
      <c r="A92" s="199" t="s">
        <v>55</v>
      </c>
      <c r="E92" s="346">
        <v>-26132.48404440493</v>
      </c>
      <c r="F92" s="200">
        <f>SUM(F88:F91)</f>
        <v>3824.537647755973</v>
      </c>
      <c r="G92" s="200">
        <f t="shared" ref="G92:Y92" si="25">SUM(G88:G91)</f>
        <v>4712.9095813547938</v>
      </c>
      <c r="H92" s="200">
        <f t="shared" si="25"/>
        <v>3770.2750021191423</v>
      </c>
      <c r="I92" s="200">
        <f t="shared" si="25"/>
        <v>3119.8248709627314</v>
      </c>
      <c r="J92" s="200">
        <f t="shared" si="25"/>
        <v>3185.3296278244447</v>
      </c>
      <c r="K92" s="200">
        <f t="shared" si="25"/>
        <v>2719.7340582486263</v>
      </c>
      <c r="L92" s="200">
        <f t="shared" si="25"/>
        <v>2297.5138250321443</v>
      </c>
      <c r="M92" s="200">
        <f t="shared" si="25"/>
        <v>2345.4012564736822</v>
      </c>
      <c r="N92" s="200">
        <f t="shared" si="25"/>
        <v>1952.1406883205034</v>
      </c>
      <c r="O92" s="200">
        <f t="shared" si="25"/>
        <v>1490.9870344661751</v>
      </c>
      <c r="P92" s="200">
        <f t="shared" si="25"/>
        <v>952.26589759543845</v>
      </c>
      <c r="Q92" s="200">
        <f t="shared" si="25"/>
        <v>959.47097346849682</v>
      </c>
      <c r="R92" s="200">
        <f t="shared" si="25"/>
        <v>968.25129341688182</v>
      </c>
      <c r="S92" s="200">
        <f t="shared" si="25"/>
        <v>971.95943710219603</v>
      </c>
      <c r="T92" s="200">
        <f t="shared" si="25"/>
        <v>1034.5492719634767</v>
      </c>
      <c r="U92" s="200">
        <f t="shared" si="25"/>
        <v>16993.484390505848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51298.634856610559</v>
      </c>
      <c r="AB92" s="607">
        <f t="shared" si="18"/>
        <v>25649.317428305279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1.5019178561387805E-11</v>
      </c>
      <c r="R95" s="204"/>
      <c r="U95" s="205" t="s">
        <v>94</v>
      </c>
      <c r="V95" s="206"/>
      <c r="W95" s="206"/>
      <c r="X95" s="206"/>
      <c r="Y95" s="207">
        <f>U88</f>
        <v>1971.9738196119349</v>
      </c>
      <c r="AA95" s="606">
        <f t="shared" si="6"/>
        <v>1971.9738196119349</v>
      </c>
      <c r="AB95" s="607">
        <f t="shared" si="18"/>
        <v>985.98690980596746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1971.9738196119349</v>
      </c>
      <c r="AA97" s="606">
        <f t="shared" si="6"/>
        <v>1971.9738196119349</v>
      </c>
      <c r="AB97" s="607">
        <f t="shared" si="18"/>
        <v>985.98690980596746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15775.790556895479</v>
      </c>
      <c r="AA99" s="606">
        <f t="shared" si="6"/>
        <v>15775.790556895479</v>
      </c>
      <c r="AB99" s="607">
        <f t="shared" si="18"/>
        <v>7887.8952784477397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26132.48404440493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26132.48404440493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23519.235639964438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23519.235639964438</v>
      </c>
      <c r="F109" s="203">
        <f>ROUND(D109/$B$109,0)</f>
        <v>784</v>
      </c>
      <c r="G109" s="203">
        <f>F109</f>
        <v>784</v>
      </c>
      <c r="H109" s="203">
        <f t="shared" ref="H109:U110" si="28">G109</f>
        <v>784</v>
      </c>
      <c r="I109" s="203">
        <f t="shared" si="28"/>
        <v>784</v>
      </c>
      <c r="J109" s="203">
        <f t="shared" si="28"/>
        <v>784</v>
      </c>
      <c r="K109" s="203">
        <f t="shared" si="28"/>
        <v>784</v>
      </c>
      <c r="L109" s="203">
        <f t="shared" si="28"/>
        <v>784</v>
      </c>
      <c r="M109" s="203">
        <f t="shared" si="28"/>
        <v>784</v>
      </c>
      <c r="N109" s="203">
        <f t="shared" si="28"/>
        <v>784</v>
      </c>
      <c r="O109" s="203">
        <f t="shared" si="28"/>
        <v>784</v>
      </c>
      <c r="P109" s="203">
        <f t="shared" si="28"/>
        <v>784</v>
      </c>
      <c r="Q109" s="203">
        <f t="shared" si="28"/>
        <v>784</v>
      </c>
      <c r="R109" s="203">
        <f t="shared" si="28"/>
        <v>784</v>
      </c>
      <c r="S109" s="203">
        <f t="shared" si="28"/>
        <v>784</v>
      </c>
      <c r="T109" s="203">
        <f t="shared" si="28"/>
        <v>784</v>
      </c>
      <c r="U109" s="203">
        <f t="shared" si="28"/>
        <v>784</v>
      </c>
      <c r="V109" s="739"/>
      <c r="W109" s="739"/>
      <c r="X109" s="739"/>
      <c r="Y109" s="739"/>
      <c r="AA109" s="606">
        <f t="shared" si="26"/>
        <v>12544</v>
      </c>
      <c r="AB109" s="607">
        <f t="shared" si="18"/>
        <v>6272</v>
      </c>
    </row>
    <row r="110" spans="1:28" s="199" customFormat="1">
      <c r="A110" s="199" t="s">
        <v>571</v>
      </c>
      <c r="D110" s="214">
        <f>D104*'FPLE_Wind Summary'!V23</f>
        <v>1773.128409085153</v>
      </c>
      <c r="F110" s="203">
        <f>ROUND(D110/$B$109,0)</f>
        <v>59</v>
      </c>
      <c r="G110" s="203">
        <f>F110</f>
        <v>59</v>
      </c>
      <c r="H110" s="203">
        <f t="shared" si="28"/>
        <v>59</v>
      </c>
      <c r="I110" s="203">
        <f t="shared" si="28"/>
        <v>59</v>
      </c>
      <c r="J110" s="203">
        <f t="shared" si="28"/>
        <v>59</v>
      </c>
      <c r="K110" s="203">
        <f t="shared" si="28"/>
        <v>59</v>
      </c>
      <c r="L110" s="203">
        <f t="shared" si="28"/>
        <v>59</v>
      </c>
      <c r="M110" s="203">
        <f t="shared" si="28"/>
        <v>59</v>
      </c>
      <c r="N110" s="203">
        <f t="shared" si="28"/>
        <v>59</v>
      </c>
      <c r="O110" s="203">
        <f t="shared" si="28"/>
        <v>59</v>
      </c>
      <c r="P110" s="203">
        <f t="shared" si="28"/>
        <v>59</v>
      </c>
      <c r="Q110" s="203">
        <f t="shared" si="28"/>
        <v>59</v>
      </c>
      <c r="R110" s="203">
        <f t="shared" si="28"/>
        <v>59</v>
      </c>
      <c r="S110" s="203">
        <f t="shared" si="28"/>
        <v>59</v>
      </c>
      <c r="T110" s="203">
        <f t="shared" si="28"/>
        <v>59</v>
      </c>
      <c r="U110" s="203">
        <f t="shared" si="28"/>
        <v>59</v>
      </c>
      <c r="V110" s="739"/>
      <c r="W110" s="739"/>
      <c r="X110" s="739"/>
      <c r="Y110" s="739"/>
      <c r="AA110" s="606">
        <f t="shared" si="26"/>
        <v>944</v>
      </c>
      <c r="AB110" s="607">
        <f t="shared" si="18"/>
        <v>472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23519.235639964438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U115" si="29">$D$113*F114</f>
        <v>4703.8471279928881</v>
      </c>
      <c r="G115" s="203">
        <f t="shared" si="29"/>
        <v>7526.1554047886202</v>
      </c>
      <c r="H115" s="203">
        <f t="shared" si="29"/>
        <v>4515.6932428731725</v>
      </c>
      <c r="I115" s="203">
        <f t="shared" si="29"/>
        <v>2709.415945723903</v>
      </c>
      <c r="J115" s="203">
        <f t="shared" si="29"/>
        <v>2709.415945723903</v>
      </c>
      <c r="K115" s="203">
        <f t="shared" si="29"/>
        <v>1354.7079728619515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739"/>
      <c r="W115" s="739"/>
      <c r="X115" s="739"/>
      <c r="Y115" s="739"/>
      <c r="AA115" s="606">
        <f t="shared" si="26"/>
        <v>23519.235639964441</v>
      </c>
      <c r="AB115" s="607">
        <f t="shared" si="18"/>
        <v>11759.617819982221</v>
      </c>
    </row>
    <row r="116" spans="1:28" s="199" customFormat="1">
      <c r="A116" s="199" t="s">
        <v>571</v>
      </c>
      <c r="D116" s="214">
        <f>D110</f>
        <v>1773.128409085153</v>
      </c>
      <c r="F116" s="203">
        <f>$D$116*F114</f>
        <v>354.62568181703062</v>
      </c>
      <c r="G116" s="203">
        <f t="shared" ref="G116:U116" si="30">$D$116*G114</f>
        <v>567.401090907249</v>
      </c>
      <c r="H116" s="203">
        <f t="shared" si="30"/>
        <v>340.4406545443494</v>
      </c>
      <c r="I116" s="203">
        <f t="shared" si="30"/>
        <v>204.26439272660963</v>
      </c>
      <c r="J116" s="203">
        <f t="shared" si="30"/>
        <v>204.26439272660963</v>
      </c>
      <c r="K116" s="203">
        <f t="shared" si="30"/>
        <v>102.13219636330481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739"/>
      <c r="W116" s="739"/>
      <c r="X116" s="739"/>
      <c r="Y116" s="739"/>
      <c r="AA116" s="606">
        <f t="shared" si="26"/>
        <v>1773.1284090851532</v>
      </c>
      <c r="AB116" s="607">
        <f t="shared" si="18"/>
        <v>886.56420454257659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1926.6139616173173</v>
      </c>
      <c r="G121" s="203">
        <f t="shared" ref="G121:Y121" si="32">G39</f>
        <v>1617.0415206852572</v>
      </c>
      <c r="H121" s="203">
        <f t="shared" si="32"/>
        <v>1955.2879946885087</v>
      </c>
      <c r="I121" s="203">
        <f t="shared" si="32"/>
        <v>1945.6150149365803</v>
      </c>
      <c r="J121" s="203">
        <f>J39</f>
        <v>2051.6955928502862</v>
      </c>
      <c r="K121" s="203">
        <f t="shared" si="32"/>
        <v>2136.8457629618297</v>
      </c>
      <c r="L121" s="203">
        <f t="shared" si="32"/>
        <v>2217.0588259629867</v>
      </c>
      <c r="M121" s="203">
        <f t="shared" si="32"/>
        <v>2294.6093222245863</v>
      </c>
      <c r="N121" s="203">
        <f t="shared" si="32"/>
        <v>2371.9654871587099</v>
      </c>
      <c r="O121" s="203">
        <f t="shared" si="32"/>
        <v>2414.5539019695143</v>
      </c>
      <c r="P121" s="203">
        <f t="shared" si="32"/>
        <v>1542.1310082517221</v>
      </c>
      <c r="Q121" s="203">
        <f t="shared" si="32"/>
        <v>1553.7991473174038</v>
      </c>
      <c r="R121" s="203">
        <f t="shared" si="32"/>
        <v>1568.0182889342216</v>
      </c>
      <c r="S121" s="203">
        <f t="shared" si="32"/>
        <v>1574.0233799225846</v>
      </c>
      <c r="T121" s="203">
        <f t="shared" si="32"/>
        <v>1675.3834363780995</v>
      </c>
      <c r="U121" s="203">
        <f t="shared" si="32"/>
        <v>1971.9738196119349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30816.616465471547</v>
      </c>
      <c r="AB121" s="607">
        <f t="shared" si="18"/>
        <v>15408.308232735773</v>
      </c>
    </row>
    <row r="122" spans="1:28" s="199" customFormat="1">
      <c r="A122" s="199" t="s">
        <v>74</v>
      </c>
      <c r="F122" s="203">
        <f>-F115</f>
        <v>-4703.8471279928881</v>
      </c>
      <c r="G122" s="203">
        <f t="shared" ref="G122:Y122" si="33">-G115</f>
        <v>-7526.1554047886202</v>
      </c>
      <c r="H122" s="203">
        <f t="shared" si="33"/>
        <v>-4515.6932428731725</v>
      </c>
      <c r="I122" s="203">
        <f t="shared" si="33"/>
        <v>-2709.415945723903</v>
      </c>
      <c r="J122" s="203">
        <f t="shared" si="33"/>
        <v>-2709.415945723903</v>
      </c>
      <c r="K122" s="203">
        <f t="shared" si="33"/>
        <v>-1354.7079728619515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-23519.235639964441</v>
      </c>
      <c r="AB122" s="607">
        <f t="shared" si="18"/>
        <v>-11759.617819982221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-2777.2331663755708</v>
      </c>
      <c r="G124" s="203">
        <f t="shared" ref="G124:Y124" si="35">SUM(G121:G123)</f>
        <v>-5909.1138841033626</v>
      </c>
      <c r="H124" s="203">
        <f t="shared" si="35"/>
        <v>-2560.4052481846638</v>
      </c>
      <c r="I124" s="203">
        <f t="shared" si="35"/>
        <v>-763.80093078732261</v>
      </c>
      <c r="J124" s="203">
        <f t="shared" si="35"/>
        <v>-657.72035287361678</v>
      </c>
      <c r="K124" s="203">
        <f t="shared" si="35"/>
        <v>782.1377900998782</v>
      </c>
      <c r="L124" s="203">
        <f t="shared" si="35"/>
        <v>2217.0588259629867</v>
      </c>
      <c r="M124" s="203">
        <f t="shared" si="35"/>
        <v>2294.6093222245863</v>
      </c>
      <c r="N124" s="203">
        <f t="shared" si="35"/>
        <v>2371.9654871587099</v>
      </c>
      <c r="O124" s="203">
        <f t="shared" si="35"/>
        <v>2414.5539019695143</v>
      </c>
      <c r="P124" s="203">
        <f t="shared" si="35"/>
        <v>1542.1310082517221</v>
      </c>
      <c r="Q124" s="203">
        <f t="shared" si="35"/>
        <v>1553.7991473174038</v>
      </c>
      <c r="R124" s="203">
        <f t="shared" si="35"/>
        <v>1568.0182889342216</v>
      </c>
      <c r="S124" s="203">
        <f t="shared" si="35"/>
        <v>1574.0233799225846</v>
      </c>
      <c r="T124" s="203">
        <f t="shared" si="35"/>
        <v>1675.3834363780995</v>
      </c>
      <c r="U124" s="203">
        <f t="shared" si="35"/>
        <v>1971.9738196119349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7297.3808255071081</v>
      </c>
      <c r="AB124" s="607">
        <f t="shared" si="18"/>
        <v>3648.690412753554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138.86165831877855</v>
      </c>
      <c r="G126" s="203">
        <f t="shared" ref="G126:Y126" si="36">-G124*$C$126</f>
        <v>295.45569420516813</v>
      </c>
      <c r="H126" s="203">
        <f t="shared" si="36"/>
        <v>128.0202624092332</v>
      </c>
      <c r="I126" s="203">
        <f t="shared" si="36"/>
        <v>38.190046539366129</v>
      </c>
      <c r="J126" s="203">
        <f t="shared" si="36"/>
        <v>32.886017643680837</v>
      </c>
      <c r="K126" s="203">
        <f t="shared" si="36"/>
        <v>-39.106889504993916</v>
      </c>
      <c r="L126" s="203">
        <f t="shared" si="36"/>
        <v>-110.85294129814935</v>
      </c>
      <c r="M126" s="203">
        <f t="shared" si="36"/>
        <v>-114.73046611122932</v>
      </c>
      <c r="N126" s="203">
        <f t="shared" si="36"/>
        <v>-118.59827435793551</v>
      </c>
      <c r="O126" s="203">
        <f t="shared" si="36"/>
        <v>-120.72769509847572</v>
      </c>
      <c r="P126" s="203">
        <f t="shared" si="36"/>
        <v>-77.106550412586103</v>
      </c>
      <c r="Q126" s="203">
        <f t="shared" si="36"/>
        <v>-77.6899573658702</v>
      </c>
      <c r="R126" s="203">
        <f t="shared" si="36"/>
        <v>-78.400914446711084</v>
      </c>
      <c r="S126" s="203">
        <f t="shared" si="36"/>
        <v>-78.70116899612924</v>
      </c>
      <c r="T126" s="203">
        <f t="shared" si="36"/>
        <v>-83.769171818904979</v>
      </c>
      <c r="U126" s="203">
        <f t="shared" si="36"/>
        <v>-98.598690980596757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-364.8690412753553</v>
      </c>
      <c r="AB126" s="607">
        <f t="shared" si="18"/>
        <v>-182.43452063767765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923.43002781987718</v>
      </c>
      <c r="G127" s="203">
        <f t="shared" ref="G127:Y127" si="37">-(G124+G126)*$C$127</f>
        <v>1964.7803664643682</v>
      </c>
      <c r="H127" s="203">
        <f t="shared" si="37"/>
        <v>851.33474502140075</v>
      </c>
      <c r="I127" s="203">
        <f t="shared" si="37"/>
        <v>253.96380948678475</v>
      </c>
      <c r="J127" s="203">
        <f t="shared" si="37"/>
        <v>218.69201733047757</v>
      </c>
      <c r="K127" s="203">
        <f t="shared" si="37"/>
        <v>-260.06081520820948</v>
      </c>
      <c r="L127" s="203">
        <f t="shared" si="37"/>
        <v>-737.17205963269305</v>
      </c>
      <c r="M127" s="203">
        <f t="shared" si="37"/>
        <v>-762.95759963967487</v>
      </c>
      <c r="N127" s="203">
        <f t="shared" si="37"/>
        <v>-788.67852448027099</v>
      </c>
      <c r="O127" s="203">
        <f t="shared" si="37"/>
        <v>-802.83917240486346</v>
      </c>
      <c r="P127" s="203">
        <f t="shared" si="37"/>
        <v>-512.7585602436975</v>
      </c>
      <c r="Q127" s="203">
        <f t="shared" si="37"/>
        <v>-516.63821648303679</v>
      </c>
      <c r="R127" s="203">
        <f t="shared" si="37"/>
        <v>-521.36608107062864</v>
      </c>
      <c r="S127" s="203">
        <f t="shared" si="37"/>
        <v>-523.36277382425931</v>
      </c>
      <c r="T127" s="203">
        <f t="shared" si="37"/>
        <v>-557.06499259571797</v>
      </c>
      <c r="U127" s="203">
        <f t="shared" si="37"/>
        <v>-655.68129502096826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-2426.3791244811118</v>
      </c>
      <c r="AB127" s="607">
        <f t="shared" si="18"/>
        <v>-1213.1895622405559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770.59806064934662</v>
      </c>
      <c r="G144" s="220">
        <f t="shared" ref="G144:Y144" si="46">G76</f>
        <v>675.01756951157313</v>
      </c>
      <c r="H144" s="220">
        <f t="shared" si="46"/>
        <v>779.45116836007696</v>
      </c>
      <c r="I144" s="220">
        <f t="shared" si="46"/>
        <v>799.67663586166918</v>
      </c>
      <c r="J144" s="220">
        <f t="shared" si="46"/>
        <v>832.42901429252584</v>
      </c>
      <c r="K144" s="220">
        <f t="shared" si="46"/>
        <v>858.71912931446491</v>
      </c>
      <c r="L144" s="220">
        <f t="shared" si="46"/>
        <v>906.69691251607219</v>
      </c>
      <c r="M144" s="220">
        <f t="shared" si="46"/>
        <v>930.64062823684105</v>
      </c>
      <c r="N144" s="220">
        <f t="shared" si="46"/>
        <v>734.01034416025175</v>
      </c>
      <c r="O144" s="220">
        <f t="shared" si="46"/>
        <v>503.43351723308757</v>
      </c>
      <c r="P144" s="220">
        <f t="shared" si="46"/>
        <v>234.07294879771922</v>
      </c>
      <c r="Q144" s="220">
        <f t="shared" si="46"/>
        <v>237.67548673424847</v>
      </c>
      <c r="R144" s="220">
        <f t="shared" si="46"/>
        <v>242.06564670844091</v>
      </c>
      <c r="S144" s="220">
        <f t="shared" si="46"/>
        <v>243.91971855109801</v>
      </c>
      <c r="T144" s="220">
        <f t="shared" si="46"/>
        <v>275.21463598173818</v>
      </c>
      <c r="U144" s="220">
        <f t="shared" si="46"/>
        <v>366.78691680518489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9390.4083337143402</v>
      </c>
      <c r="AB144" s="607">
        <f t="shared" si="39"/>
        <v>9390.4083337143402</v>
      </c>
    </row>
    <row r="145" spans="1:28" s="199" customFormat="1">
      <c r="A145" s="124" t="s">
        <v>91</v>
      </c>
      <c r="F145" s="213">
        <f>F142+F144</f>
        <v>770.59806064934662</v>
      </c>
      <c r="G145" s="213">
        <f t="shared" ref="G145:Y145" si="47">G142+G144</f>
        <v>675.01756951157313</v>
      </c>
      <c r="H145" s="213">
        <f t="shared" si="47"/>
        <v>779.45116836007696</v>
      </c>
      <c r="I145" s="213">
        <f t="shared" si="47"/>
        <v>799.67663586166918</v>
      </c>
      <c r="J145" s="213">
        <f t="shared" si="47"/>
        <v>832.42901429252584</v>
      </c>
      <c r="K145" s="213">
        <f t="shared" si="47"/>
        <v>858.71912931446491</v>
      </c>
      <c r="L145" s="213">
        <f t="shared" si="47"/>
        <v>906.69691251607219</v>
      </c>
      <c r="M145" s="213">
        <f t="shared" si="47"/>
        <v>930.64062823684105</v>
      </c>
      <c r="N145" s="213">
        <f t="shared" si="47"/>
        <v>734.01034416025175</v>
      </c>
      <c r="O145" s="213">
        <f t="shared" si="47"/>
        <v>503.43351723308757</v>
      </c>
      <c r="P145" s="213">
        <f t="shared" si="47"/>
        <v>234.07294879771922</v>
      </c>
      <c r="Q145" s="213">
        <f t="shared" si="47"/>
        <v>237.67548673424847</v>
      </c>
      <c r="R145" s="213">
        <f t="shared" si="47"/>
        <v>242.06564670844091</v>
      </c>
      <c r="S145" s="213">
        <f t="shared" si="47"/>
        <v>243.91971855109801</v>
      </c>
      <c r="T145" s="213">
        <f t="shared" si="47"/>
        <v>275.21463598173818</v>
      </c>
      <c r="U145" s="213">
        <f t="shared" si="47"/>
        <v>366.78691680518489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9390.4083337143402</v>
      </c>
      <c r="AB145" s="607">
        <f t="shared" si="39"/>
        <v>9390.4083337143402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13066.242022202465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13066.242022202465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[23]FINANCIALS!O$10</f>
        <v>1279.9470614521595</v>
      </c>
      <c r="F10" s="336">
        <f>[23]FINANCIALS!P$10</f>
        <v>1279.9470614521595</v>
      </c>
      <c r="G10" s="336">
        <f>[23]FINANCIALS!Q$10</f>
        <v>1279.9470614521595</v>
      </c>
      <c r="H10" s="336">
        <f>[23]FINANCIALS!R$10</f>
        <v>1279.9470614521595</v>
      </c>
      <c r="I10" s="336">
        <f>[23]FINANCIALS!S$10</f>
        <v>1279.9470614521595</v>
      </c>
      <c r="J10" s="336">
        <f>[23]FINANCIALS!T$10</f>
        <v>1279.9470614521595</v>
      </c>
      <c r="K10" s="336">
        <f>[23]FINANCIALS!U$10</f>
        <v>1279.9470614521595</v>
      </c>
      <c r="L10" s="336">
        <f>[23]FINANCIALS!V$10</f>
        <v>1279.9470614521595</v>
      </c>
      <c r="M10" s="336">
        <f>[23]FINANCIALS!W$10</f>
        <v>1279.9470614521595</v>
      </c>
      <c r="N10" s="336">
        <f>[23]FINANCIALS!X$10</f>
        <v>1279.9470614521595</v>
      </c>
      <c r="O10" s="336">
        <f>[23]FINANCIALS!Y$10</f>
        <v>1279.9470614521595</v>
      </c>
      <c r="P10" s="336">
        <f>[23]FINANCIALS!Z$10</f>
        <v>1279.9470614521595</v>
      </c>
      <c r="Q10" s="336">
        <f>[23]FINANCIALS!AA$10</f>
        <v>1279.9470614521595</v>
      </c>
      <c r="R10" s="336">
        <f>[23]FINANCIALS!AB$10</f>
        <v>1279.9470614521595</v>
      </c>
      <c r="S10" s="336">
        <f>[23]FINANCIALS!AC$10</f>
        <v>1279.9470614521595</v>
      </c>
      <c r="T10" s="336">
        <f>[23]FINANCIALS!AD$10</f>
        <v>0</v>
      </c>
      <c r="U10" s="336">
        <f>[23]FINANCIALS!AE$10</f>
        <v>0</v>
      </c>
      <c r="V10" s="336">
        <f>[23]FINANCIALS!AF$10</f>
        <v>0</v>
      </c>
      <c r="W10" s="336">
        <f>[23]FINANCIALS!AG$10</f>
        <v>0</v>
      </c>
      <c r="X10" s="336">
        <f>[23]FINANCIALS!AH$10</f>
        <v>0</v>
      </c>
      <c r="Y10" s="336">
        <f>[23]FINANCIALS!AI$10</f>
        <v>0</v>
      </c>
      <c r="AA10" s="606">
        <f t="shared" ref="AA10:AA38" si="1">SUM(F10:Y10)</f>
        <v>17919.258860330232</v>
      </c>
      <c r="AB10" s="607">
        <f>AA10*$C$60</f>
        <v>8959.629430165116</v>
      </c>
    </row>
    <row r="11" spans="1:28">
      <c r="A11" s="4" t="s">
        <v>9</v>
      </c>
      <c r="B11" s="12"/>
      <c r="C11" s="12"/>
      <c r="D11" s="90">
        <v>1</v>
      </c>
      <c r="E11" s="336">
        <f>[23]FINANCIALS!O$9</f>
        <v>2387.657403807867</v>
      </c>
      <c r="F11" s="336">
        <f>[23]FINANCIALS!P$9</f>
        <v>1707.7233345322834</v>
      </c>
      <c r="G11" s="336">
        <f>[23]FINANCIALS!Q$9</f>
        <v>1737.018565581556</v>
      </c>
      <c r="H11" s="336">
        <f>[23]FINANCIALS!R$9</f>
        <v>1766.8025165389868</v>
      </c>
      <c r="I11" s="336">
        <f>[23]FINANCIALS!S$9</f>
        <v>1797.0830181084818</v>
      </c>
      <c r="J11" s="336">
        <f>[23]FINANCIALS!T$9</f>
        <v>1827.8680187341408</v>
      </c>
      <c r="K11" s="336">
        <f>[23]FINANCIALS!U$9</f>
        <v>1834.3143942170811</v>
      </c>
      <c r="L11" s="336">
        <f>[23]FINANCIALS!V$9</f>
        <v>1840.2874775118464</v>
      </c>
      <c r="M11" s="336">
        <f>[23]FINANCIALS!W$9</f>
        <v>1845.7657583807147</v>
      </c>
      <c r="N11" s="336">
        <f>[23]FINANCIALS!X$9</f>
        <v>1850.7270554933336</v>
      </c>
      <c r="O11" s="336">
        <f>[23]FINANCIALS!Y$9</f>
        <v>1887.7415966032002</v>
      </c>
      <c r="P11" s="336">
        <f>[23]FINANCIALS!Z$9</f>
        <v>1925.4964285352639</v>
      </c>
      <c r="Q11" s="336">
        <f>[23]FINANCIALS!AA$9</f>
        <v>1964.00635710597</v>
      </c>
      <c r="R11" s="336">
        <f>[23]FINANCIALS!AB$9</f>
        <v>2003.2864842480892</v>
      </c>
      <c r="S11" s="336">
        <f>[23]FINANCIALS!AC$9</f>
        <v>2003.2864842480892</v>
      </c>
      <c r="T11" s="336">
        <f>[23]FINANCIALS!AD$9</f>
        <v>0</v>
      </c>
      <c r="U11" s="336">
        <f>[23]FINANCIALS!AE$9</f>
        <v>0</v>
      </c>
      <c r="V11" s="336">
        <f>[23]FINANCIALS!AF$9</f>
        <v>0</v>
      </c>
      <c r="W11" s="336">
        <f>[23]FINANCIALS!AG$9</f>
        <v>0</v>
      </c>
      <c r="X11" s="336">
        <f>[23]FINANCIALS!AH$9</f>
        <v>0</v>
      </c>
      <c r="Y11" s="336">
        <f>[23]FINANCIALS!AI$9</f>
        <v>0</v>
      </c>
      <c r="AA11" s="606">
        <f t="shared" si="1"/>
        <v>25991.407489839035</v>
      </c>
      <c r="AB11" s="607">
        <f t="shared" ref="AB11:AB74" si="2">AA11*$C$60</f>
        <v>12995.703744919518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3667.6044652600267</v>
      </c>
      <c r="F20" s="90">
        <f t="shared" si="3"/>
        <v>2987.6703959844426</v>
      </c>
      <c r="G20" s="90">
        <f t="shared" si="3"/>
        <v>3016.9656270337155</v>
      </c>
      <c r="H20" s="90">
        <f t="shared" si="3"/>
        <v>3046.749577991146</v>
      </c>
      <c r="I20" s="90">
        <f t="shared" si="3"/>
        <v>3077.0300795606413</v>
      </c>
      <c r="J20" s="90">
        <f t="shared" si="3"/>
        <v>3107.8150801863003</v>
      </c>
      <c r="K20" s="90">
        <f t="shared" si="3"/>
        <v>3114.2614556692406</v>
      </c>
      <c r="L20" s="90">
        <f t="shared" si="3"/>
        <v>3120.2345389640059</v>
      </c>
      <c r="M20" s="90">
        <f t="shared" si="3"/>
        <v>3125.7128198328742</v>
      </c>
      <c r="N20" s="90">
        <f t="shared" si="3"/>
        <v>3130.6741169454931</v>
      </c>
      <c r="O20" s="90">
        <f t="shared" si="3"/>
        <v>3167.6886580553596</v>
      </c>
      <c r="P20" s="90">
        <f t="shared" si="3"/>
        <v>3205.4434899874232</v>
      </c>
      <c r="Q20" s="90">
        <f t="shared" si="3"/>
        <v>3243.9534185581297</v>
      </c>
      <c r="R20" s="90">
        <f t="shared" si="3"/>
        <v>3283.2335457002487</v>
      </c>
      <c r="S20" s="90">
        <f t="shared" si="3"/>
        <v>3283.2335457002487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43910.666350169275</v>
      </c>
      <c r="AB20" s="607">
        <f t="shared" si="2"/>
        <v>21955.333175084637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[23]FINANCIALS!O$14+[23]FINANCIALS!O$18</f>
        <v>566.1402195375</v>
      </c>
      <c r="F25" s="336">
        <f>[23]FINANCIALS!P$14+[23]FINANCIALS!P$18</f>
        <v>575.80981953750006</v>
      </c>
      <c r="G25" s="336">
        <f>[23]FINANCIALS!Q$14+[23]FINANCIALS!Q$18</f>
        <v>585.67281153750002</v>
      </c>
      <c r="H25" s="336">
        <f>[23]FINANCIALS!R$14+[23]FINANCIALS!R$18</f>
        <v>595.7330633775</v>
      </c>
      <c r="I25" s="336">
        <f>[23]FINANCIALS!S$14+[23]FINANCIALS!S$18</f>
        <v>605.99452025430003</v>
      </c>
      <c r="J25" s="336">
        <f>[23]FINANCIALS!T$14+[23]FINANCIALS!T$18</f>
        <v>616.46120626863603</v>
      </c>
      <c r="K25" s="336">
        <f>[23]FINANCIALS!U$14+[23]FINANCIALS!U$18</f>
        <v>627.13722600325877</v>
      </c>
      <c r="L25" s="336">
        <f>[23]FINANCIALS!V$14+[23]FINANCIALS!V$18</f>
        <v>638.02676613257393</v>
      </c>
      <c r="M25" s="336">
        <f>[23]FINANCIALS!W$14+[23]FINANCIALS!W$18</f>
        <v>649.13409706447544</v>
      </c>
      <c r="N25" s="336">
        <f>[23]FINANCIALS!X$14+[23]FINANCIALS!X$18</f>
        <v>660.46357461501498</v>
      </c>
      <c r="O25" s="336">
        <f>[23]FINANCIALS!Y$14+[23]FINANCIALS!Y$18</f>
        <v>672.01964171656527</v>
      </c>
      <c r="P25" s="336">
        <f>[23]FINANCIALS!Z$14+[23]FINANCIALS!Z$18</f>
        <v>683.80683016014655</v>
      </c>
      <c r="Q25" s="336">
        <f>[23]FINANCIALS!AA$14+[23]FINANCIALS!AA$18</f>
        <v>695.82976237259948</v>
      </c>
      <c r="R25" s="336">
        <f>[23]FINANCIALS!AB$14+[23]FINANCIALS!AB$18</f>
        <v>708.09315322930149</v>
      </c>
      <c r="S25" s="336">
        <f>[23]FINANCIALS!AC$14+[23]FINANCIALS!AC$18</f>
        <v>720.60181190313756</v>
      </c>
      <c r="T25" s="336">
        <f>[23]FINANCIALS!AD$14+[23]FINANCIALS!AD$18</f>
        <v>0</v>
      </c>
      <c r="U25" s="336">
        <f>[23]FINANCIALS!AE$14+[23]FINANCIALS!AE$18</f>
        <v>0</v>
      </c>
      <c r="V25" s="336">
        <f>[23]FINANCIALS!AF$14+[23]FINANCIALS!AF$18</f>
        <v>0</v>
      </c>
      <c r="W25" s="336">
        <f>[23]FINANCIALS!AG$14+[23]FINANCIALS!AG$18</f>
        <v>0</v>
      </c>
      <c r="X25" s="336">
        <f>[23]FINANCIALS!AH$14+[23]FINANCIALS!AH$18</f>
        <v>0</v>
      </c>
      <c r="Y25" s="336">
        <f>[23]FINANCIALS!AI$14+[23]FINANCIALS!AI$18</f>
        <v>0</v>
      </c>
      <c r="AA25" s="606">
        <f t="shared" si="1"/>
        <v>9034.7842841725105</v>
      </c>
      <c r="AB25" s="607">
        <f t="shared" si="2"/>
        <v>4517.3921420862553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[23]FINANCIALS!O$21</f>
        <v>0</v>
      </c>
      <c r="F28" s="336">
        <f>[23]FINANCIALS!P$21</f>
        <v>0</v>
      </c>
      <c r="G28" s="336">
        <f>[23]FINANCIALS!Q$21</f>
        <v>0</v>
      </c>
      <c r="H28" s="336">
        <f>[23]FINANCIALS!R$21</f>
        <v>0</v>
      </c>
      <c r="I28" s="336">
        <f>[23]FINANCIALS!S$21</f>
        <v>0</v>
      </c>
      <c r="J28" s="336">
        <f>[23]FINANCIALS!T$21</f>
        <v>0</v>
      </c>
      <c r="K28" s="336">
        <f>[23]FINANCIALS!U$21</f>
        <v>0</v>
      </c>
      <c r="L28" s="336">
        <f>[23]FINANCIALS!V$21</f>
        <v>0</v>
      </c>
      <c r="M28" s="336">
        <f>[23]FINANCIALS!W$21</f>
        <v>0</v>
      </c>
      <c r="N28" s="336">
        <f>[23]FINANCIALS!X$21</f>
        <v>0</v>
      </c>
      <c r="O28" s="336">
        <f>[23]FINANCIALS!Y$21</f>
        <v>0</v>
      </c>
      <c r="P28" s="336">
        <f>[23]FINANCIALS!Z$21</f>
        <v>0</v>
      </c>
      <c r="Q28" s="336">
        <f>[23]FINANCIALS!AA$21</f>
        <v>0</v>
      </c>
      <c r="R28" s="336">
        <f>[23]FINANCIALS!AB$21</f>
        <v>0</v>
      </c>
      <c r="S28" s="336">
        <f>[23]FINANCIALS!AC$21</f>
        <v>0</v>
      </c>
      <c r="T28" s="336">
        <f>[23]FINANCIALS!AD$21</f>
        <v>0</v>
      </c>
      <c r="U28" s="336">
        <f>[23]FINANCIALS!AE$21</f>
        <v>0</v>
      </c>
      <c r="V28" s="336">
        <f>[23]FINANCIALS!AF$21</f>
        <v>0</v>
      </c>
      <c r="W28" s="336">
        <f>[23]FINANCIALS!AG$21</f>
        <v>0</v>
      </c>
      <c r="X28" s="336">
        <f>[23]FINANCIALS!AH$21</f>
        <v>0</v>
      </c>
      <c r="Y28" s="336">
        <f>[23]FINANCIALS!AI$21</f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>
        <f>[23]FINANCIALS!O$20</f>
        <v>19.38</v>
      </c>
      <c r="F29" s="336">
        <f>[23]FINANCIALS!P$20</f>
        <v>19.767599999999998</v>
      </c>
      <c r="G29" s="336">
        <f>[23]FINANCIALS!Q$20</f>
        <v>20.162951999999997</v>
      </c>
      <c r="H29" s="336">
        <f>[23]FINANCIALS!R$20</f>
        <v>20.566211039999999</v>
      </c>
      <c r="I29" s="336">
        <f>[23]FINANCIALS!S$20</f>
        <v>20.9775352608</v>
      </c>
      <c r="J29" s="336">
        <f>[23]FINANCIALS!T$20</f>
        <v>21.397085966016</v>
      </c>
      <c r="K29" s="336">
        <f>[23]FINANCIALS!U$20</f>
        <v>21.82502768533632</v>
      </c>
      <c r="L29" s="336">
        <f>[23]FINANCIALS!V$20</f>
        <v>22.261528239043045</v>
      </c>
      <c r="M29" s="336">
        <f>[23]FINANCIALS!W$20</f>
        <v>22.706758803823906</v>
      </c>
      <c r="N29" s="336">
        <f>[23]FINANCIALS!X$20</f>
        <v>23.160893979900383</v>
      </c>
      <c r="O29" s="336">
        <f>[23]FINANCIALS!Y$20</f>
        <v>23.624111859498392</v>
      </c>
      <c r="P29" s="336">
        <f>[23]FINANCIALS!Z$20</f>
        <v>24.09659409668836</v>
      </c>
      <c r="Q29" s="336">
        <f>[23]FINANCIALS!AA$20</f>
        <v>24.578525978622128</v>
      </c>
      <c r="R29" s="336">
        <f>[23]FINANCIALS!AB$20</f>
        <v>25.07009649819457</v>
      </c>
      <c r="S29" s="336">
        <f>[23]FINANCIALS!AC$20</f>
        <v>25.57149842815846</v>
      </c>
      <c r="T29" s="336">
        <f>[23]FINANCIALS!AD$20</f>
        <v>0</v>
      </c>
      <c r="U29" s="336">
        <f>[23]FINANCIALS!AE$20</f>
        <v>0</v>
      </c>
      <c r="V29" s="336">
        <f>[23]FINANCIALS!AF$20</f>
        <v>0</v>
      </c>
      <c r="W29" s="336">
        <f>[23]FINANCIALS!AG$20</f>
        <v>0</v>
      </c>
      <c r="X29" s="336">
        <f>[23]FINANCIALS!AH$20</f>
        <v>0</v>
      </c>
      <c r="Y29" s="336">
        <f>[23]FINANCIALS!AI$20</f>
        <v>0</v>
      </c>
      <c r="AA29" s="606">
        <f t="shared" si="1"/>
        <v>315.76641983608152</v>
      </c>
      <c r="AB29" s="607">
        <f t="shared" si="2"/>
        <v>157.88320991804076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[23]FINANCIALS!O$17</f>
        <v>91.869657079348826</v>
      </c>
      <c r="F31" s="336">
        <f>[23]FINANCIALS!P$17</f>
        <v>92.049241111414872</v>
      </c>
      <c r="G31" s="336">
        <f>[23]FINANCIALS!Q$17</f>
        <v>92.232327032106213</v>
      </c>
      <c r="H31" s="336">
        <f>[23]FINANCIALS!R$17</f>
        <v>92.418983128251028</v>
      </c>
      <c r="I31" s="336">
        <f>[23]FINANCIALS!S$17</f>
        <v>92.609279018270684</v>
      </c>
      <c r="J31" s="336">
        <f>[23]FINANCIALS!T$17</f>
        <v>92.803285678145713</v>
      </c>
      <c r="K31" s="336">
        <f>[23]FINANCIALS!U$17</f>
        <v>93.001075467888299</v>
      </c>
      <c r="L31" s="336">
        <f>[23]FINANCIALS!V$17</f>
        <v>93.202722158530875</v>
      </c>
      <c r="M31" s="336">
        <f>[23]FINANCIALS!W$17</f>
        <v>93.408300959640982</v>
      </c>
      <c r="N31" s="336">
        <f>[23]FINANCIALS!X$17</f>
        <v>93.617888547372729</v>
      </c>
      <c r="O31" s="336">
        <f>[23]FINANCIALS!Y$17</f>
        <v>93.831563093065256</v>
      </c>
      <c r="P31" s="336">
        <f>[23]FINANCIALS!Z$17</f>
        <v>94.049404292398776</v>
      </c>
      <c r="Q31" s="336">
        <f>[23]FINANCIALS!AA$17</f>
        <v>94.271493395119293</v>
      </c>
      <c r="R31" s="336">
        <f>[23]FINANCIALS!AB$17</f>
        <v>94.497913235342878</v>
      </c>
      <c r="S31" s="336">
        <f>[23]FINANCIALS!AC$17</f>
        <v>94.728748262450807</v>
      </c>
      <c r="T31" s="336">
        <f>[23]FINANCIALS!AD$17</f>
        <v>0</v>
      </c>
      <c r="U31" s="336">
        <f>[23]FINANCIALS!AE$17</f>
        <v>0</v>
      </c>
      <c r="V31" s="336">
        <f>[23]FINANCIALS!AF$17</f>
        <v>0</v>
      </c>
      <c r="W31" s="336">
        <f>[23]FINANCIALS!AG$17</f>
        <v>0</v>
      </c>
      <c r="X31" s="336">
        <f>[23]FINANCIALS!AH$17</f>
        <v>0</v>
      </c>
      <c r="Y31" s="336">
        <f>[23]FINANCIALS!AI$17</f>
        <v>0</v>
      </c>
      <c r="AA31" s="606">
        <f t="shared" si="1"/>
        <v>1306.7222253799985</v>
      </c>
      <c r="AB31" s="607">
        <f t="shared" si="2"/>
        <v>653.36111268999923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[23]FINANCIALS!O$19</f>
        <v>80.110800000000012</v>
      </c>
      <c r="F34" s="336">
        <f>[23]FINANCIALS!P$19</f>
        <v>81.71301600000001</v>
      </c>
      <c r="G34" s="336">
        <f>[23]FINANCIALS!Q$19</f>
        <v>83.347276320000006</v>
      </c>
      <c r="H34" s="336">
        <f>[23]FINANCIALS!R$19</f>
        <v>85.014221846400005</v>
      </c>
      <c r="I34" s="336">
        <f>[23]FINANCIALS!S$19</f>
        <v>86.714506283328006</v>
      </c>
      <c r="J34" s="336">
        <f>[23]FINANCIALS!T$19</f>
        <v>88.448796408994568</v>
      </c>
      <c r="K34" s="336">
        <f>[23]FINANCIALS!U$19</f>
        <v>90.217772337174466</v>
      </c>
      <c r="L34" s="336">
        <f>[23]FINANCIALS!V$19</f>
        <v>92.022127783917952</v>
      </c>
      <c r="M34" s="336">
        <f>[23]FINANCIALS!W$19</f>
        <v>93.862570339596317</v>
      </c>
      <c r="N34" s="336">
        <f>[23]FINANCIALS!X$19</f>
        <v>95.739821746388245</v>
      </c>
      <c r="O34" s="336">
        <f>[23]FINANCIALS!Y$19</f>
        <v>97.65461818131601</v>
      </c>
      <c r="P34" s="336">
        <f>[23]FINANCIALS!Z$19</f>
        <v>99.607710544942336</v>
      </c>
      <c r="Q34" s="336">
        <f>[23]FINANCIALS!AA$19</f>
        <v>101.59986475584118</v>
      </c>
      <c r="R34" s="336">
        <f>[23]FINANCIALS!AB$19</f>
        <v>103.63186205095801</v>
      </c>
      <c r="S34" s="336">
        <f>[23]FINANCIALS!AC$19</f>
        <v>105.70449929197717</v>
      </c>
      <c r="T34" s="336">
        <f>[23]FINANCIALS!AD$19</f>
        <v>0</v>
      </c>
      <c r="U34" s="336">
        <f>[23]FINANCIALS!AE$19</f>
        <v>0</v>
      </c>
      <c r="V34" s="336">
        <f>[23]FINANCIALS!AF$19</f>
        <v>0</v>
      </c>
      <c r="W34" s="336">
        <f>[23]FINANCIALS!AG$19</f>
        <v>0</v>
      </c>
      <c r="X34" s="336">
        <f>[23]FINANCIALS!AH$19</f>
        <v>0</v>
      </c>
      <c r="Y34" s="336">
        <f>[23]FINANCIALS!AI$19</f>
        <v>0</v>
      </c>
      <c r="AA34" s="606">
        <f t="shared" si="1"/>
        <v>1305.2786638908342</v>
      </c>
      <c r="AB34" s="607">
        <f t="shared" si="2"/>
        <v>652.6393319454171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757.50067661684886</v>
      </c>
      <c r="F36" s="90">
        <f t="shared" si="4"/>
        <v>769.33967664891497</v>
      </c>
      <c r="G36" s="90">
        <f t="shared" si="4"/>
        <v>781.41536688960628</v>
      </c>
      <c r="H36" s="90">
        <f t="shared" si="4"/>
        <v>793.73247939215105</v>
      </c>
      <c r="I36" s="90">
        <f t="shared" si="4"/>
        <v>806.29584081669861</v>
      </c>
      <c r="J36" s="90">
        <f t="shared" si="4"/>
        <v>819.11037432179228</v>
      </c>
      <c r="K36" s="90">
        <f t="shared" si="4"/>
        <v>832.18110149365782</v>
      </c>
      <c r="L36" s="90">
        <f t="shared" si="4"/>
        <v>845.51314431406581</v>
      </c>
      <c r="M36" s="90">
        <f t="shared" si="4"/>
        <v>859.11172716753674</v>
      </c>
      <c r="N36" s="90">
        <f t="shared" si="4"/>
        <v>872.98217888867623</v>
      </c>
      <c r="O36" s="90">
        <f t="shared" si="4"/>
        <v>887.1299348504449</v>
      </c>
      <c r="P36" s="90">
        <f t="shared" si="4"/>
        <v>901.56053909417597</v>
      </c>
      <c r="Q36" s="90">
        <f t="shared" si="4"/>
        <v>916.279646502182</v>
      </c>
      <c r="R36" s="90">
        <f t="shared" si="4"/>
        <v>931.29302501379698</v>
      </c>
      <c r="S36" s="90">
        <f t="shared" si="4"/>
        <v>946.60655788572399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11962.551593279422</v>
      </c>
      <c r="AB36" s="607">
        <f t="shared" si="2"/>
        <v>5981.2757966397112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2910.1037886431777</v>
      </c>
      <c r="F39" s="93">
        <f t="shared" si="5"/>
        <v>2218.3307193355276</v>
      </c>
      <c r="G39" s="93">
        <f t="shared" si="5"/>
        <v>2235.5502601441094</v>
      </c>
      <c r="H39" s="93">
        <f t="shared" si="5"/>
        <v>2253.0170985989948</v>
      </c>
      <c r="I39" s="93">
        <f t="shared" si="5"/>
        <v>2270.7342387439426</v>
      </c>
      <c r="J39" s="93">
        <f t="shared" si="5"/>
        <v>2288.704705864508</v>
      </c>
      <c r="K39" s="93">
        <f t="shared" si="5"/>
        <v>2282.0803541755827</v>
      </c>
      <c r="L39" s="93">
        <f t="shared" si="5"/>
        <v>2274.7213946499401</v>
      </c>
      <c r="M39" s="93">
        <f t="shared" si="5"/>
        <v>2266.6010926653375</v>
      </c>
      <c r="N39" s="93">
        <f t="shared" si="5"/>
        <v>2257.691938056817</v>
      </c>
      <c r="O39" s="93">
        <f t="shared" si="5"/>
        <v>2280.5587232049147</v>
      </c>
      <c r="P39" s="93">
        <f t="shared" si="5"/>
        <v>2303.8829508932472</v>
      </c>
      <c r="Q39" s="93">
        <f t="shared" si="5"/>
        <v>2327.6737720559477</v>
      </c>
      <c r="R39" s="93">
        <f t="shared" si="5"/>
        <v>2351.9405206864517</v>
      </c>
      <c r="S39" s="93">
        <f t="shared" si="5"/>
        <v>2336.6269878145249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31948.114756889841</v>
      </c>
      <c r="AB39" s="607">
        <f t="shared" si="2"/>
        <v>15974.057378444921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681</v>
      </c>
      <c r="G41" s="90">
        <f t="shared" ref="G41:Y41" si="7">+G109</f>
        <v>681</v>
      </c>
      <c r="H41" s="90">
        <f t="shared" si="7"/>
        <v>681</v>
      </c>
      <c r="I41" s="90">
        <f t="shared" si="7"/>
        <v>681</v>
      </c>
      <c r="J41" s="90">
        <f t="shared" si="7"/>
        <v>681</v>
      </c>
      <c r="K41" s="90">
        <f t="shared" si="7"/>
        <v>681</v>
      </c>
      <c r="L41" s="90">
        <f t="shared" si="7"/>
        <v>681</v>
      </c>
      <c r="M41" s="90">
        <f t="shared" si="7"/>
        <v>681</v>
      </c>
      <c r="N41" s="90">
        <f t="shared" si="7"/>
        <v>681</v>
      </c>
      <c r="O41" s="90">
        <f t="shared" si="7"/>
        <v>681</v>
      </c>
      <c r="P41" s="90">
        <f t="shared" si="7"/>
        <v>681</v>
      </c>
      <c r="Q41" s="90">
        <f t="shared" si="7"/>
        <v>681</v>
      </c>
      <c r="R41" s="90">
        <f t="shared" si="7"/>
        <v>681</v>
      </c>
      <c r="S41" s="90">
        <f t="shared" si="7"/>
        <v>681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9534</v>
      </c>
      <c r="AB41" s="607">
        <f t="shared" si="2"/>
        <v>4767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2910.1037886431777</v>
      </c>
      <c r="F44" s="93">
        <f t="shared" si="8"/>
        <v>1537.3307193355276</v>
      </c>
      <c r="G44" s="93">
        <f t="shared" si="8"/>
        <v>1554.5502601441094</v>
      </c>
      <c r="H44" s="93">
        <f t="shared" si="8"/>
        <v>1572.0170985989948</v>
      </c>
      <c r="I44" s="93">
        <f t="shared" si="8"/>
        <v>1589.7342387439426</v>
      </c>
      <c r="J44" s="93">
        <f t="shared" si="8"/>
        <v>1607.704705864508</v>
      </c>
      <c r="K44" s="93">
        <f t="shared" si="8"/>
        <v>1601.0803541755827</v>
      </c>
      <c r="L44" s="93">
        <f t="shared" si="8"/>
        <v>1593.7213946499401</v>
      </c>
      <c r="M44" s="93">
        <f t="shared" si="8"/>
        <v>1585.6010926653375</v>
      </c>
      <c r="N44" s="93">
        <f t="shared" si="8"/>
        <v>1576.691938056817</v>
      </c>
      <c r="O44" s="93">
        <f t="shared" si="8"/>
        <v>1599.5587232049147</v>
      </c>
      <c r="P44" s="93">
        <f t="shared" si="8"/>
        <v>1622.8829508932472</v>
      </c>
      <c r="Q44" s="93">
        <f t="shared" si="8"/>
        <v>1646.6737720559477</v>
      </c>
      <c r="R44" s="93">
        <f t="shared" si="8"/>
        <v>1670.9405206864517</v>
      </c>
      <c r="S44" s="93">
        <f t="shared" si="8"/>
        <v>1655.6269878145249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22414.114756889841</v>
      </c>
      <c r="AB44" s="607">
        <f t="shared" si="2"/>
        <v>11207.057378444921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-[23]FINANCIALS!$O$29</f>
        <v>304.85887499999984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2605.2449136431778</v>
      </c>
      <c r="F49" s="93">
        <f t="shared" si="9"/>
        <v>1537.3307193355276</v>
      </c>
      <c r="G49" s="93">
        <f t="shared" si="9"/>
        <v>1554.5502601441094</v>
      </c>
      <c r="H49" s="93">
        <f t="shared" si="9"/>
        <v>1572.0170985989948</v>
      </c>
      <c r="I49" s="93">
        <f t="shared" si="9"/>
        <v>1589.7342387439426</v>
      </c>
      <c r="J49" s="93">
        <f t="shared" si="9"/>
        <v>1607.704705864508</v>
      </c>
      <c r="K49" s="93">
        <f t="shared" si="9"/>
        <v>1601.0803541755827</v>
      </c>
      <c r="L49" s="93">
        <f t="shared" si="9"/>
        <v>1593.7213946499401</v>
      </c>
      <c r="M49" s="93">
        <f t="shared" si="9"/>
        <v>1585.6010926653375</v>
      </c>
      <c r="N49" s="93">
        <f t="shared" si="9"/>
        <v>1576.691938056817</v>
      </c>
      <c r="O49" s="93">
        <f t="shared" si="9"/>
        <v>1599.5587232049147</v>
      </c>
      <c r="P49" s="93">
        <f t="shared" si="9"/>
        <v>1622.8829508932472</v>
      </c>
      <c r="Q49" s="93">
        <f t="shared" si="9"/>
        <v>1646.6737720559477</v>
      </c>
      <c r="R49" s="93">
        <f t="shared" si="9"/>
        <v>1670.9405206864517</v>
      </c>
      <c r="S49" s="93">
        <f t="shared" si="9"/>
        <v>1655.6269878145249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22414.114756889841</v>
      </c>
      <c r="AB49" s="607">
        <f t="shared" si="2"/>
        <v>11207.057378444921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-130.26224568215889</v>
      </c>
      <c r="F51" s="90">
        <f t="shared" si="10"/>
        <v>-76.866535966776382</v>
      </c>
      <c r="G51" s="55">
        <f t="shared" si="10"/>
        <v>-77.727513007205474</v>
      </c>
      <c r="H51" s="90">
        <f t="shared" si="10"/>
        <v>-78.600854929949747</v>
      </c>
      <c r="I51" s="90">
        <f t="shared" si="10"/>
        <v>-79.486711937197128</v>
      </c>
      <c r="J51" s="90">
        <f t="shared" si="10"/>
        <v>-80.385235293225406</v>
      </c>
      <c r="K51" s="90">
        <f t="shared" si="10"/>
        <v>-80.054017708779142</v>
      </c>
      <c r="L51" s="90">
        <f t="shared" si="10"/>
        <v>-79.686069732497003</v>
      </c>
      <c r="M51" s="90">
        <f t="shared" si="10"/>
        <v>-79.280054633266886</v>
      </c>
      <c r="N51" s="90">
        <f t="shared" si="10"/>
        <v>-78.834596902840858</v>
      </c>
      <c r="O51" s="90">
        <f t="shared" si="10"/>
        <v>-79.977936160245747</v>
      </c>
      <c r="P51" s="90">
        <f t="shared" si="10"/>
        <v>-81.14414754466236</v>
      </c>
      <c r="Q51" s="90">
        <f t="shared" si="10"/>
        <v>-82.333688602797395</v>
      </c>
      <c r="R51" s="90">
        <f t="shared" si="10"/>
        <v>-83.547026034322585</v>
      </c>
      <c r="S51" s="90">
        <f t="shared" si="10"/>
        <v>-82.781349390726248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-1120.7057378444927</v>
      </c>
      <c r="AB51" s="607">
        <f t="shared" si="2"/>
        <v>-560.35286892224633</v>
      </c>
    </row>
    <row r="52" spans="1:28">
      <c r="A52" s="4" t="s">
        <v>29</v>
      </c>
      <c r="C52" s="341">
        <v>0.35</v>
      </c>
      <c r="D52" s="89"/>
      <c r="E52" s="89">
        <f>((E49+E51)*-$C$52)+E56</f>
        <v>-866.24393378635648</v>
      </c>
      <c r="F52" s="89">
        <f t="shared" ref="F52:Y52" si="11">((F49+F51)*-$C$52)+F56</f>
        <v>-511.16246417906291</v>
      </c>
      <c r="G52" s="89">
        <f t="shared" si="11"/>
        <v>-516.88796149791631</v>
      </c>
      <c r="H52" s="89">
        <f t="shared" si="11"/>
        <v>-522.69568528416573</v>
      </c>
      <c r="I52" s="89">
        <f t="shared" si="11"/>
        <v>-528.5866343823609</v>
      </c>
      <c r="J52" s="89">
        <f t="shared" si="11"/>
        <v>-534.56181469994885</v>
      </c>
      <c r="K52" s="89">
        <f t="shared" si="11"/>
        <v>-532.35921776338125</v>
      </c>
      <c r="L52" s="89">
        <f t="shared" si="11"/>
        <v>-529.91236372110507</v>
      </c>
      <c r="M52" s="89">
        <f t="shared" si="11"/>
        <v>-527.21236331122475</v>
      </c>
      <c r="N52" s="89">
        <f t="shared" si="11"/>
        <v>-524.25006940389164</v>
      </c>
      <c r="O52" s="89">
        <f t="shared" si="11"/>
        <v>-531.85327546563417</v>
      </c>
      <c r="P52" s="89">
        <f t="shared" si="11"/>
        <v>-539.60858117200473</v>
      </c>
      <c r="Q52" s="89">
        <f t="shared" si="11"/>
        <v>-547.51902920860255</v>
      </c>
      <c r="R52" s="89">
        <f t="shared" si="11"/>
        <v>-555.5877231282451</v>
      </c>
      <c r="S52" s="89">
        <f t="shared" si="11"/>
        <v>-550.49597344832944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-7452.6931566658732</v>
      </c>
      <c r="AB52" s="607">
        <f t="shared" si="2"/>
        <v>-3726.3465783329366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1608.7387341746621</v>
      </c>
      <c r="F54" s="93">
        <f t="shared" si="12"/>
        <v>949.30171918968836</v>
      </c>
      <c r="G54" s="93">
        <f t="shared" si="12"/>
        <v>959.93478563898759</v>
      </c>
      <c r="H54" s="93">
        <f t="shared" si="12"/>
        <v>970.72055838487938</v>
      </c>
      <c r="I54" s="93">
        <f t="shared" si="12"/>
        <v>981.66089242438466</v>
      </c>
      <c r="J54" s="93">
        <f t="shared" si="12"/>
        <v>992.75765587133378</v>
      </c>
      <c r="K54" s="93">
        <f t="shared" si="12"/>
        <v>988.66711870342226</v>
      </c>
      <c r="L54" s="93">
        <f t="shared" si="12"/>
        <v>984.12296119633811</v>
      </c>
      <c r="M54" s="93">
        <f t="shared" si="12"/>
        <v>979.1086747208459</v>
      </c>
      <c r="N54" s="93">
        <f t="shared" si="12"/>
        <v>973.60727175008458</v>
      </c>
      <c r="O54" s="93">
        <f t="shared" si="12"/>
        <v>987.72751157903485</v>
      </c>
      <c r="P54" s="93">
        <f t="shared" si="12"/>
        <v>1002.1302221765802</v>
      </c>
      <c r="Q54" s="93">
        <f t="shared" si="12"/>
        <v>1016.8210542445478</v>
      </c>
      <c r="R54" s="93">
        <f t="shared" si="12"/>
        <v>1031.8057715238838</v>
      </c>
      <c r="S54" s="93">
        <f t="shared" si="12"/>
        <v>1022.3496649754692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13840.71586237948</v>
      </c>
      <c r="AB54" s="607">
        <f t="shared" si="2"/>
        <v>6920.3579311897402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2910.1037886431777</v>
      </c>
      <c r="F64" s="20">
        <f t="shared" si="14"/>
        <v>2218.3307193355276</v>
      </c>
      <c r="G64" s="24">
        <f t="shared" si="14"/>
        <v>2235.5502601441094</v>
      </c>
      <c r="H64" s="20">
        <f t="shared" si="14"/>
        <v>2253.0170985989948</v>
      </c>
      <c r="I64" s="20">
        <f t="shared" si="14"/>
        <v>2270.7342387439426</v>
      </c>
      <c r="J64" s="20">
        <f t="shared" si="14"/>
        <v>2288.704705864508</v>
      </c>
      <c r="K64" s="20">
        <f t="shared" si="14"/>
        <v>2282.0803541755827</v>
      </c>
      <c r="L64" s="20">
        <f t="shared" si="14"/>
        <v>2274.7213946499401</v>
      </c>
      <c r="M64" s="20">
        <f t="shared" si="14"/>
        <v>2266.6010926653375</v>
      </c>
      <c r="N64" s="20">
        <f t="shared" si="14"/>
        <v>2257.691938056817</v>
      </c>
      <c r="O64" s="20">
        <f t="shared" si="14"/>
        <v>2280.5587232049147</v>
      </c>
      <c r="P64" s="20">
        <f t="shared" si="14"/>
        <v>2303.8829508932472</v>
      </c>
      <c r="Q64" s="20">
        <f t="shared" si="14"/>
        <v>2327.6737720559477</v>
      </c>
      <c r="R64" s="20">
        <f t="shared" si="14"/>
        <v>2351.9405206864517</v>
      </c>
      <c r="S64" s="20">
        <f t="shared" si="14"/>
        <v>2336.6269878145249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31948.114756889841</v>
      </c>
      <c r="AB64" s="607">
        <f t="shared" si="2"/>
        <v>15974.057378444921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[23]FINANCIALS!$O$29+[23]FINANCIALS!$O$104+[23]FINANCIALS!$O$92</f>
        <v>-2904.919625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5.184163643177726</v>
      </c>
      <c r="F69" s="95">
        <f t="shared" si="15"/>
        <v>2218.3307193355276</v>
      </c>
      <c r="G69" s="95">
        <f t="shared" si="15"/>
        <v>2235.5502601441094</v>
      </c>
      <c r="H69" s="95">
        <f t="shared" si="15"/>
        <v>2253.0170985989948</v>
      </c>
      <c r="I69" s="95">
        <f t="shared" si="15"/>
        <v>2270.7342387439426</v>
      </c>
      <c r="J69" s="95">
        <f t="shared" si="15"/>
        <v>2288.704705864508</v>
      </c>
      <c r="K69" s="95">
        <f t="shared" si="15"/>
        <v>2282.0803541755827</v>
      </c>
      <c r="L69" s="95">
        <f t="shared" si="15"/>
        <v>2274.7213946499401</v>
      </c>
      <c r="M69" s="95">
        <f t="shared" si="15"/>
        <v>2266.6010926653375</v>
      </c>
      <c r="N69" s="95">
        <f t="shared" si="15"/>
        <v>2257.691938056817</v>
      </c>
      <c r="O69" s="95">
        <f t="shared" si="15"/>
        <v>2280.5587232049147</v>
      </c>
      <c r="P69" s="95">
        <f t="shared" si="15"/>
        <v>2303.8829508932472</v>
      </c>
      <c r="Q69" s="95">
        <f t="shared" si="15"/>
        <v>2327.6737720559477</v>
      </c>
      <c r="R69" s="95">
        <f t="shared" si="15"/>
        <v>2351.9405206864517</v>
      </c>
      <c r="S69" s="95">
        <f t="shared" si="15"/>
        <v>2336.6269878145249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31948.114756889841</v>
      </c>
      <c r="AB69" s="607">
        <f t="shared" si="2"/>
        <v>15974.057378444921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714.63067115159197</v>
      </c>
      <c r="G71" s="100">
        <f t="shared" si="16"/>
        <v>1645.9294995707683</v>
      </c>
      <c r="H71" s="100">
        <f t="shared" si="16"/>
        <v>638.83744423141854</v>
      </c>
      <c r="I71" s="100">
        <f t="shared" si="16"/>
        <v>31.814044347762298</v>
      </c>
      <c r="J71" s="100">
        <f t="shared" si="16"/>
        <v>24.940340674146015</v>
      </c>
      <c r="K71" s="100">
        <f t="shared" si="16"/>
        <v>-422.71079013850016</v>
      </c>
      <c r="L71" s="100">
        <f t="shared" si="16"/>
        <v>-870.08093345360203</v>
      </c>
      <c r="M71" s="100">
        <f t="shared" si="16"/>
        <v>-866.97491794449149</v>
      </c>
      <c r="N71" s="100">
        <f t="shared" si="16"/>
        <v>-863.56716630673247</v>
      </c>
      <c r="O71" s="100">
        <f t="shared" si="16"/>
        <v>-872.31371162587993</v>
      </c>
      <c r="P71" s="100">
        <f t="shared" si="16"/>
        <v>-881.23522871666705</v>
      </c>
      <c r="Q71" s="100">
        <f t="shared" si="16"/>
        <v>-890.33521781139996</v>
      </c>
      <c r="R71" s="100">
        <f t="shared" si="16"/>
        <v>-899.61724916256776</v>
      </c>
      <c r="S71" s="100">
        <f t="shared" si="16"/>
        <v>-893.75982283905569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-4404.4430380232097</v>
      </c>
      <c r="AB71" s="607">
        <f t="shared" si="2"/>
        <v>-2202.2215190116049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5.184163643177726</v>
      </c>
      <c r="F73" s="28">
        <f t="shared" si="17"/>
        <v>2932.9613904871194</v>
      </c>
      <c r="G73" s="28">
        <f t="shared" si="17"/>
        <v>3881.4797597148777</v>
      </c>
      <c r="H73" s="28">
        <f t="shared" si="17"/>
        <v>2891.8545428304133</v>
      </c>
      <c r="I73" s="28">
        <f t="shared" si="17"/>
        <v>2302.5482830917049</v>
      </c>
      <c r="J73" s="28">
        <f t="shared" si="17"/>
        <v>2313.6450465386542</v>
      </c>
      <c r="K73" s="28">
        <f t="shared" si="17"/>
        <v>1859.3695640370825</v>
      </c>
      <c r="L73" s="28">
        <f t="shared" si="17"/>
        <v>1404.640461196338</v>
      </c>
      <c r="M73" s="28">
        <f t="shared" si="17"/>
        <v>1399.6261747208459</v>
      </c>
      <c r="N73" s="28">
        <f t="shared" si="17"/>
        <v>1394.1247717500846</v>
      </c>
      <c r="O73" s="28">
        <f t="shared" si="17"/>
        <v>1408.2450115790348</v>
      </c>
      <c r="P73" s="28">
        <f t="shared" si="17"/>
        <v>1422.6477221765801</v>
      </c>
      <c r="Q73" s="28">
        <f t="shared" si="17"/>
        <v>1437.3385542445476</v>
      </c>
      <c r="R73" s="28">
        <f t="shared" si="17"/>
        <v>1452.3232715238839</v>
      </c>
      <c r="S73" s="28">
        <f t="shared" si="17"/>
        <v>1442.8671649754692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27543.671718866633</v>
      </c>
      <c r="AB73" s="607">
        <f t="shared" si="2"/>
        <v>13771.835859433317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804.36936708733106</v>
      </c>
      <c r="F76" s="28">
        <f t="shared" si="19"/>
        <v>474.65085959484418</v>
      </c>
      <c r="G76" s="95">
        <f t="shared" si="19"/>
        <v>479.9673928194938</v>
      </c>
      <c r="H76" s="28">
        <f t="shared" si="19"/>
        <v>485.36027919243969</v>
      </c>
      <c r="I76" s="28">
        <f t="shared" si="19"/>
        <v>490.83044621219233</v>
      </c>
      <c r="J76" s="28">
        <f t="shared" si="19"/>
        <v>496.37882793566689</v>
      </c>
      <c r="K76" s="28">
        <f t="shared" si="19"/>
        <v>494.33355935171113</v>
      </c>
      <c r="L76" s="28">
        <f t="shared" si="19"/>
        <v>492.06148059816906</v>
      </c>
      <c r="M76" s="28">
        <f t="shared" si="19"/>
        <v>489.55433736042295</v>
      </c>
      <c r="N76" s="28">
        <f t="shared" si="19"/>
        <v>486.80363587504229</v>
      </c>
      <c r="O76" s="28">
        <f t="shared" si="19"/>
        <v>493.86375578951743</v>
      </c>
      <c r="P76" s="28">
        <f t="shared" si="19"/>
        <v>501.06511108829011</v>
      </c>
      <c r="Q76" s="28">
        <f t="shared" si="19"/>
        <v>508.41052712227389</v>
      </c>
      <c r="R76" s="28">
        <f t="shared" si="19"/>
        <v>515.90288576194189</v>
      </c>
      <c r="S76" s="28">
        <f t="shared" si="19"/>
        <v>511.17483248773459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6920.3579311897402</v>
      </c>
      <c r="AB76" s="607">
        <f>AA76</f>
        <v>6920.3579311897402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2.592081821588863</v>
      </c>
      <c r="F77" s="28">
        <f t="shared" si="20"/>
        <v>1466.4806952435597</v>
      </c>
      <c r="G77" s="95">
        <f t="shared" si="20"/>
        <v>1940.7398798574388</v>
      </c>
      <c r="H77" s="28">
        <f t="shared" si="20"/>
        <v>1445.9272714152066</v>
      </c>
      <c r="I77" s="28">
        <f t="shared" si="20"/>
        <v>1151.2741415458524</v>
      </c>
      <c r="J77" s="28">
        <f t="shared" si="20"/>
        <v>1156.8225232693271</v>
      </c>
      <c r="K77" s="28">
        <f t="shared" si="20"/>
        <v>929.68478201854123</v>
      </c>
      <c r="L77" s="28">
        <f t="shared" si="20"/>
        <v>702.32023059816902</v>
      </c>
      <c r="M77" s="28">
        <f t="shared" si="20"/>
        <v>699.81308736042297</v>
      </c>
      <c r="N77" s="28">
        <f t="shared" si="20"/>
        <v>697.06238587504231</v>
      </c>
      <c r="O77" s="28">
        <f t="shared" si="20"/>
        <v>704.12250578951739</v>
      </c>
      <c r="P77" s="28">
        <f t="shared" si="20"/>
        <v>711.32386108829007</v>
      </c>
      <c r="Q77" s="28">
        <f t="shared" si="20"/>
        <v>718.6692771222738</v>
      </c>
      <c r="R77" s="28">
        <f t="shared" si="20"/>
        <v>726.16163576194197</v>
      </c>
      <c r="S77" s="28">
        <f t="shared" si="20"/>
        <v>721.43358248773461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13771.835859433317</v>
      </c>
      <c r="AB77" s="607">
        <f>AA77</f>
        <v>13771.835859433317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2218.3307193355276</v>
      </c>
      <c r="G88" s="200">
        <f t="shared" ref="G88:Y88" si="22">G69</f>
        <v>2235.5502601441094</v>
      </c>
      <c r="H88" s="200">
        <f t="shared" si="22"/>
        <v>2253.0170985989948</v>
      </c>
      <c r="I88" s="200">
        <f t="shared" si="22"/>
        <v>2270.7342387439426</v>
      </c>
      <c r="J88" s="200">
        <f t="shared" si="22"/>
        <v>2288.704705864508</v>
      </c>
      <c r="K88" s="200">
        <f t="shared" si="22"/>
        <v>2282.0803541755827</v>
      </c>
      <c r="L88" s="200">
        <f t="shared" si="22"/>
        <v>2274.7213946499401</v>
      </c>
      <c r="M88" s="200">
        <f t="shared" si="22"/>
        <v>2266.6010926653375</v>
      </c>
      <c r="N88" s="200">
        <f t="shared" si="22"/>
        <v>2257.691938056817</v>
      </c>
      <c r="O88" s="200">
        <f t="shared" si="22"/>
        <v>2280.5587232049147</v>
      </c>
      <c r="P88" s="200">
        <f t="shared" si="22"/>
        <v>2303.8829508932472</v>
      </c>
      <c r="Q88" s="200">
        <f t="shared" si="22"/>
        <v>2327.6737720559477</v>
      </c>
      <c r="R88" s="200">
        <f t="shared" si="22"/>
        <v>2351.9405206864517</v>
      </c>
      <c r="S88" s="200">
        <f t="shared" si="22"/>
        <v>2336.6269878145249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31948.114756889841</v>
      </c>
      <c r="AB88" s="607">
        <f t="shared" si="18"/>
        <v>15974.057378444921</v>
      </c>
    </row>
    <row r="89" spans="1:30" s="199" customFormat="1">
      <c r="A89" s="199" t="s">
        <v>53</v>
      </c>
      <c r="F89" s="110">
        <f>F126+F127</f>
        <v>714.63067115159197</v>
      </c>
      <c r="G89" s="110">
        <f t="shared" ref="G89:Y89" si="23">G126+G127</f>
        <v>1645.9294995707683</v>
      </c>
      <c r="H89" s="110">
        <f t="shared" si="23"/>
        <v>638.83744423141854</v>
      </c>
      <c r="I89" s="110">
        <f t="shared" si="23"/>
        <v>31.814044347762298</v>
      </c>
      <c r="J89" s="110">
        <f t="shared" si="23"/>
        <v>24.940340674146015</v>
      </c>
      <c r="K89" s="110">
        <f t="shared" si="23"/>
        <v>-422.71079013850016</v>
      </c>
      <c r="L89" s="110">
        <f t="shared" si="23"/>
        <v>-870.08093345360203</v>
      </c>
      <c r="M89" s="110">
        <f t="shared" si="23"/>
        <v>-866.97491794449149</v>
      </c>
      <c r="N89" s="110">
        <f t="shared" si="23"/>
        <v>-863.56716630673247</v>
      </c>
      <c r="O89" s="110">
        <f t="shared" si="23"/>
        <v>-872.31371162587993</v>
      </c>
      <c r="P89" s="110">
        <f t="shared" si="23"/>
        <v>-881.23522871666705</v>
      </c>
      <c r="Q89" s="110">
        <f t="shared" si="23"/>
        <v>-890.33521781139996</v>
      </c>
      <c r="R89" s="110">
        <f t="shared" si="23"/>
        <v>-899.61724916256776</v>
      </c>
      <c r="S89" s="110">
        <f t="shared" si="23"/>
        <v>-893.75982283905569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-4404.4430380232097</v>
      </c>
      <c r="AB89" s="607">
        <f t="shared" si="18"/>
        <v>-2202.2215190116049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f>Y99</f>
        <v>18693.015902516199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18693.015902516199</v>
      </c>
      <c r="AB91" s="607">
        <f t="shared" si="18"/>
        <v>9346.5079512580996</v>
      </c>
    </row>
    <row r="92" spans="1:30" s="199" customFormat="1">
      <c r="A92" s="199" t="s">
        <v>55</v>
      </c>
      <c r="E92" s="346">
        <v>-22703.589997057825</v>
      </c>
      <c r="F92" s="200">
        <f>SUM(F88:F91)</f>
        <v>2932.9613904871194</v>
      </c>
      <c r="G92" s="200">
        <f t="shared" ref="G92:Y92" si="25">SUM(G88:G91)</f>
        <v>3881.4797597148777</v>
      </c>
      <c r="H92" s="200">
        <f t="shared" si="25"/>
        <v>2891.8545428304133</v>
      </c>
      <c r="I92" s="200">
        <f t="shared" si="25"/>
        <v>2302.5482830917049</v>
      </c>
      <c r="J92" s="200">
        <f t="shared" si="25"/>
        <v>2313.6450465386542</v>
      </c>
      <c r="K92" s="200">
        <f t="shared" si="25"/>
        <v>1859.3695640370825</v>
      </c>
      <c r="L92" s="200">
        <f t="shared" si="25"/>
        <v>1404.640461196338</v>
      </c>
      <c r="M92" s="200">
        <f t="shared" si="25"/>
        <v>1399.6261747208459</v>
      </c>
      <c r="N92" s="200">
        <f t="shared" si="25"/>
        <v>1394.1247717500846</v>
      </c>
      <c r="O92" s="200">
        <f t="shared" si="25"/>
        <v>1408.2450115790348</v>
      </c>
      <c r="P92" s="200">
        <f t="shared" si="25"/>
        <v>1422.6477221765801</v>
      </c>
      <c r="Q92" s="200">
        <f t="shared" si="25"/>
        <v>1437.3385542445476</v>
      </c>
      <c r="R92" s="200">
        <f t="shared" si="25"/>
        <v>1452.3232715238839</v>
      </c>
      <c r="S92" s="200">
        <f t="shared" si="25"/>
        <v>20135.883067491668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46236.687621382836</v>
      </c>
      <c r="AB92" s="607">
        <f t="shared" si="18"/>
        <v>23118.343810691418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250</v>
      </c>
      <c r="V95" s="206"/>
      <c r="W95" s="206"/>
      <c r="X95" s="206"/>
      <c r="Y95" s="207">
        <f>S88</f>
        <v>2336.6269878145249</v>
      </c>
      <c r="AA95" s="606">
        <f t="shared" si="6"/>
        <v>2336.6269878145249</v>
      </c>
      <c r="AB95" s="607">
        <f t="shared" si="18"/>
        <v>1168.3134939072625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2336.6269878145249</v>
      </c>
      <c r="AA97" s="606">
        <f t="shared" si="6"/>
        <v>2336.6269878145249</v>
      </c>
      <c r="AB97" s="607">
        <f t="shared" si="18"/>
        <v>1168.3134939072625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18693.015902516199</v>
      </c>
      <c r="AA99" s="606">
        <f t="shared" si="6"/>
        <v>18693.015902516199</v>
      </c>
      <c r="AB99" s="607">
        <f t="shared" si="18"/>
        <v>9346.5079512580996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22703.589997057825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22703.589997057825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20433.230997352042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20433.230997352042</v>
      </c>
      <c r="F109" s="203">
        <f>ROUND(D109/$B$109,0)</f>
        <v>681</v>
      </c>
      <c r="G109" s="203">
        <f>F109</f>
        <v>681</v>
      </c>
      <c r="H109" s="203">
        <f t="shared" ref="H109:S110" si="28">G109</f>
        <v>681</v>
      </c>
      <c r="I109" s="203">
        <f t="shared" si="28"/>
        <v>681</v>
      </c>
      <c r="J109" s="203">
        <f t="shared" si="28"/>
        <v>681</v>
      </c>
      <c r="K109" s="203">
        <f t="shared" si="28"/>
        <v>681</v>
      </c>
      <c r="L109" s="203">
        <f t="shared" si="28"/>
        <v>681</v>
      </c>
      <c r="M109" s="203">
        <f t="shared" si="28"/>
        <v>681</v>
      </c>
      <c r="N109" s="203">
        <f t="shared" si="28"/>
        <v>681</v>
      </c>
      <c r="O109" s="203">
        <f t="shared" si="28"/>
        <v>681</v>
      </c>
      <c r="P109" s="203">
        <f t="shared" si="28"/>
        <v>681</v>
      </c>
      <c r="Q109" s="203">
        <f t="shared" si="28"/>
        <v>681</v>
      </c>
      <c r="R109" s="203">
        <f t="shared" si="28"/>
        <v>681</v>
      </c>
      <c r="S109" s="203">
        <f t="shared" si="28"/>
        <v>681</v>
      </c>
      <c r="T109" s="739"/>
      <c r="U109" s="739"/>
      <c r="V109" s="739"/>
      <c r="W109" s="739"/>
      <c r="X109" s="739"/>
      <c r="Y109" s="739"/>
      <c r="AA109" s="606">
        <f t="shared" si="26"/>
        <v>9534</v>
      </c>
      <c r="AB109" s="607">
        <f t="shared" si="18"/>
        <v>4767</v>
      </c>
    </row>
    <row r="110" spans="1:28" s="199" customFormat="1">
      <c r="A110" s="199" t="s">
        <v>571</v>
      </c>
      <c r="D110" s="214">
        <f>D104*'FPLE_Wind Summary'!V24</f>
        <v>1596.3242831096695</v>
      </c>
      <c r="F110" s="203">
        <f>ROUND(D110/$B$109,0)</f>
        <v>53</v>
      </c>
      <c r="G110" s="203">
        <f>F110</f>
        <v>53</v>
      </c>
      <c r="H110" s="203">
        <f t="shared" si="28"/>
        <v>53</v>
      </c>
      <c r="I110" s="203">
        <f t="shared" si="28"/>
        <v>53</v>
      </c>
      <c r="J110" s="203">
        <f t="shared" si="28"/>
        <v>53</v>
      </c>
      <c r="K110" s="203">
        <f t="shared" si="28"/>
        <v>53</v>
      </c>
      <c r="L110" s="203">
        <f t="shared" si="28"/>
        <v>53</v>
      </c>
      <c r="M110" s="203">
        <f t="shared" si="28"/>
        <v>53</v>
      </c>
      <c r="N110" s="203">
        <f t="shared" si="28"/>
        <v>53</v>
      </c>
      <c r="O110" s="203">
        <f t="shared" si="28"/>
        <v>53</v>
      </c>
      <c r="P110" s="203">
        <f t="shared" si="28"/>
        <v>53</v>
      </c>
      <c r="Q110" s="203">
        <f t="shared" si="28"/>
        <v>53</v>
      </c>
      <c r="R110" s="203">
        <f t="shared" si="28"/>
        <v>53</v>
      </c>
      <c r="S110" s="203">
        <f t="shared" si="28"/>
        <v>53</v>
      </c>
      <c r="T110" s="739"/>
      <c r="U110" s="739"/>
      <c r="V110" s="739"/>
      <c r="W110" s="739"/>
      <c r="X110" s="739"/>
      <c r="Y110" s="739"/>
      <c r="AA110" s="606">
        <f t="shared" si="26"/>
        <v>742</v>
      </c>
      <c r="AB110" s="607">
        <f t="shared" si="18"/>
        <v>371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20433.230997352042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S115" si="29">$D$113*F114</f>
        <v>4086.6461994704086</v>
      </c>
      <c r="G115" s="203">
        <f t="shared" si="29"/>
        <v>6538.633919152654</v>
      </c>
      <c r="H115" s="203">
        <f t="shared" si="29"/>
        <v>3923.1803514915923</v>
      </c>
      <c r="I115" s="203">
        <f t="shared" si="29"/>
        <v>2353.9082108949551</v>
      </c>
      <c r="J115" s="203">
        <f t="shared" si="29"/>
        <v>2353.9082108949551</v>
      </c>
      <c r="K115" s="203">
        <f t="shared" si="29"/>
        <v>1176.9541054474776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739"/>
      <c r="U115" s="739"/>
      <c r="V115" s="739"/>
      <c r="W115" s="739"/>
      <c r="X115" s="739"/>
      <c r="Y115" s="739"/>
      <c r="AA115" s="606">
        <f t="shared" si="26"/>
        <v>20433.230997352046</v>
      </c>
      <c r="AB115" s="607">
        <f t="shared" si="18"/>
        <v>10216.615498676023</v>
      </c>
    </row>
    <row r="116" spans="1:28" s="199" customFormat="1">
      <c r="A116" s="199" t="s">
        <v>571</v>
      </c>
      <c r="D116" s="214">
        <f>D110</f>
        <v>1596.3242831096695</v>
      </c>
      <c r="F116" s="203">
        <f>$D$116*F114</f>
        <v>319.26485662193392</v>
      </c>
      <c r="G116" s="203">
        <f t="shared" ref="G116:S116" si="30">$D$116*G114</f>
        <v>510.82377059509423</v>
      </c>
      <c r="H116" s="203">
        <f t="shared" si="30"/>
        <v>306.49426235705653</v>
      </c>
      <c r="I116" s="203">
        <f t="shared" si="30"/>
        <v>183.89655741423391</v>
      </c>
      <c r="J116" s="203">
        <f t="shared" si="30"/>
        <v>183.89655741423391</v>
      </c>
      <c r="K116" s="203">
        <f t="shared" si="30"/>
        <v>91.948278707116955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739"/>
      <c r="U116" s="739"/>
      <c r="V116" s="739"/>
      <c r="W116" s="739"/>
      <c r="X116" s="739"/>
      <c r="Y116" s="739"/>
      <c r="AA116" s="606">
        <f t="shared" si="26"/>
        <v>1596.3242831096695</v>
      </c>
      <c r="AB116" s="607">
        <f t="shared" si="18"/>
        <v>798.16214155483476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2218.3307193355276</v>
      </c>
      <c r="G121" s="203">
        <f t="shared" ref="G121:Y121" si="32">G39</f>
        <v>2235.5502601441094</v>
      </c>
      <c r="H121" s="203">
        <f t="shared" si="32"/>
        <v>2253.0170985989948</v>
      </c>
      <c r="I121" s="203">
        <f t="shared" si="32"/>
        <v>2270.7342387439426</v>
      </c>
      <c r="J121" s="203">
        <f>J39</f>
        <v>2288.704705864508</v>
      </c>
      <c r="K121" s="203">
        <f t="shared" si="32"/>
        <v>2282.0803541755827</v>
      </c>
      <c r="L121" s="203">
        <f t="shared" si="32"/>
        <v>2274.7213946499401</v>
      </c>
      <c r="M121" s="203">
        <f t="shared" si="32"/>
        <v>2266.6010926653375</v>
      </c>
      <c r="N121" s="203">
        <f t="shared" si="32"/>
        <v>2257.691938056817</v>
      </c>
      <c r="O121" s="203">
        <f t="shared" si="32"/>
        <v>2280.5587232049147</v>
      </c>
      <c r="P121" s="203">
        <f t="shared" si="32"/>
        <v>2303.8829508932472</v>
      </c>
      <c r="Q121" s="203">
        <f t="shared" si="32"/>
        <v>2327.6737720559477</v>
      </c>
      <c r="R121" s="203">
        <f t="shared" si="32"/>
        <v>2351.9405206864517</v>
      </c>
      <c r="S121" s="203">
        <f t="shared" si="32"/>
        <v>2336.6269878145249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31948.114756889841</v>
      </c>
      <c r="AB121" s="607">
        <f t="shared" si="18"/>
        <v>15974.057378444921</v>
      </c>
    </row>
    <row r="122" spans="1:28" s="199" customFormat="1">
      <c r="A122" s="199" t="s">
        <v>74</v>
      </c>
      <c r="F122" s="203">
        <f>-F115</f>
        <v>-4086.6461994704086</v>
      </c>
      <c r="G122" s="203">
        <f t="shared" ref="G122:Y122" si="33">-G115</f>
        <v>-6538.633919152654</v>
      </c>
      <c r="H122" s="203">
        <f t="shared" si="33"/>
        <v>-3923.1803514915923</v>
      </c>
      <c r="I122" s="203">
        <f t="shared" si="33"/>
        <v>-2353.9082108949551</v>
      </c>
      <c r="J122" s="203">
        <f t="shared" si="33"/>
        <v>-2353.9082108949551</v>
      </c>
      <c r="K122" s="203">
        <f t="shared" si="33"/>
        <v>-1176.9541054474776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-20433.230997352046</v>
      </c>
      <c r="AB122" s="607">
        <f t="shared" si="18"/>
        <v>-10216.615498676023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-1868.315480134881</v>
      </c>
      <c r="G124" s="203">
        <f t="shared" ref="G124:Y124" si="35">SUM(G121:G123)</f>
        <v>-4303.0836590085446</v>
      </c>
      <c r="H124" s="203">
        <f t="shared" si="35"/>
        <v>-1670.1632528925975</v>
      </c>
      <c r="I124" s="203">
        <f t="shared" si="35"/>
        <v>-83.173972151012549</v>
      </c>
      <c r="J124" s="203">
        <f t="shared" si="35"/>
        <v>-65.203505030447104</v>
      </c>
      <c r="K124" s="203">
        <f t="shared" si="35"/>
        <v>1105.1262487281051</v>
      </c>
      <c r="L124" s="203">
        <f t="shared" si="35"/>
        <v>2274.7213946499401</v>
      </c>
      <c r="M124" s="203">
        <f t="shared" si="35"/>
        <v>2266.6010926653375</v>
      </c>
      <c r="N124" s="203">
        <f t="shared" si="35"/>
        <v>2257.691938056817</v>
      </c>
      <c r="O124" s="203">
        <f t="shared" si="35"/>
        <v>2280.5587232049147</v>
      </c>
      <c r="P124" s="203">
        <f t="shared" si="35"/>
        <v>2303.8829508932472</v>
      </c>
      <c r="Q124" s="203">
        <f t="shared" si="35"/>
        <v>2327.6737720559477</v>
      </c>
      <c r="R124" s="203">
        <f t="shared" si="35"/>
        <v>2351.9405206864517</v>
      </c>
      <c r="S124" s="203">
        <f t="shared" si="35"/>
        <v>2336.6269878145249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11514.883759537803</v>
      </c>
      <c r="AB124" s="607">
        <f t="shared" si="18"/>
        <v>5757.4418797689013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93.415774006744059</v>
      </c>
      <c r="G126" s="203">
        <f t="shared" ref="G126:Y126" si="36">-G124*$C$126</f>
        <v>215.15418295042724</v>
      </c>
      <c r="H126" s="203">
        <f t="shared" si="36"/>
        <v>83.508162644629877</v>
      </c>
      <c r="I126" s="203">
        <f t="shared" si="36"/>
        <v>4.1586986075506278</v>
      </c>
      <c r="J126" s="203">
        <f t="shared" si="36"/>
        <v>3.2601752515223552</v>
      </c>
      <c r="K126" s="203">
        <f t="shared" si="36"/>
        <v>-55.25631243640526</v>
      </c>
      <c r="L126" s="203">
        <f t="shared" si="36"/>
        <v>-113.73606973249701</v>
      </c>
      <c r="M126" s="203">
        <f t="shared" si="36"/>
        <v>-113.33005463326688</v>
      </c>
      <c r="N126" s="203">
        <f t="shared" si="36"/>
        <v>-112.88459690284085</v>
      </c>
      <c r="O126" s="203">
        <f t="shared" si="36"/>
        <v>-114.02793616024574</v>
      </c>
      <c r="P126" s="203">
        <f t="shared" si="36"/>
        <v>-115.19414754466237</v>
      </c>
      <c r="Q126" s="203">
        <f t="shared" si="36"/>
        <v>-116.38368860279739</v>
      </c>
      <c r="R126" s="203">
        <f t="shared" si="36"/>
        <v>-117.5970260343226</v>
      </c>
      <c r="S126" s="203">
        <f t="shared" si="36"/>
        <v>-116.83134939072625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-575.74418797689032</v>
      </c>
      <c r="AB126" s="607">
        <f t="shared" si="18"/>
        <v>-287.87209398844516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621.2148971448479</v>
      </c>
      <c r="G127" s="203">
        <f t="shared" ref="G127:Y127" si="37">-(G124+G126)*$C$127</f>
        <v>1430.7753166203411</v>
      </c>
      <c r="H127" s="203">
        <f t="shared" si="37"/>
        <v>555.32928158678862</v>
      </c>
      <c r="I127" s="203">
        <f t="shared" si="37"/>
        <v>27.655345740211668</v>
      </c>
      <c r="J127" s="203">
        <f t="shared" si="37"/>
        <v>21.680165422623659</v>
      </c>
      <c r="K127" s="203">
        <f t="shared" si="37"/>
        <v>-367.45447770209489</v>
      </c>
      <c r="L127" s="203">
        <f t="shared" si="37"/>
        <v>-756.34486372110496</v>
      </c>
      <c r="M127" s="203">
        <f t="shared" si="37"/>
        <v>-753.64486331122464</v>
      </c>
      <c r="N127" s="203">
        <f t="shared" si="37"/>
        <v>-750.68256940389165</v>
      </c>
      <c r="O127" s="203">
        <f t="shared" si="37"/>
        <v>-758.28577546563417</v>
      </c>
      <c r="P127" s="203">
        <f t="shared" si="37"/>
        <v>-766.04108117200462</v>
      </c>
      <c r="Q127" s="203">
        <f t="shared" si="37"/>
        <v>-773.95152920860255</v>
      </c>
      <c r="R127" s="203">
        <f t="shared" si="37"/>
        <v>-782.02022312824522</v>
      </c>
      <c r="S127" s="203">
        <f t="shared" si="37"/>
        <v>-776.92847344832944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-3828.6988500463194</v>
      </c>
      <c r="AB127" s="607">
        <f t="shared" si="18"/>
        <v>-1914.3494250231597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81.71301600000001</v>
      </c>
      <c r="G138" s="218">
        <f t="shared" si="41"/>
        <v>83.347276320000006</v>
      </c>
      <c r="H138" s="218">
        <f t="shared" si="41"/>
        <v>85.014221846400005</v>
      </c>
      <c r="I138" s="218">
        <f t="shared" si="41"/>
        <v>86.714506283328006</v>
      </c>
      <c r="J138" s="218">
        <f t="shared" si="41"/>
        <v>88.448796408994568</v>
      </c>
      <c r="K138" s="218">
        <f t="shared" si="41"/>
        <v>90.217772337174466</v>
      </c>
      <c r="L138" s="218">
        <f t="shared" si="41"/>
        <v>92.022127783917952</v>
      </c>
      <c r="M138" s="218">
        <f t="shared" si="41"/>
        <v>93.862570339596317</v>
      </c>
      <c r="N138" s="218">
        <f t="shared" si="41"/>
        <v>95.739821746388245</v>
      </c>
      <c r="O138" s="218">
        <f t="shared" si="41"/>
        <v>97.65461818131601</v>
      </c>
      <c r="P138" s="218">
        <f t="shared" si="41"/>
        <v>99.607710544942336</v>
      </c>
      <c r="Q138" s="218">
        <f t="shared" si="41"/>
        <v>101.59986475584118</v>
      </c>
      <c r="R138" s="218">
        <f t="shared" si="41"/>
        <v>103.63186205095801</v>
      </c>
      <c r="S138" s="218">
        <f t="shared" si="41"/>
        <v>105.70449929197717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1305.2786638908342</v>
      </c>
      <c r="AB138" s="607">
        <f t="shared" si="39"/>
        <v>1305.2786638908342</v>
      </c>
    </row>
    <row r="139" spans="1:28" s="199" customFormat="1">
      <c r="A139" s="199" t="s">
        <v>79</v>
      </c>
      <c r="F139" s="203">
        <f>F137+F138</f>
        <v>81.71301600000001</v>
      </c>
      <c r="G139" s="203">
        <f t="shared" ref="G139:Y139" si="42">G137+G138</f>
        <v>83.347276320000006</v>
      </c>
      <c r="H139" s="203">
        <f t="shared" si="42"/>
        <v>85.014221846400005</v>
      </c>
      <c r="I139" s="203">
        <f t="shared" si="42"/>
        <v>86.714506283328006</v>
      </c>
      <c r="J139" s="203">
        <f t="shared" si="42"/>
        <v>88.448796408994568</v>
      </c>
      <c r="K139" s="203">
        <f t="shared" si="42"/>
        <v>90.217772337174466</v>
      </c>
      <c r="L139" s="203">
        <f t="shared" si="42"/>
        <v>92.022127783917952</v>
      </c>
      <c r="M139" s="203">
        <f t="shared" si="42"/>
        <v>93.862570339596317</v>
      </c>
      <c r="N139" s="203">
        <f t="shared" si="42"/>
        <v>95.739821746388245</v>
      </c>
      <c r="O139" s="203">
        <f t="shared" si="42"/>
        <v>97.65461818131601</v>
      </c>
      <c r="P139" s="203">
        <f t="shared" si="42"/>
        <v>99.607710544942336</v>
      </c>
      <c r="Q139" s="203">
        <f t="shared" si="42"/>
        <v>101.59986475584118</v>
      </c>
      <c r="R139" s="203">
        <f t="shared" si="42"/>
        <v>103.63186205095801</v>
      </c>
      <c r="S139" s="203">
        <f t="shared" si="42"/>
        <v>105.70449929197717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1305.2786638908342</v>
      </c>
      <c r="AB139" s="607">
        <f t="shared" si="39"/>
        <v>1305.2786638908342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4.0856508000000007</v>
      </c>
      <c r="G140" s="203">
        <f t="shared" ref="G140:Y140" si="43">G139*$C$140</f>
        <v>4.1673638160000008</v>
      </c>
      <c r="H140" s="203">
        <f t="shared" si="43"/>
        <v>4.2507110923200004</v>
      </c>
      <c r="I140" s="203">
        <f t="shared" si="43"/>
        <v>4.3357253141664005</v>
      </c>
      <c r="J140" s="203">
        <f t="shared" si="43"/>
        <v>4.4224398204497284</v>
      </c>
      <c r="K140" s="203">
        <f t="shared" si="43"/>
        <v>4.5108886168587237</v>
      </c>
      <c r="L140" s="203">
        <f t="shared" si="43"/>
        <v>4.6011063891958974</v>
      </c>
      <c r="M140" s="203">
        <f t="shared" si="43"/>
        <v>4.693128516979816</v>
      </c>
      <c r="N140" s="203">
        <f t="shared" si="43"/>
        <v>4.7869910873194126</v>
      </c>
      <c r="O140" s="203">
        <f t="shared" si="43"/>
        <v>4.8827309090658009</v>
      </c>
      <c r="P140" s="203">
        <f t="shared" si="43"/>
        <v>4.9803855272471171</v>
      </c>
      <c r="Q140" s="203">
        <f t="shared" si="43"/>
        <v>5.0799932377920598</v>
      </c>
      <c r="R140" s="203">
        <f t="shared" si="43"/>
        <v>5.1815931025479003</v>
      </c>
      <c r="S140" s="203">
        <f t="shared" si="43"/>
        <v>5.2852249645988589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65.263933194541721</v>
      </c>
      <c r="AB140" s="607">
        <f t="shared" si="39"/>
        <v>65.263933194541721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27.169577820000004</v>
      </c>
      <c r="G141" s="218">
        <f t="shared" ref="G141:Y141" si="44">(G139-G140)*$C$141</f>
        <v>27.7129693764</v>
      </c>
      <c r="H141" s="218">
        <f t="shared" si="44"/>
        <v>28.267228763927999</v>
      </c>
      <c r="I141" s="218">
        <f t="shared" si="44"/>
        <v>28.832573339206562</v>
      </c>
      <c r="J141" s="218">
        <f t="shared" si="44"/>
        <v>29.409224805990693</v>
      </c>
      <c r="K141" s="218">
        <f t="shared" si="44"/>
        <v>29.997409302110508</v>
      </c>
      <c r="L141" s="218">
        <f t="shared" si="44"/>
        <v>30.597357488152721</v>
      </c>
      <c r="M141" s="218">
        <f t="shared" si="44"/>
        <v>31.209304637915775</v>
      </c>
      <c r="N141" s="218">
        <f t="shared" si="44"/>
        <v>31.83349073067409</v>
      </c>
      <c r="O141" s="218">
        <f t="shared" si="44"/>
        <v>32.47016054528757</v>
      </c>
      <c r="P141" s="218">
        <f t="shared" si="44"/>
        <v>33.119563756193322</v>
      </c>
      <c r="Q141" s="218">
        <f t="shared" si="44"/>
        <v>33.781955031317189</v>
      </c>
      <c r="R141" s="218">
        <f t="shared" si="44"/>
        <v>34.45759413194353</v>
      </c>
      <c r="S141" s="218">
        <f t="shared" si="44"/>
        <v>35.146746014582412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434.00515574370235</v>
      </c>
      <c r="AB141" s="607">
        <f t="shared" si="39"/>
        <v>434.00515574370235</v>
      </c>
    </row>
    <row r="142" spans="1:28" s="199" customFormat="1">
      <c r="A142" s="199" t="s">
        <v>82</v>
      </c>
      <c r="F142" s="203">
        <f>F139-F140-F141</f>
        <v>50.457787380000013</v>
      </c>
      <c r="G142" s="203">
        <f t="shared" ref="G142:Y142" si="45">G139-G140-G141</f>
        <v>51.466943127600004</v>
      </c>
      <c r="H142" s="203">
        <f t="shared" si="45"/>
        <v>52.496281990151999</v>
      </c>
      <c r="I142" s="203">
        <f t="shared" si="45"/>
        <v>53.546207629955049</v>
      </c>
      <c r="J142" s="203">
        <f t="shared" si="45"/>
        <v>54.617131782554154</v>
      </c>
      <c r="K142" s="203">
        <f t="shared" si="45"/>
        <v>55.709474418205232</v>
      </c>
      <c r="L142" s="203">
        <f t="shared" si="45"/>
        <v>56.823663906569337</v>
      </c>
      <c r="M142" s="203">
        <f t="shared" si="45"/>
        <v>57.960137184700727</v>
      </c>
      <c r="N142" s="203">
        <f t="shared" si="45"/>
        <v>59.119339928394751</v>
      </c>
      <c r="O142" s="203">
        <f t="shared" si="45"/>
        <v>60.301726726962642</v>
      </c>
      <c r="P142" s="203">
        <f t="shared" si="45"/>
        <v>61.507761261501891</v>
      </c>
      <c r="Q142" s="203">
        <f t="shared" si="45"/>
        <v>62.737916486731926</v>
      </c>
      <c r="R142" s="203">
        <f t="shared" si="45"/>
        <v>63.992674816466568</v>
      </c>
      <c r="S142" s="203">
        <f t="shared" si="45"/>
        <v>65.272528312795913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806.00957495259013</v>
      </c>
      <c r="AB142" s="607">
        <f t="shared" si="39"/>
        <v>806.00957495259013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474.65085959484418</v>
      </c>
      <c r="G144" s="220">
        <f t="shared" ref="G144:Y144" si="46">G76</f>
        <v>479.9673928194938</v>
      </c>
      <c r="H144" s="220">
        <f t="shared" si="46"/>
        <v>485.36027919243969</v>
      </c>
      <c r="I144" s="220">
        <f t="shared" si="46"/>
        <v>490.83044621219233</v>
      </c>
      <c r="J144" s="220">
        <f t="shared" si="46"/>
        <v>496.37882793566689</v>
      </c>
      <c r="K144" s="220">
        <f t="shared" si="46"/>
        <v>494.33355935171113</v>
      </c>
      <c r="L144" s="220">
        <f t="shared" si="46"/>
        <v>492.06148059816906</v>
      </c>
      <c r="M144" s="220">
        <f t="shared" si="46"/>
        <v>489.55433736042295</v>
      </c>
      <c r="N144" s="220">
        <f t="shared" si="46"/>
        <v>486.80363587504229</v>
      </c>
      <c r="O144" s="220">
        <f t="shared" si="46"/>
        <v>493.86375578951743</v>
      </c>
      <c r="P144" s="220">
        <f t="shared" si="46"/>
        <v>501.06511108829011</v>
      </c>
      <c r="Q144" s="220">
        <f t="shared" si="46"/>
        <v>508.41052712227389</v>
      </c>
      <c r="R144" s="220">
        <f t="shared" si="46"/>
        <v>515.90288576194189</v>
      </c>
      <c r="S144" s="220">
        <f t="shared" si="46"/>
        <v>511.17483248773459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6920.3579311897402</v>
      </c>
      <c r="AB144" s="607">
        <f t="shared" si="39"/>
        <v>6920.3579311897402</v>
      </c>
    </row>
    <row r="145" spans="1:28" s="199" customFormat="1">
      <c r="A145" s="124" t="s">
        <v>91</v>
      </c>
      <c r="F145" s="213">
        <f>F142+F144</f>
        <v>525.10864697484419</v>
      </c>
      <c r="G145" s="213">
        <f t="shared" ref="G145:Y145" si="47">G142+G144</f>
        <v>531.43433594709381</v>
      </c>
      <c r="H145" s="213">
        <f t="shared" si="47"/>
        <v>537.85656118259169</v>
      </c>
      <c r="I145" s="213">
        <f t="shared" si="47"/>
        <v>544.37665384214733</v>
      </c>
      <c r="J145" s="213">
        <f t="shared" si="47"/>
        <v>550.995959718221</v>
      </c>
      <c r="K145" s="213">
        <f t="shared" si="47"/>
        <v>550.04303376991641</v>
      </c>
      <c r="L145" s="213">
        <f t="shared" si="47"/>
        <v>548.88514450473838</v>
      </c>
      <c r="M145" s="213">
        <f t="shared" si="47"/>
        <v>547.51447454512368</v>
      </c>
      <c r="N145" s="213">
        <f t="shared" si="47"/>
        <v>545.922975803437</v>
      </c>
      <c r="O145" s="213">
        <f t="shared" si="47"/>
        <v>554.1654825164801</v>
      </c>
      <c r="P145" s="213">
        <f t="shared" si="47"/>
        <v>562.57287234979196</v>
      </c>
      <c r="Q145" s="213">
        <f t="shared" si="47"/>
        <v>571.14844360900577</v>
      </c>
      <c r="R145" s="213">
        <f t="shared" si="47"/>
        <v>579.89556057840844</v>
      </c>
      <c r="S145" s="213">
        <f t="shared" si="47"/>
        <v>576.44736080053053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7726.367506142331</v>
      </c>
      <c r="AB145" s="607">
        <f t="shared" si="39"/>
        <v>7726.367506142331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50.457787380000013</v>
      </c>
      <c r="G150" s="200">
        <f t="shared" ref="G150:Y150" si="48">G142</f>
        <v>51.466943127600004</v>
      </c>
      <c r="H150" s="200">
        <f t="shared" si="48"/>
        <v>52.496281990151999</v>
      </c>
      <c r="I150" s="200">
        <f t="shared" si="48"/>
        <v>53.546207629955049</v>
      </c>
      <c r="J150" s="200">
        <f t="shared" si="48"/>
        <v>54.617131782554154</v>
      </c>
      <c r="K150" s="200">
        <f t="shared" si="48"/>
        <v>55.709474418205232</v>
      </c>
      <c r="L150" s="200">
        <f t="shared" si="48"/>
        <v>56.823663906569337</v>
      </c>
      <c r="M150" s="200">
        <f t="shared" si="48"/>
        <v>57.960137184700727</v>
      </c>
      <c r="N150" s="200">
        <f t="shared" si="48"/>
        <v>59.119339928394751</v>
      </c>
      <c r="O150" s="200">
        <f t="shared" si="48"/>
        <v>60.301726726962642</v>
      </c>
      <c r="P150" s="200">
        <f t="shared" si="48"/>
        <v>61.507761261501891</v>
      </c>
      <c r="Q150" s="200">
        <f t="shared" si="48"/>
        <v>62.737916486731926</v>
      </c>
      <c r="R150" s="200">
        <f t="shared" si="48"/>
        <v>63.992674816466568</v>
      </c>
      <c r="S150" s="200">
        <f t="shared" si="48"/>
        <v>65.272528312795913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806.00957495259013</v>
      </c>
      <c r="AB150" s="607">
        <f t="shared" si="39"/>
        <v>806.00957495259013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50.457787380000013</v>
      </c>
      <c r="G152" s="200">
        <f t="shared" ref="G152:Y152" si="49">G150+G151</f>
        <v>51.466943127600004</v>
      </c>
      <c r="H152" s="200">
        <f t="shared" si="49"/>
        <v>52.496281990151999</v>
      </c>
      <c r="I152" s="200">
        <f t="shared" si="49"/>
        <v>53.546207629955049</v>
      </c>
      <c r="J152" s="200">
        <f t="shared" si="49"/>
        <v>54.617131782554154</v>
      </c>
      <c r="K152" s="200">
        <f t="shared" si="49"/>
        <v>55.709474418205232</v>
      </c>
      <c r="L152" s="200">
        <f t="shared" si="49"/>
        <v>56.823663906569337</v>
      </c>
      <c r="M152" s="200">
        <f t="shared" si="49"/>
        <v>57.960137184700727</v>
      </c>
      <c r="N152" s="200">
        <f t="shared" si="49"/>
        <v>59.119339928394751</v>
      </c>
      <c r="O152" s="200">
        <f t="shared" si="49"/>
        <v>60.301726726962642</v>
      </c>
      <c r="P152" s="200">
        <f t="shared" si="49"/>
        <v>61.507761261501891</v>
      </c>
      <c r="Q152" s="200">
        <f t="shared" si="49"/>
        <v>62.737916486731926</v>
      </c>
      <c r="R152" s="200">
        <f t="shared" si="49"/>
        <v>63.992674816466568</v>
      </c>
      <c r="S152" s="200">
        <f t="shared" si="49"/>
        <v>65.272528312795913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806.00957495259013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411.57155865769471</v>
      </c>
    </row>
    <row r="156" spans="1:28" s="199" customFormat="1" ht="13.5" thickBot="1">
      <c r="A156" s="199" t="s">
        <v>59</v>
      </c>
      <c r="C156" s="248">
        <v>0.1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11351.794998528912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411.57155865769471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11763.366557186608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252" customWidth="1"/>
    <col min="2" max="2" width="5.28515625" style="252" customWidth="1"/>
    <col min="3" max="3" width="10.7109375" style="252" customWidth="1"/>
    <col min="4" max="7" width="10.7109375" style="252" customWidth="1" outlineLevel="1"/>
    <col min="8" max="25" width="10.7109375" style="252" customWidth="1"/>
    <col min="26" max="28" width="10.7109375" style="367" customWidth="1"/>
    <col min="29" max="29" width="10.28515625" style="367" customWidth="1"/>
    <col min="30" max="16384" width="9.140625" style="367"/>
  </cols>
  <sheetData>
    <row r="1" spans="1:28" ht="18.75">
      <c r="A1" s="596" t="s">
        <v>154</v>
      </c>
    </row>
    <row r="2" spans="1:28"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8" ht="15.75">
      <c r="A3" s="366" t="s">
        <v>235</v>
      </c>
    </row>
    <row r="4" spans="1:28">
      <c r="A4" s="368"/>
    </row>
    <row r="5" spans="1:28" ht="13.5" thickBot="1">
      <c r="A5" s="369" t="s">
        <v>5</v>
      </c>
      <c r="B5" s="370"/>
      <c r="C5" s="370"/>
      <c r="D5" s="370">
        <v>1999</v>
      </c>
      <c r="E5" s="370">
        <f t="shared" ref="E5:Y5" si="0">D5+1</f>
        <v>2000</v>
      </c>
      <c r="F5" s="370">
        <f t="shared" si="0"/>
        <v>2001</v>
      </c>
      <c r="G5" s="370">
        <f t="shared" si="0"/>
        <v>2002</v>
      </c>
      <c r="H5" s="370">
        <f t="shared" si="0"/>
        <v>2003</v>
      </c>
      <c r="I5" s="370">
        <f t="shared" si="0"/>
        <v>2004</v>
      </c>
      <c r="J5" s="370">
        <f t="shared" si="0"/>
        <v>2005</v>
      </c>
      <c r="K5" s="370">
        <f t="shared" si="0"/>
        <v>2006</v>
      </c>
      <c r="L5" s="370">
        <f t="shared" si="0"/>
        <v>2007</v>
      </c>
      <c r="M5" s="370">
        <f t="shared" si="0"/>
        <v>2008</v>
      </c>
      <c r="N5" s="370">
        <f t="shared" si="0"/>
        <v>2009</v>
      </c>
      <c r="O5" s="370">
        <f t="shared" si="0"/>
        <v>2010</v>
      </c>
      <c r="P5" s="370">
        <f t="shared" si="0"/>
        <v>2011</v>
      </c>
      <c r="Q5" s="370">
        <f t="shared" si="0"/>
        <v>2012</v>
      </c>
      <c r="R5" s="370">
        <f t="shared" si="0"/>
        <v>2013</v>
      </c>
      <c r="S5" s="370">
        <f t="shared" si="0"/>
        <v>2014</v>
      </c>
      <c r="T5" s="370">
        <f t="shared" si="0"/>
        <v>2015</v>
      </c>
      <c r="U5" s="370">
        <f t="shared" si="0"/>
        <v>2016</v>
      </c>
      <c r="V5" s="370">
        <f t="shared" si="0"/>
        <v>2017</v>
      </c>
      <c r="W5" s="370">
        <f t="shared" si="0"/>
        <v>2018</v>
      </c>
      <c r="X5" s="370">
        <f t="shared" si="0"/>
        <v>2019</v>
      </c>
      <c r="Y5" s="370">
        <f t="shared" si="0"/>
        <v>2020</v>
      </c>
      <c r="AA5" s="532" t="s">
        <v>128</v>
      </c>
      <c r="AB5" s="533" t="s">
        <v>284</v>
      </c>
    </row>
    <row r="6" spans="1:28">
      <c r="A6" s="371"/>
      <c r="B6" s="372"/>
      <c r="C6" s="372"/>
      <c r="D6" s="372"/>
      <c r="E6" s="372"/>
      <c r="F6" s="373"/>
      <c r="G6" s="373"/>
      <c r="H6" s="374"/>
      <c r="I6" s="375"/>
      <c r="J6" s="375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AA6" s="520"/>
      <c r="AB6" s="533"/>
    </row>
    <row r="7" spans="1:28">
      <c r="A7" s="371"/>
      <c r="B7" s="372"/>
      <c r="C7" s="372"/>
      <c r="D7" s="372"/>
      <c r="I7" s="374"/>
      <c r="J7" s="374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AA7" s="520"/>
      <c r="AB7" s="533"/>
    </row>
    <row r="8" spans="1:28">
      <c r="A8" s="368" t="s">
        <v>6</v>
      </c>
      <c r="B8" s="374"/>
      <c r="C8" s="374"/>
      <c r="D8" s="374"/>
      <c r="AA8" s="520"/>
      <c r="AB8" s="533"/>
    </row>
    <row r="9" spans="1:28">
      <c r="A9" s="376" t="s">
        <v>7</v>
      </c>
      <c r="B9" s="374"/>
      <c r="C9" s="374"/>
      <c r="D9" s="374"/>
      <c r="AA9" s="520"/>
      <c r="AB9" s="533"/>
    </row>
    <row r="10" spans="1:28">
      <c r="A10" s="377" t="s">
        <v>8</v>
      </c>
      <c r="B10" s="374"/>
      <c r="C10" s="374"/>
      <c r="D10" s="104">
        <v>1</v>
      </c>
      <c r="E10" s="378">
        <f>[30]Financials!H$11</f>
        <v>1430.0730071548808</v>
      </c>
      <c r="F10" s="378">
        <f>[30]Financials!I$11</f>
        <v>1430.0730071548808</v>
      </c>
      <c r="G10" s="378">
        <f>[30]Financials!J$11</f>
        <v>1430.0730071548808</v>
      </c>
      <c r="H10" s="378">
        <f>[30]Financials!K$11</f>
        <v>1430.0730071548808</v>
      </c>
      <c r="I10" s="378">
        <f>[30]Financials!L$11</f>
        <v>1430.0730071548808</v>
      </c>
      <c r="J10" s="378">
        <f>[30]Financials!M$11</f>
        <v>1430.0730071548808</v>
      </c>
      <c r="K10" s="378">
        <f>[30]Financials!N$11</f>
        <v>1430.0730071548808</v>
      </c>
      <c r="L10" s="378">
        <f>[30]Financials!O$11</f>
        <v>1430.0730071548808</v>
      </c>
      <c r="M10" s="378">
        <f>[30]Financials!P$11</f>
        <v>1430.0730071548808</v>
      </c>
      <c r="N10" s="378">
        <f>[30]Financials!Q$11</f>
        <v>1430.0730071548808</v>
      </c>
      <c r="O10" s="378">
        <f>[30]Financials!R$11</f>
        <v>1430.0730071548808</v>
      </c>
      <c r="P10" s="378">
        <f>[30]Financials!S$11</f>
        <v>1430.0730071548808</v>
      </c>
      <c r="Q10" s="378">
        <f>[30]Financials!T$11</f>
        <v>1430.0730071548808</v>
      </c>
      <c r="R10" s="378">
        <f>[30]Financials!U$11</f>
        <v>1430.0730071548808</v>
      </c>
      <c r="S10" s="378">
        <f>[30]Financials!V$11</f>
        <v>1430.0730071548808</v>
      </c>
      <c r="T10" s="378">
        <f>[30]Financials!W$11</f>
        <v>1430.0730071548808</v>
      </c>
      <c r="U10" s="378">
        <f>[30]Financials!X$11</f>
        <v>1430.0730071548808</v>
      </c>
      <c r="V10" s="378">
        <f>[30]Financials!Y$11</f>
        <v>0</v>
      </c>
      <c r="W10" s="378">
        <f>[30]Financials!Z$11</f>
        <v>0</v>
      </c>
      <c r="X10" s="378">
        <f>[30]Financials!AA$11</f>
        <v>0</v>
      </c>
      <c r="Y10" s="378">
        <f>[30]Financials!AB$11</f>
        <v>0</v>
      </c>
      <c r="AA10" s="606">
        <f t="shared" ref="AA10:AA38" si="1">SUM(F10:Y10)</f>
        <v>22881.1681144781</v>
      </c>
      <c r="AB10" s="607">
        <f>AA10*$C$60</f>
        <v>11440.58405723905</v>
      </c>
    </row>
    <row r="11" spans="1:28">
      <c r="A11" s="377" t="s">
        <v>9</v>
      </c>
      <c r="B11" s="374"/>
      <c r="C11" s="374"/>
      <c r="D11" s="104">
        <v>1</v>
      </c>
      <c r="E11" s="378">
        <f>[30]Financials!H$10</f>
        <v>1427.749719808352</v>
      </c>
      <c r="F11" s="378">
        <f>[30]Financials!I$10</f>
        <v>1473.9342677544223</v>
      </c>
      <c r="G11" s="378">
        <f>[30]Financials!J$10</f>
        <v>1521.4808661614434</v>
      </c>
      <c r="H11" s="378">
        <f>[30]Financials!K$10</f>
        <v>1588.2957614894608</v>
      </c>
      <c r="I11" s="378">
        <f>[30]Financials!L$10</f>
        <v>1641.6472551929776</v>
      </c>
      <c r="J11" s="378">
        <f>[30]Financials!M$10</f>
        <v>1716.2662270253923</v>
      </c>
      <c r="K11" s="378">
        <f>[30]Financials!N$10</f>
        <v>1783.903127576943</v>
      </c>
      <c r="L11" s="378">
        <f>[30]Financials!O$10</f>
        <v>1853.9105804438902</v>
      </c>
      <c r="M11" s="378">
        <f>[30]Financials!P$10</f>
        <v>1945.0957623240306</v>
      </c>
      <c r="N11" s="378">
        <f>[30]Financials!Q$10</f>
        <v>2013.6866942290026</v>
      </c>
      <c r="O11" s="378">
        <f>[30]Financials!R$10</f>
        <v>2085.0934134332656</v>
      </c>
      <c r="P11" s="378">
        <f>[30]Financials!S$10</f>
        <v>2158.3412816457976</v>
      </c>
      <c r="Q11" s="378">
        <f>[30]Financials!T$10</f>
        <v>2265.052110865327</v>
      </c>
      <c r="R11" s="378">
        <f>[30]Financials!U$10</f>
        <v>2320.7452488778408</v>
      </c>
      <c r="S11" s="378">
        <f>[30]Financials!V$10</f>
        <v>2378.2312649852011</v>
      </c>
      <c r="T11" s="378">
        <f>[30]Financials!W$10</f>
        <v>2436.5173472622819</v>
      </c>
      <c r="U11" s="378">
        <f>[30]Financials!X$10</f>
        <v>2496.6074715585328</v>
      </c>
      <c r="V11" s="378">
        <f>[30]Financials!Y$10</f>
        <v>0</v>
      </c>
      <c r="W11" s="378">
        <f>[30]Financials!Z$10</f>
        <v>0</v>
      </c>
      <c r="X11" s="378">
        <f>[30]Financials!AA$10</f>
        <v>0</v>
      </c>
      <c r="Y11" s="378">
        <f>[30]Financials!AB$10</f>
        <v>0</v>
      </c>
      <c r="AA11" s="606">
        <f t="shared" si="1"/>
        <v>31678.808680825809</v>
      </c>
      <c r="AB11" s="607">
        <f t="shared" ref="AB11:AB74" si="2">AA11*$C$60</f>
        <v>15839.404340412904</v>
      </c>
    </row>
    <row r="12" spans="1:28">
      <c r="A12" s="377" t="s">
        <v>10</v>
      </c>
      <c r="B12" s="374"/>
      <c r="C12" s="374"/>
      <c r="D12" s="104">
        <v>1</v>
      </c>
      <c r="E12" s="378">
        <f>[30]Financials!H$12</f>
        <v>341.83800000000002</v>
      </c>
      <c r="F12" s="378">
        <f>[30]Financials!I$12</f>
        <v>254.4</v>
      </c>
      <c r="G12" s="378">
        <f>[30]Financials!J$12</f>
        <v>0</v>
      </c>
      <c r="H12" s="378">
        <f>[30]Financials!K$12</f>
        <v>0</v>
      </c>
      <c r="I12" s="378">
        <f>[30]Financials!L$12</f>
        <v>0</v>
      </c>
      <c r="J12" s="378">
        <f>[30]Financials!M$12</f>
        <v>0</v>
      </c>
      <c r="K12" s="378">
        <f>[30]Financials!N$12</f>
        <v>0</v>
      </c>
      <c r="L12" s="378">
        <f>[30]Financials!O$12</f>
        <v>0</v>
      </c>
      <c r="M12" s="378">
        <f>[30]Financials!P$12</f>
        <v>0</v>
      </c>
      <c r="N12" s="378">
        <f>[30]Financials!Q$12</f>
        <v>0</v>
      </c>
      <c r="O12" s="378">
        <f>[30]Financials!R$12</f>
        <v>0</v>
      </c>
      <c r="P12" s="378">
        <f>[30]Financials!S$12</f>
        <v>0</v>
      </c>
      <c r="Q12" s="378">
        <f>[30]Financials!T$12</f>
        <v>0</v>
      </c>
      <c r="R12" s="378">
        <f>[30]Financials!U$12</f>
        <v>0</v>
      </c>
      <c r="S12" s="378">
        <f>[30]Financials!V$12</f>
        <v>0</v>
      </c>
      <c r="T12" s="378">
        <f>[30]Financials!W$12</f>
        <v>0</v>
      </c>
      <c r="U12" s="378">
        <f>[30]Financials!X$12</f>
        <v>0</v>
      </c>
      <c r="V12" s="378">
        <f>[30]Financials!Y$12</f>
        <v>0</v>
      </c>
      <c r="W12" s="378">
        <f>[30]Financials!Z$12</f>
        <v>0</v>
      </c>
      <c r="X12" s="378">
        <f>[30]Financials!AA$12</f>
        <v>0</v>
      </c>
      <c r="Y12" s="378">
        <f>[30]Financials!AB$12</f>
        <v>0</v>
      </c>
      <c r="AA12" s="606">
        <f t="shared" si="1"/>
        <v>254.4</v>
      </c>
      <c r="AB12" s="607">
        <f t="shared" si="2"/>
        <v>127.2</v>
      </c>
    </row>
    <row r="13" spans="1:28">
      <c r="A13" s="367"/>
      <c r="B13" s="374"/>
      <c r="C13" s="374"/>
      <c r="D13" s="374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AA13" s="606">
        <f t="shared" si="1"/>
        <v>0</v>
      </c>
      <c r="AB13" s="607">
        <f t="shared" si="2"/>
        <v>0</v>
      </c>
    </row>
    <row r="14" spans="1:28">
      <c r="A14" s="376" t="s">
        <v>11</v>
      </c>
      <c r="B14" s="374"/>
      <c r="C14" s="374"/>
      <c r="D14" s="374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AA14" s="606">
        <f t="shared" si="1"/>
        <v>0</v>
      </c>
      <c r="AB14" s="607">
        <f t="shared" si="2"/>
        <v>0</v>
      </c>
    </row>
    <row r="15" spans="1:28">
      <c r="A15" s="377" t="s">
        <v>8</v>
      </c>
      <c r="B15" s="374"/>
      <c r="C15" s="374"/>
      <c r="D15" s="104">
        <v>1</v>
      </c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AA15" s="606">
        <f t="shared" si="1"/>
        <v>0</v>
      </c>
      <c r="AB15" s="607">
        <f t="shared" si="2"/>
        <v>0</v>
      </c>
    </row>
    <row r="16" spans="1:28">
      <c r="A16" s="377" t="s">
        <v>12</v>
      </c>
      <c r="B16" s="374"/>
      <c r="C16" s="374"/>
      <c r="D16" s="104">
        <v>1</v>
      </c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AA16" s="606">
        <f t="shared" si="1"/>
        <v>0</v>
      </c>
      <c r="AB16" s="607">
        <f t="shared" si="2"/>
        <v>0</v>
      </c>
    </row>
    <row r="17" spans="1:28">
      <c r="A17" s="377" t="s">
        <v>13</v>
      </c>
      <c r="B17" s="374"/>
      <c r="C17" s="374"/>
      <c r="D17" s="104">
        <v>1</v>
      </c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AA17" s="606">
        <f t="shared" si="1"/>
        <v>0</v>
      </c>
      <c r="AB17" s="607">
        <f t="shared" si="2"/>
        <v>0</v>
      </c>
    </row>
    <row r="18" spans="1:28">
      <c r="A18" s="367"/>
      <c r="B18" s="374"/>
      <c r="C18" s="374"/>
      <c r="D18" s="374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  <c r="U18" s="380"/>
      <c r="V18" s="380"/>
      <c r="W18" s="380"/>
      <c r="X18" s="380"/>
      <c r="Y18" s="380"/>
      <c r="AA18" s="606">
        <f t="shared" si="1"/>
        <v>0</v>
      </c>
      <c r="AB18" s="607">
        <f t="shared" si="2"/>
        <v>0</v>
      </c>
    </row>
    <row r="19" spans="1:28">
      <c r="A19" s="377" t="s">
        <v>14</v>
      </c>
      <c r="B19" s="374"/>
      <c r="C19" s="374"/>
      <c r="D19" s="253">
        <v>1</v>
      </c>
      <c r="E19" s="381">
        <v>0</v>
      </c>
      <c r="F19" s="381">
        <v>0</v>
      </c>
      <c r="G19" s="381">
        <v>0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0</v>
      </c>
      <c r="P19" s="381">
        <v>0</v>
      </c>
      <c r="Q19" s="381">
        <v>0</v>
      </c>
      <c r="R19" s="381">
        <v>0</v>
      </c>
      <c r="S19" s="381">
        <v>0</v>
      </c>
      <c r="T19" s="381">
        <v>0</v>
      </c>
      <c r="U19" s="381">
        <v>0</v>
      </c>
      <c r="V19" s="381">
        <v>0</v>
      </c>
      <c r="W19" s="381">
        <v>0</v>
      </c>
      <c r="X19" s="381">
        <v>0</v>
      </c>
      <c r="Y19" s="381">
        <v>0</v>
      </c>
      <c r="AA19" s="606">
        <f t="shared" si="1"/>
        <v>0</v>
      </c>
      <c r="AB19" s="607">
        <f t="shared" si="2"/>
        <v>0</v>
      </c>
    </row>
    <row r="20" spans="1:28">
      <c r="A20" s="377" t="s">
        <v>15</v>
      </c>
      <c r="B20" s="374"/>
      <c r="C20" s="374"/>
      <c r="D20" s="104"/>
      <c r="E20" s="104">
        <f t="shared" ref="E20:Y20" si="3">SUM(E10:E19)</f>
        <v>3199.6607269632327</v>
      </c>
      <c r="F20" s="104">
        <f t="shared" si="3"/>
        <v>3158.4072749093034</v>
      </c>
      <c r="G20" s="104">
        <f t="shared" si="3"/>
        <v>2951.5538733163239</v>
      </c>
      <c r="H20" s="104">
        <f t="shared" si="3"/>
        <v>3018.3687686443418</v>
      </c>
      <c r="I20" s="104">
        <f t="shared" si="3"/>
        <v>3071.7202623478584</v>
      </c>
      <c r="J20" s="104">
        <f t="shared" si="3"/>
        <v>3146.3392341802728</v>
      </c>
      <c r="K20" s="104">
        <f t="shared" si="3"/>
        <v>3213.9761347318235</v>
      </c>
      <c r="L20" s="104">
        <f t="shared" si="3"/>
        <v>3283.983587598771</v>
      </c>
      <c r="M20" s="104">
        <f t="shared" si="3"/>
        <v>3375.1687694789116</v>
      </c>
      <c r="N20" s="104">
        <f t="shared" si="3"/>
        <v>3443.7597013838831</v>
      </c>
      <c r="O20" s="104">
        <f t="shared" si="3"/>
        <v>3515.1664205881461</v>
      </c>
      <c r="P20" s="104">
        <f t="shared" si="3"/>
        <v>3588.4142888006782</v>
      </c>
      <c r="Q20" s="104">
        <f t="shared" si="3"/>
        <v>3695.125118020208</v>
      </c>
      <c r="R20" s="104">
        <f t="shared" si="3"/>
        <v>3750.8182560327214</v>
      </c>
      <c r="S20" s="104">
        <f t="shared" si="3"/>
        <v>3808.3042721400816</v>
      </c>
      <c r="T20" s="104">
        <f t="shared" si="3"/>
        <v>3866.5903544171624</v>
      </c>
      <c r="U20" s="104">
        <f t="shared" si="3"/>
        <v>3926.6804787134133</v>
      </c>
      <c r="V20" s="104">
        <f t="shared" si="3"/>
        <v>0</v>
      </c>
      <c r="W20" s="104">
        <f t="shared" si="3"/>
        <v>0</v>
      </c>
      <c r="X20" s="104">
        <f t="shared" si="3"/>
        <v>0</v>
      </c>
      <c r="Y20" s="104">
        <f t="shared" si="3"/>
        <v>0</v>
      </c>
      <c r="AA20" s="606">
        <f t="shared" si="1"/>
        <v>54814.376795303891</v>
      </c>
      <c r="AB20" s="607">
        <f t="shared" si="2"/>
        <v>27407.188397651946</v>
      </c>
    </row>
    <row r="21" spans="1:28">
      <c r="A21" s="377"/>
      <c r="AA21" s="606">
        <f t="shared" si="1"/>
        <v>0</v>
      </c>
      <c r="AB21" s="607">
        <f t="shared" si="2"/>
        <v>0</v>
      </c>
    </row>
    <row r="22" spans="1:28" ht="12" customHeight="1">
      <c r="D22" s="104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382"/>
      <c r="Q22" s="382"/>
      <c r="R22" s="382"/>
      <c r="S22" s="382"/>
      <c r="T22" s="382"/>
      <c r="U22" s="382"/>
      <c r="V22" s="382"/>
      <c r="W22" s="382"/>
      <c r="X22" s="382"/>
      <c r="Y22" s="382"/>
      <c r="AA22" s="606">
        <f t="shared" si="1"/>
        <v>0</v>
      </c>
      <c r="AB22" s="607">
        <f t="shared" si="2"/>
        <v>0</v>
      </c>
    </row>
    <row r="23" spans="1:28">
      <c r="A23" s="368" t="s">
        <v>16</v>
      </c>
      <c r="D23" s="104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382"/>
      <c r="Q23" s="382"/>
      <c r="R23" s="382"/>
      <c r="S23" s="382"/>
      <c r="T23" s="382"/>
      <c r="U23" s="382"/>
      <c r="V23" s="382"/>
      <c r="W23" s="382"/>
      <c r="X23" s="382"/>
      <c r="Y23" s="382"/>
      <c r="AA23" s="606">
        <f t="shared" si="1"/>
        <v>0</v>
      </c>
      <c r="AB23" s="607">
        <f t="shared" si="2"/>
        <v>0</v>
      </c>
    </row>
    <row r="24" spans="1:28">
      <c r="A24" s="377" t="s">
        <v>45</v>
      </c>
      <c r="D24" s="104">
        <v>0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AA24" s="606">
        <f t="shared" si="1"/>
        <v>0</v>
      </c>
      <c r="AB24" s="607">
        <f t="shared" si="2"/>
        <v>0</v>
      </c>
    </row>
    <row r="25" spans="1:28">
      <c r="A25" s="377" t="s">
        <v>1</v>
      </c>
      <c r="D25" s="104">
        <v>0</v>
      </c>
      <c r="E25" s="378">
        <f>[30]Financials!H$27</f>
        <v>1823.2836077496688</v>
      </c>
      <c r="F25" s="378">
        <f>[30]Financials!I$27</f>
        <v>1798.5163995160199</v>
      </c>
      <c r="G25" s="378">
        <f>[30]Financials!J$27</f>
        <v>1818.4569545385643</v>
      </c>
      <c r="H25" s="378">
        <f>[30]Financials!K$27</f>
        <v>1866.6436598296154</v>
      </c>
      <c r="I25" s="378">
        <f>[30]Financials!L$27</f>
        <v>1914.1457260423892</v>
      </c>
      <c r="J25" s="378">
        <f>[30]Financials!M$27</f>
        <v>1964.8157080052229</v>
      </c>
      <c r="K25" s="378">
        <f>[30]Financials!N$27</f>
        <v>2015.9952078975898</v>
      </c>
      <c r="L25" s="378">
        <f>[30]Financials!O$27</f>
        <v>2068.6535442794529</v>
      </c>
      <c r="M25" s="378">
        <f>[30]Financials!P$27</f>
        <v>2125.2749521916589</v>
      </c>
      <c r="N25" s="378">
        <f>[30]Financials!Q$27</f>
        <v>2180.9810259235637</v>
      </c>
      <c r="O25" s="378">
        <f>[30]Financials!R$27</f>
        <v>2238.3511014229989</v>
      </c>
      <c r="P25" s="378">
        <f>[30]Financials!S$27</f>
        <v>2297.3271472090551</v>
      </c>
      <c r="Q25" s="378">
        <f>[30]Financials!T$27</f>
        <v>2361.746798172429</v>
      </c>
      <c r="R25" s="378">
        <f>[30]Financials!U$27</f>
        <v>2422.6050170401118</v>
      </c>
      <c r="S25" s="378">
        <f>[30]Financials!V$27</f>
        <v>2485.2273348130416</v>
      </c>
      <c r="T25" s="378">
        <f>[30]Financials!W$27</f>
        <v>2549.5602358669662</v>
      </c>
      <c r="U25" s="378">
        <f>[30]Financials!X$27</f>
        <v>2615.7512125237104</v>
      </c>
      <c r="V25" s="378">
        <f>[30]Financials!Y$27</f>
        <v>0</v>
      </c>
      <c r="W25" s="378">
        <f>[30]Financials!Z$27</f>
        <v>0</v>
      </c>
      <c r="X25" s="378">
        <f>[30]Financials!AA$27</f>
        <v>0</v>
      </c>
      <c r="Y25" s="378">
        <f>[30]Financials!AB$27</f>
        <v>0</v>
      </c>
      <c r="AA25" s="606">
        <f t="shared" si="1"/>
        <v>34724.052025272387</v>
      </c>
      <c r="AB25" s="607">
        <f t="shared" si="2"/>
        <v>17362.026012636194</v>
      </c>
    </row>
    <row r="26" spans="1:28">
      <c r="A26" s="377" t="s">
        <v>18</v>
      </c>
      <c r="D26" s="104">
        <v>0</v>
      </c>
      <c r="E26" s="378"/>
      <c r="F26" s="378"/>
      <c r="G26" s="378"/>
      <c r="H26" s="378"/>
      <c r="I26" s="378"/>
      <c r="J26" s="378"/>
      <c r="K26" s="378"/>
      <c r="L26" s="378"/>
      <c r="M26" s="378"/>
      <c r="N26" s="378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AA26" s="606">
        <f t="shared" si="1"/>
        <v>0</v>
      </c>
      <c r="AB26" s="607">
        <f t="shared" si="2"/>
        <v>0</v>
      </c>
    </row>
    <row r="27" spans="1:28">
      <c r="A27" s="377" t="s">
        <v>46</v>
      </c>
      <c r="D27" s="104">
        <v>0</v>
      </c>
      <c r="E27" s="378"/>
      <c r="F27" s="378"/>
      <c r="G27" s="378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AA27" s="606">
        <f t="shared" si="1"/>
        <v>0</v>
      </c>
      <c r="AB27" s="607">
        <f t="shared" si="2"/>
        <v>0</v>
      </c>
    </row>
    <row r="28" spans="1:28">
      <c r="A28" s="377" t="s">
        <v>3</v>
      </c>
      <c r="D28" s="104">
        <v>0</v>
      </c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AA28" s="606">
        <f t="shared" si="1"/>
        <v>0</v>
      </c>
      <c r="AB28" s="607">
        <f t="shared" si="2"/>
        <v>0</v>
      </c>
    </row>
    <row r="29" spans="1:28">
      <c r="A29" s="377" t="s">
        <v>4</v>
      </c>
      <c r="D29" s="104">
        <v>0</v>
      </c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AA29" s="606">
        <f t="shared" si="1"/>
        <v>0</v>
      </c>
      <c r="AB29" s="607">
        <f t="shared" si="2"/>
        <v>0</v>
      </c>
    </row>
    <row r="30" spans="1:28">
      <c r="A30" s="377" t="s">
        <v>47</v>
      </c>
      <c r="D30" s="104">
        <v>0</v>
      </c>
      <c r="E30" s="378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AA30" s="606">
        <f t="shared" si="1"/>
        <v>0</v>
      </c>
      <c r="AB30" s="607">
        <f t="shared" si="2"/>
        <v>0</v>
      </c>
    </row>
    <row r="31" spans="1:28">
      <c r="A31" s="377" t="s">
        <v>37</v>
      </c>
      <c r="D31" s="104">
        <v>0</v>
      </c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AA31" s="606">
        <f t="shared" si="1"/>
        <v>0</v>
      </c>
      <c r="AB31" s="607">
        <f t="shared" si="2"/>
        <v>0</v>
      </c>
    </row>
    <row r="32" spans="1:28">
      <c r="A32" s="377" t="s">
        <v>38</v>
      </c>
      <c r="D32" s="104">
        <v>0</v>
      </c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AA32" s="606">
        <f t="shared" si="1"/>
        <v>0</v>
      </c>
      <c r="AB32" s="607">
        <f t="shared" si="2"/>
        <v>0</v>
      </c>
    </row>
    <row r="33" spans="1:28">
      <c r="A33" s="377" t="s">
        <v>19</v>
      </c>
      <c r="D33" s="104">
        <v>0</v>
      </c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AA33" s="606">
        <f t="shared" si="1"/>
        <v>0</v>
      </c>
      <c r="AB33" s="607">
        <f t="shared" si="2"/>
        <v>0</v>
      </c>
    </row>
    <row r="34" spans="1:28">
      <c r="A34" s="377" t="s">
        <v>20</v>
      </c>
      <c r="D34" s="104">
        <v>0</v>
      </c>
      <c r="E34" s="378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8"/>
      <c r="Y34" s="378"/>
      <c r="AA34" s="606">
        <f t="shared" si="1"/>
        <v>0</v>
      </c>
      <c r="AB34" s="607">
        <f t="shared" si="2"/>
        <v>0</v>
      </c>
    </row>
    <row r="35" spans="1:28">
      <c r="A35" s="377" t="s">
        <v>21</v>
      </c>
      <c r="B35" s="367"/>
      <c r="C35" s="367"/>
      <c r="D35" s="253">
        <v>0</v>
      </c>
      <c r="E35" s="381"/>
      <c r="F35" s="381"/>
      <c r="G35" s="381"/>
      <c r="H35" s="381"/>
      <c r="I35" s="381"/>
      <c r="J35" s="381"/>
      <c r="K35" s="381"/>
      <c r="L35" s="381"/>
      <c r="M35" s="381"/>
      <c r="N35" s="381"/>
      <c r="O35" s="381"/>
      <c r="P35" s="381"/>
      <c r="Q35" s="381"/>
      <c r="R35" s="381"/>
      <c r="S35" s="381"/>
      <c r="T35" s="381"/>
      <c r="U35" s="381"/>
      <c r="V35" s="381"/>
      <c r="W35" s="381"/>
      <c r="X35" s="381"/>
      <c r="Y35" s="381"/>
      <c r="AA35" s="606">
        <f t="shared" si="1"/>
        <v>0</v>
      </c>
      <c r="AB35" s="607">
        <f t="shared" si="2"/>
        <v>0</v>
      </c>
    </row>
    <row r="36" spans="1:28">
      <c r="A36" s="377" t="s">
        <v>22</v>
      </c>
      <c r="B36" s="367"/>
      <c r="C36" s="367"/>
      <c r="D36" s="104"/>
      <c r="E36" s="104">
        <f t="shared" ref="E36:Y36" si="4">SUM(E24:E35)</f>
        <v>1823.2836077496688</v>
      </c>
      <c r="F36" s="104">
        <f t="shared" si="4"/>
        <v>1798.5163995160199</v>
      </c>
      <c r="G36" s="104">
        <f t="shared" si="4"/>
        <v>1818.4569545385643</v>
      </c>
      <c r="H36" s="104">
        <f t="shared" si="4"/>
        <v>1866.6436598296154</v>
      </c>
      <c r="I36" s="104">
        <f t="shared" si="4"/>
        <v>1914.1457260423892</v>
      </c>
      <c r="J36" s="104">
        <f t="shared" si="4"/>
        <v>1964.8157080052229</v>
      </c>
      <c r="K36" s="104">
        <f t="shared" si="4"/>
        <v>2015.9952078975898</v>
      </c>
      <c r="L36" s="104">
        <f t="shared" si="4"/>
        <v>2068.6535442794529</v>
      </c>
      <c r="M36" s="104">
        <f t="shared" si="4"/>
        <v>2125.2749521916589</v>
      </c>
      <c r="N36" s="104">
        <f t="shared" si="4"/>
        <v>2180.9810259235637</v>
      </c>
      <c r="O36" s="104">
        <f t="shared" si="4"/>
        <v>2238.3511014229989</v>
      </c>
      <c r="P36" s="104">
        <f t="shared" si="4"/>
        <v>2297.3271472090551</v>
      </c>
      <c r="Q36" s="104">
        <f t="shared" si="4"/>
        <v>2361.746798172429</v>
      </c>
      <c r="R36" s="104">
        <f t="shared" si="4"/>
        <v>2422.6050170401118</v>
      </c>
      <c r="S36" s="104">
        <f t="shared" si="4"/>
        <v>2485.2273348130416</v>
      </c>
      <c r="T36" s="104">
        <f t="shared" si="4"/>
        <v>2549.5602358669662</v>
      </c>
      <c r="U36" s="104">
        <f t="shared" si="4"/>
        <v>2615.7512125237104</v>
      </c>
      <c r="V36" s="104">
        <f t="shared" si="4"/>
        <v>0</v>
      </c>
      <c r="W36" s="104">
        <f t="shared" si="4"/>
        <v>0</v>
      </c>
      <c r="X36" s="104">
        <f t="shared" si="4"/>
        <v>0</v>
      </c>
      <c r="Y36" s="104">
        <f t="shared" si="4"/>
        <v>0</v>
      </c>
      <c r="AA36" s="606">
        <f t="shared" si="1"/>
        <v>34724.052025272387</v>
      </c>
      <c r="AB36" s="607">
        <f t="shared" si="2"/>
        <v>17362.026012636194</v>
      </c>
    </row>
    <row r="37" spans="1:28" outlineLevel="1">
      <c r="A37" s="377"/>
      <c r="B37" s="383"/>
      <c r="C37" s="383"/>
      <c r="D37" s="104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382"/>
      <c r="Q37" s="382"/>
      <c r="R37" s="382"/>
      <c r="S37" s="382"/>
      <c r="T37" s="382"/>
      <c r="U37" s="382"/>
      <c r="V37" s="382"/>
      <c r="W37" s="382"/>
      <c r="X37" s="382"/>
      <c r="Y37" s="382"/>
      <c r="AA37" s="606">
        <f t="shared" si="1"/>
        <v>0</v>
      </c>
      <c r="AB37" s="607">
        <f t="shared" si="2"/>
        <v>0</v>
      </c>
    </row>
    <row r="38" spans="1:28" ht="6.75" customHeight="1">
      <c r="A38" s="377"/>
      <c r="D38" s="104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382"/>
      <c r="Q38" s="382"/>
      <c r="R38" s="382"/>
      <c r="S38" s="382"/>
      <c r="T38" s="382"/>
      <c r="U38" s="382"/>
      <c r="V38" s="382"/>
      <c r="W38" s="382"/>
      <c r="X38" s="382"/>
      <c r="Y38" s="382"/>
      <c r="AA38" s="606">
        <f t="shared" si="1"/>
        <v>0</v>
      </c>
      <c r="AB38" s="607">
        <f t="shared" si="2"/>
        <v>0</v>
      </c>
    </row>
    <row r="39" spans="1:28" s="385" customFormat="1">
      <c r="A39" s="368" t="s">
        <v>23</v>
      </c>
      <c r="B39" s="368"/>
      <c r="C39" s="368"/>
      <c r="D39" s="384"/>
      <c r="E39" s="384">
        <f t="shared" ref="E39:Y39" si="5">E20-E36</f>
        <v>1376.3771192135639</v>
      </c>
      <c r="F39" s="384">
        <f t="shared" si="5"/>
        <v>1359.8908753932835</v>
      </c>
      <c r="G39" s="384">
        <f t="shared" si="5"/>
        <v>1133.0969187777596</v>
      </c>
      <c r="H39" s="384">
        <f t="shared" si="5"/>
        <v>1151.7251088147264</v>
      </c>
      <c r="I39" s="384">
        <f t="shared" si="5"/>
        <v>1157.5745363054691</v>
      </c>
      <c r="J39" s="384">
        <f t="shared" si="5"/>
        <v>1181.5235261750499</v>
      </c>
      <c r="K39" s="384">
        <f t="shared" si="5"/>
        <v>1197.9809268342337</v>
      </c>
      <c r="L39" s="384">
        <f t="shared" si="5"/>
        <v>1215.3300433193181</v>
      </c>
      <c r="M39" s="384">
        <f t="shared" si="5"/>
        <v>1249.8938172872527</v>
      </c>
      <c r="N39" s="384">
        <f t="shared" si="5"/>
        <v>1262.7786754603194</v>
      </c>
      <c r="O39" s="384">
        <f t="shared" si="5"/>
        <v>1276.8153191651472</v>
      </c>
      <c r="P39" s="384">
        <f t="shared" si="5"/>
        <v>1291.0871415916231</v>
      </c>
      <c r="Q39" s="384">
        <f t="shared" si="5"/>
        <v>1333.378319847779</v>
      </c>
      <c r="R39" s="384">
        <f t="shared" si="5"/>
        <v>1328.2132389926096</v>
      </c>
      <c r="S39" s="384">
        <f t="shared" si="5"/>
        <v>1323.07693732704</v>
      </c>
      <c r="T39" s="384">
        <f t="shared" si="5"/>
        <v>1317.0301185501962</v>
      </c>
      <c r="U39" s="384">
        <f t="shared" si="5"/>
        <v>1310.929266189703</v>
      </c>
      <c r="V39" s="384">
        <f t="shared" si="5"/>
        <v>0</v>
      </c>
      <c r="W39" s="384">
        <f t="shared" si="5"/>
        <v>0</v>
      </c>
      <c r="X39" s="384">
        <f t="shared" si="5"/>
        <v>0</v>
      </c>
      <c r="Y39" s="384">
        <f t="shared" si="5"/>
        <v>0</v>
      </c>
      <c r="AA39" s="606">
        <f>SUM(F39:Y39)</f>
        <v>20090.324770031508</v>
      </c>
      <c r="AB39" s="607">
        <f t="shared" si="2"/>
        <v>10045.162385015754</v>
      </c>
    </row>
    <row r="40" spans="1:28" s="385" customFormat="1">
      <c r="A40" s="368"/>
      <c r="B40" s="368"/>
      <c r="C40" s="368"/>
      <c r="D40" s="384"/>
      <c r="E40" s="384"/>
      <c r="F40" s="384"/>
      <c r="G40" s="386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384"/>
      <c r="U40" s="384"/>
      <c r="V40" s="384"/>
      <c r="W40" s="384"/>
      <c r="X40" s="384"/>
      <c r="Y40" s="384"/>
      <c r="AA40" s="606">
        <f t="shared" ref="AA40:AA103" si="6">SUM(F40:Y40)</f>
        <v>0</v>
      </c>
      <c r="AB40" s="607">
        <f t="shared" si="2"/>
        <v>0</v>
      </c>
    </row>
    <row r="41" spans="1:28">
      <c r="A41" s="377" t="s">
        <v>24</v>
      </c>
      <c r="D41" s="104"/>
      <c r="E41" s="104">
        <v>0</v>
      </c>
      <c r="F41" s="104">
        <f>+F109</f>
        <v>371</v>
      </c>
      <c r="G41" s="104">
        <f t="shared" ref="G41:Y41" si="7">+G109</f>
        <v>371</v>
      </c>
      <c r="H41" s="104">
        <f t="shared" si="7"/>
        <v>371</v>
      </c>
      <c r="I41" s="104">
        <f t="shared" si="7"/>
        <v>371</v>
      </c>
      <c r="J41" s="104">
        <f t="shared" si="7"/>
        <v>371</v>
      </c>
      <c r="K41" s="104">
        <f t="shared" si="7"/>
        <v>371</v>
      </c>
      <c r="L41" s="104">
        <f t="shared" si="7"/>
        <v>371</v>
      </c>
      <c r="M41" s="104">
        <f t="shared" si="7"/>
        <v>371</v>
      </c>
      <c r="N41" s="104">
        <f t="shared" si="7"/>
        <v>371</v>
      </c>
      <c r="O41" s="104">
        <f t="shared" si="7"/>
        <v>371</v>
      </c>
      <c r="P41" s="104">
        <f t="shared" si="7"/>
        <v>371</v>
      </c>
      <c r="Q41" s="104">
        <f t="shared" si="7"/>
        <v>371</v>
      </c>
      <c r="R41" s="104">
        <f t="shared" si="7"/>
        <v>371</v>
      </c>
      <c r="S41" s="104">
        <f t="shared" si="7"/>
        <v>371</v>
      </c>
      <c r="T41" s="104">
        <f t="shared" si="7"/>
        <v>371</v>
      </c>
      <c r="U41" s="104">
        <f t="shared" si="7"/>
        <v>371</v>
      </c>
      <c r="V41" s="104">
        <f t="shared" si="7"/>
        <v>0</v>
      </c>
      <c r="W41" s="104">
        <f t="shared" si="7"/>
        <v>0</v>
      </c>
      <c r="X41" s="104">
        <f t="shared" si="7"/>
        <v>0</v>
      </c>
      <c r="Y41" s="104">
        <f t="shared" si="7"/>
        <v>0</v>
      </c>
      <c r="AA41" s="606">
        <f t="shared" si="6"/>
        <v>5936</v>
      </c>
      <c r="AB41" s="607">
        <f t="shared" si="2"/>
        <v>2968</v>
      </c>
    </row>
    <row r="42" spans="1:28">
      <c r="A42" s="377"/>
      <c r="D42" s="104"/>
      <c r="E42" s="104"/>
      <c r="F42" s="104"/>
      <c r="G42" s="387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AA42" s="606">
        <f t="shared" si="6"/>
        <v>0</v>
      </c>
      <c r="AB42" s="607">
        <f t="shared" si="2"/>
        <v>0</v>
      </c>
    </row>
    <row r="43" spans="1:28" ht="7.5" customHeight="1">
      <c r="A43" s="377"/>
      <c r="D43" s="104"/>
      <c r="E43" s="104"/>
      <c r="F43" s="104"/>
      <c r="G43" s="387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AA43" s="606">
        <f t="shared" si="6"/>
        <v>0</v>
      </c>
      <c r="AB43" s="607">
        <f t="shared" si="2"/>
        <v>0</v>
      </c>
    </row>
    <row r="44" spans="1:28" s="385" customFormat="1">
      <c r="A44" s="368" t="s">
        <v>25</v>
      </c>
      <c r="B44" s="368"/>
      <c r="C44" s="368"/>
      <c r="D44" s="384"/>
      <c r="E44" s="384">
        <f t="shared" ref="E44:Y44" si="8">E39-E41</f>
        <v>1376.3771192135639</v>
      </c>
      <c r="F44" s="384">
        <f t="shared" si="8"/>
        <v>988.89087539328352</v>
      </c>
      <c r="G44" s="384">
        <f t="shared" si="8"/>
        <v>762.09691877775958</v>
      </c>
      <c r="H44" s="384">
        <f t="shared" si="8"/>
        <v>780.72510881472635</v>
      </c>
      <c r="I44" s="384">
        <f t="shared" si="8"/>
        <v>786.57453630546911</v>
      </c>
      <c r="J44" s="384">
        <f t="shared" si="8"/>
        <v>810.52352617504994</v>
      </c>
      <c r="K44" s="384">
        <f t="shared" si="8"/>
        <v>826.98092683423374</v>
      </c>
      <c r="L44" s="384">
        <f t="shared" si="8"/>
        <v>844.33004331931807</v>
      </c>
      <c r="M44" s="384">
        <f t="shared" si="8"/>
        <v>878.89381728725266</v>
      </c>
      <c r="N44" s="384">
        <f t="shared" si="8"/>
        <v>891.77867546031939</v>
      </c>
      <c r="O44" s="384">
        <f t="shared" si="8"/>
        <v>905.81531916514723</v>
      </c>
      <c r="P44" s="384">
        <f t="shared" si="8"/>
        <v>920.08714159162309</v>
      </c>
      <c r="Q44" s="384">
        <f t="shared" si="8"/>
        <v>962.37831984777904</v>
      </c>
      <c r="R44" s="384">
        <f t="shared" si="8"/>
        <v>957.2132389926096</v>
      </c>
      <c r="S44" s="384">
        <f t="shared" si="8"/>
        <v>952.07693732704001</v>
      </c>
      <c r="T44" s="384">
        <f t="shared" si="8"/>
        <v>946.03011855019622</v>
      </c>
      <c r="U44" s="384">
        <f t="shared" si="8"/>
        <v>939.92926618970296</v>
      </c>
      <c r="V44" s="384">
        <f t="shared" si="8"/>
        <v>0</v>
      </c>
      <c r="W44" s="384">
        <f t="shared" si="8"/>
        <v>0</v>
      </c>
      <c r="X44" s="384">
        <f t="shared" si="8"/>
        <v>0</v>
      </c>
      <c r="Y44" s="384">
        <f t="shared" si="8"/>
        <v>0</v>
      </c>
      <c r="AA44" s="606">
        <f t="shared" si="6"/>
        <v>14154.324770031513</v>
      </c>
      <c r="AB44" s="607">
        <f t="shared" si="2"/>
        <v>7077.1623850157566</v>
      </c>
    </row>
    <row r="45" spans="1:28" s="385" customFormat="1">
      <c r="A45" s="368"/>
      <c r="B45" s="368"/>
      <c r="C45" s="368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AA45" s="606">
        <f t="shared" si="6"/>
        <v>0</v>
      </c>
      <c r="AB45" s="607">
        <f t="shared" si="2"/>
        <v>0</v>
      </c>
    </row>
    <row r="46" spans="1:28">
      <c r="A46" s="252" t="s">
        <v>26</v>
      </c>
      <c r="B46" s="388"/>
      <c r="C46" s="388"/>
      <c r="D46" s="104"/>
      <c r="E46" s="378">
        <v>0</v>
      </c>
      <c r="F46" s="378">
        <v>0</v>
      </c>
      <c r="G46" s="378">
        <v>0</v>
      </c>
      <c r="H46" s="378">
        <v>0</v>
      </c>
      <c r="I46" s="378">
        <v>0</v>
      </c>
      <c r="J46" s="378">
        <v>0</v>
      </c>
      <c r="K46" s="378">
        <v>0</v>
      </c>
      <c r="L46" s="378">
        <v>0</v>
      </c>
      <c r="M46" s="378">
        <v>0</v>
      </c>
      <c r="N46" s="378">
        <v>0</v>
      </c>
      <c r="O46" s="378">
        <v>0</v>
      </c>
      <c r="P46" s="378">
        <v>0</v>
      </c>
      <c r="Q46" s="378">
        <v>0</v>
      </c>
      <c r="R46" s="378">
        <v>0</v>
      </c>
      <c r="S46" s="378">
        <v>0</v>
      </c>
      <c r="T46" s="378">
        <v>0</v>
      </c>
      <c r="U46" s="378">
        <v>0</v>
      </c>
      <c r="V46" s="378">
        <v>0</v>
      </c>
      <c r="W46" s="378">
        <v>0</v>
      </c>
      <c r="X46" s="378">
        <v>0</v>
      </c>
      <c r="Y46" s="37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104"/>
      <c r="E47" s="382"/>
      <c r="F47" s="382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AA47" s="606">
        <f t="shared" si="6"/>
        <v>0</v>
      </c>
      <c r="AB47" s="607">
        <f t="shared" si="2"/>
        <v>0</v>
      </c>
    </row>
    <row r="48" spans="1:28" ht="6" customHeight="1">
      <c r="D48" s="104"/>
      <c r="E48" s="382"/>
      <c r="F48" s="382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AA48" s="606">
        <f t="shared" si="6"/>
        <v>0</v>
      </c>
      <c r="AB48" s="607">
        <f t="shared" si="2"/>
        <v>0</v>
      </c>
    </row>
    <row r="49" spans="1:28" s="385" customFormat="1">
      <c r="A49" s="368" t="s">
        <v>27</v>
      </c>
      <c r="B49" s="368"/>
      <c r="D49" s="384"/>
      <c r="E49" s="384">
        <f t="shared" ref="E49:Y49" si="9">E44-E46</f>
        <v>1376.3771192135639</v>
      </c>
      <c r="F49" s="384">
        <f t="shared" si="9"/>
        <v>988.89087539328352</v>
      </c>
      <c r="G49" s="384">
        <f t="shared" si="9"/>
        <v>762.09691877775958</v>
      </c>
      <c r="H49" s="384">
        <f t="shared" si="9"/>
        <v>780.72510881472635</v>
      </c>
      <c r="I49" s="384">
        <f t="shared" si="9"/>
        <v>786.57453630546911</v>
      </c>
      <c r="J49" s="384">
        <f t="shared" si="9"/>
        <v>810.52352617504994</v>
      </c>
      <c r="K49" s="384">
        <f t="shared" si="9"/>
        <v>826.98092683423374</v>
      </c>
      <c r="L49" s="384">
        <f t="shared" si="9"/>
        <v>844.33004331931807</v>
      </c>
      <c r="M49" s="384">
        <f t="shared" si="9"/>
        <v>878.89381728725266</v>
      </c>
      <c r="N49" s="384">
        <f t="shared" si="9"/>
        <v>891.77867546031939</v>
      </c>
      <c r="O49" s="384">
        <f t="shared" si="9"/>
        <v>905.81531916514723</v>
      </c>
      <c r="P49" s="384">
        <f t="shared" si="9"/>
        <v>920.08714159162309</v>
      </c>
      <c r="Q49" s="384">
        <f t="shared" si="9"/>
        <v>962.37831984777904</v>
      </c>
      <c r="R49" s="384">
        <f t="shared" si="9"/>
        <v>957.2132389926096</v>
      </c>
      <c r="S49" s="384">
        <f t="shared" si="9"/>
        <v>952.07693732704001</v>
      </c>
      <c r="T49" s="384">
        <f t="shared" si="9"/>
        <v>946.03011855019622</v>
      </c>
      <c r="U49" s="384">
        <f t="shared" si="9"/>
        <v>939.92926618970296</v>
      </c>
      <c r="V49" s="384">
        <f t="shared" si="9"/>
        <v>0</v>
      </c>
      <c r="W49" s="384">
        <f t="shared" si="9"/>
        <v>0</v>
      </c>
      <c r="X49" s="384">
        <f t="shared" si="9"/>
        <v>0</v>
      </c>
      <c r="Y49" s="384">
        <f t="shared" si="9"/>
        <v>0</v>
      </c>
      <c r="AA49" s="606">
        <f t="shared" si="6"/>
        <v>14154.324770031513</v>
      </c>
      <c r="AB49" s="607">
        <f t="shared" si="2"/>
        <v>7077.1623850157566</v>
      </c>
    </row>
    <row r="50" spans="1:28" s="385" customFormat="1">
      <c r="A50" s="368"/>
      <c r="B50" s="368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AA50" s="606">
        <f t="shared" si="6"/>
        <v>0</v>
      </c>
      <c r="AB50" s="607">
        <f t="shared" si="2"/>
        <v>0</v>
      </c>
    </row>
    <row r="51" spans="1:28">
      <c r="A51" s="377" t="s">
        <v>28</v>
      </c>
      <c r="C51" s="390">
        <v>0.05</v>
      </c>
      <c r="D51" s="104"/>
      <c r="E51" s="104">
        <f t="shared" ref="E51:Y51" si="10">E49*-$C$51</f>
        <v>-68.818855960678192</v>
      </c>
      <c r="F51" s="104">
        <f t="shared" si="10"/>
        <v>-49.444543769664179</v>
      </c>
      <c r="G51" s="387">
        <f t="shared" si="10"/>
        <v>-38.104845938887983</v>
      </c>
      <c r="H51" s="104">
        <f t="shared" si="10"/>
        <v>-39.036255440736319</v>
      </c>
      <c r="I51" s="104">
        <f t="shared" si="10"/>
        <v>-39.328726815273455</v>
      </c>
      <c r="J51" s="104">
        <f t="shared" si="10"/>
        <v>-40.526176308752497</v>
      </c>
      <c r="K51" s="104">
        <f t="shared" si="10"/>
        <v>-41.349046341711691</v>
      </c>
      <c r="L51" s="104">
        <f t="shared" si="10"/>
        <v>-42.216502165965906</v>
      </c>
      <c r="M51" s="104">
        <f t="shared" si="10"/>
        <v>-43.944690864362634</v>
      </c>
      <c r="N51" s="104">
        <f t="shared" si="10"/>
        <v>-44.588933773015974</v>
      </c>
      <c r="O51" s="104">
        <f t="shared" si="10"/>
        <v>-45.290765958257367</v>
      </c>
      <c r="P51" s="104">
        <f t="shared" si="10"/>
        <v>-46.004357079581155</v>
      </c>
      <c r="Q51" s="104">
        <f t="shared" si="10"/>
        <v>-48.118915992388956</v>
      </c>
      <c r="R51" s="104">
        <f t="shared" si="10"/>
        <v>-47.860661949630483</v>
      </c>
      <c r="S51" s="104">
        <f t="shared" si="10"/>
        <v>-47.603846866352001</v>
      </c>
      <c r="T51" s="104">
        <f t="shared" si="10"/>
        <v>-47.301505927509815</v>
      </c>
      <c r="U51" s="104">
        <f t="shared" si="10"/>
        <v>-46.996463309485151</v>
      </c>
      <c r="V51" s="104">
        <f t="shared" si="10"/>
        <v>0</v>
      </c>
      <c r="W51" s="104">
        <f t="shared" si="10"/>
        <v>0</v>
      </c>
      <c r="X51" s="104">
        <f t="shared" si="10"/>
        <v>0</v>
      </c>
      <c r="Y51" s="104">
        <f t="shared" si="10"/>
        <v>0</v>
      </c>
      <c r="AA51" s="606">
        <f t="shared" si="6"/>
        <v>-707.71623850157562</v>
      </c>
      <c r="AB51" s="607">
        <f t="shared" si="2"/>
        <v>-353.85811925078781</v>
      </c>
    </row>
    <row r="52" spans="1:28">
      <c r="A52" s="377" t="s">
        <v>29</v>
      </c>
      <c r="C52" s="391">
        <v>0.35</v>
      </c>
      <c r="D52" s="392"/>
      <c r="E52" s="392">
        <f>((E49+E51)*-$C$52)+E56</f>
        <v>-457.64539213850998</v>
      </c>
      <c r="F52" s="392">
        <f t="shared" ref="F52:Y52" si="11">((F49+F51)*-$C$52)+F56</f>
        <v>-328.80621606826674</v>
      </c>
      <c r="G52" s="392">
        <f t="shared" si="11"/>
        <v>-253.39722549360505</v>
      </c>
      <c r="H52" s="392">
        <f t="shared" si="11"/>
        <v>-259.59109868089649</v>
      </c>
      <c r="I52" s="392">
        <f t="shared" si="11"/>
        <v>-261.53603332156842</v>
      </c>
      <c r="J52" s="392">
        <f t="shared" si="11"/>
        <v>-269.49907245320406</v>
      </c>
      <c r="K52" s="392">
        <f t="shared" si="11"/>
        <v>-274.97115817238273</v>
      </c>
      <c r="L52" s="392">
        <f t="shared" si="11"/>
        <v>-280.73973940367324</v>
      </c>
      <c r="M52" s="392">
        <f t="shared" si="11"/>
        <v>-292.23219424801147</v>
      </c>
      <c r="N52" s="392">
        <f t="shared" si="11"/>
        <v>-296.51640959055618</v>
      </c>
      <c r="O52" s="392">
        <f t="shared" si="11"/>
        <v>-301.18359362241142</v>
      </c>
      <c r="P52" s="392">
        <f t="shared" si="11"/>
        <v>-305.92897457921464</v>
      </c>
      <c r="Q52" s="392">
        <f t="shared" si="11"/>
        <v>-319.99079134938654</v>
      </c>
      <c r="R52" s="392">
        <f t="shared" si="11"/>
        <v>-318.27340196504264</v>
      </c>
      <c r="S52" s="392">
        <f t="shared" si="11"/>
        <v>-316.5655816612408</v>
      </c>
      <c r="T52" s="392">
        <f t="shared" si="11"/>
        <v>-314.55501441794024</v>
      </c>
      <c r="U52" s="392">
        <f t="shared" si="11"/>
        <v>-312.52648100807619</v>
      </c>
      <c r="V52" s="392">
        <f t="shared" si="11"/>
        <v>0</v>
      </c>
      <c r="W52" s="392">
        <f t="shared" si="11"/>
        <v>0</v>
      </c>
      <c r="X52" s="392">
        <f t="shared" si="11"/>
        <v>0</v>
      </c>
      <c r="Y52" s="392">
        <f t="shared" si="11"/>
        <v>0</v>
      </c>
      <c r="AA52" s="606">
        <f t="shared" si="6"/>
        <v>-4706.3129860354766</v>
      </c>
      <c r="AB52" s="607">
        <f t="shared" si="2"/>
        <v>-2353.1564930177383</v>
      </c>
    </row>
    <row r="53" spans="1:28" ht="6" customHeight="1"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AA53" s="606">
        <f t="shared" si="6"/>
        <v>0</v>
      </c>
      <c r="AB53" s="607">
        <f t="shared" si="2"/>
        <v>0</v>
      </c>
    </row>
    <row r="54" spans="1:28" s="385" customFormat="1">
      <c r="A54" s="368" t="s">
        <v>30</v>
      </c>
      <c r="B54" s="368"/>
      <c r="C54" s="368"/>
      <c r="D54" s="384"/>
      <c r="E54" s="384">
        <f t="shared" ref="E54:Y54" si="12">SUM(E49:E52)</f>
        <v>849.91287111437578</v>
      </c>
      <c r="F54" s="384">
        <f t="shared" si="12"/>
        <v>610.64011555535262</v>
      </c>
      <c r="G54" s="384">
        <f t="shared" si="12"/>
        <v>470.5948473452666</v>
      </c>
      <c r="H54" s="384">
        <f t="shared" si="12"/>
        <v>482.09775469309352</v>
      </c>
      <c r="I54" s="384">
        <f t="shared" si="12"/>
        <v>485.70977616862717</v>
      </c>
      <c r="J54" s="384">
        <f t="shared" si="12"/>
        <v>500.49827741309338</v>
      </c>
      <c r="K54" s="384">
        <f t="shared" si="12"/>
        <v>510.66072232013937</v>
      </c>
      <c r="L54" s="384">
        <f t="shared" si="12"/>
        <v>521.37380174967893</v>
      </c>
      <c r="M54" s="384">
        <f t="shared" si="12"/>
        <v>542.71693217487859</v>
      </c>
      <c r="N54" s="384">
        <f t="shared" si="12"/>
        <v>550.67333209674734</v>
      </c>
      <c r="O54" s="384">
        <f t="shared" si="12"/>
        <v>559.34095958447847</v>
      </c>
      <c r="P54" s="384">
        <f t="shared" si="12"/>
        <v>568.15380993282724</v>
      </c>
      <c r="Q54" s="384">
        <f t="shared" si="12"/>
        <v>594.26861250600359</v>
      </c>
      <c r="R54" s="384">
        <f t="shared" si="12"/>
        <v>591.0791750779365</v>
      </c>
      <c r="S54" s="384">
        <f t="shared" si="12"/>
        <v>587.90750879944721</v>
      </c>
      <c r="T54" s="384">
        <f t="shared" si="12"/>
        <v>584.17359820474621</v>
      </c>
      <c r="U54" s="384">
        <f t="shared" si="12"/>
        <v>580.40632187214158</v>
      </c>
      <c r="V54" s="384">
        <f t="shared" si="12"/>
        <v>0</v>
      </c>
      <c r="W54" s="384">
        <f t="shared" si="12"/>
        <v>0</v>
      </c>
      <c r="X54" s="384">
        <f t="shared" si="12"/>
        <v>0</v>
      </c>
      <c r="Y54" s="384">
        <f t="shared" si="12"/>
        <v>0</v>
      </c>
      <c r="AA54" s="606">
        <f t="shared" si="6"/>
        <v>8740.2955454944586</v>
      </c>
      <c r="AB54" s="607">
        <f t="shared" si="2"/>
        <v>4370.1477727472293</v>
      </c>
    </row>
    <row r="55" spans="1:28" outlineLevel="1">
      <c r="B55" s="383"/>
      <c r="C55" s="383"/>
      <c r="E55" s="196"/>
      <c r="F55" s="196"/>
      <c r="G55" s="23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AA55" s="606">
        <f t="shared" si="6"/>
        <v>0</v>
      </c>
      <c r="AB55" s="607">
        <f t="shared" si="2"/>
        <v>0</v>
      </c>
    </row>
    <row r="56" spans="1:28">
      <c r="A56" s="368" t="s">
        <v>236</v>
      </c>
      <c r="E56" s="393">
        <v>0</v>
      </c>
      <c r="F56" s="393">
        <v>0</v>
      </c>
      <c r="G56" s="393">
        <v>0</v>
      </c>
      <c r="H56" s="393">
        <v>0</v>
      </c>
      <c r="I56" s="393">
        <v>0</v>
      </c>
      <c r="J56" s="393">
        <v>0</v>
      </c>
      <c r="K56" s="393">
        <v>0</v>
      </c>
      <c r="L56" s="393">
        <v>0</v>
      </c>
      <c r="M56" s="393">
        <v>0</v>
      </c>
      <c r="N56" s="393">
        <v>0</v>
      </c>
      <c r="O56" s="393">
        <v>0</v>
      </c>
      <c r="P56" s="393">
        <v>0</v>
      </c>
      <c r="Q56" s="393">
        <v>0</v>
      </c>
      <c r="R56" s="393">
        <v>0</v>
      </c>
      <c r="S56" s="393">
        <v>0</v>
      </c>
      <c r="T56" s="393">
        <v>0</v>
      </c>
      <c r="U56" s="393">
        <v>0</v>
      </c>
      <c r="V56" s="393">
        <v>0</v>
      </c>
      <c r="W56" s="393">
        <v>0</v>
      </c>
      <c r="X56" s="393">
        <v>0</v>
      </c>
      <c r="Y56" s="393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394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AA57" s="606">
        <f t="shared" si="6"/>
        <v>0</v>
      </c>
      <c r="AB57" s="607">
        <f t="shared" si="2"/>
        <v>0</v>
      </c>
    </row>
    <row r="58" spans="1:28" ht="15.75" outlineLevel="1">
      <c r="A58" s="366" t="s">
        <v>237</v>
      </c>
      <c r="D58" s="196"/>
      <c r="E58" s="196"/>
      <c r="F58" s="196"/>
      <c r="G58" s="23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AA58" s="606">
        <f t="shared" si="6"/>
        <v>0</v>
      </c>
      <c r="AB58" s="607">
        <f t="shared" si="2"/>
        <v>0</v>
      </c>
    </row>
    <row r="59" spans="1:28" outlineLevel="1">
      <c r="A59" s="368"/>
      <c r="D59" s="196"/>
      <c r="E59" s="196"/>
      <c r="F59" s="196"/>
      <c r="G59" s="23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368" t="s">
        <v>50</v>
      </c>
      <c r="B60" s="395"/>
      <c r="C60" s="396">
        <v>0.5</v>
      </c>
      <c r="D60" s="196"/>
      <c r="E60" s="196"/>
      <c r="F60" s="196"/>
      <c r="G60" s="23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368"/>
      <c r="D61" s="196"/>
      <c r="E61" s="196"/>
      <c r="F61" s="196"/>
      <c r="G61" s="23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AA61" s="606">
        <f t="shared" si="6"/>
        <v>0</v>
      </c>
      <c r="AB61" s="607">
        <f t="shared" si="2"/>
        <v>0</v>
      </c>
    </row>
    <row r="62" spans="1:28" ht="13.5" outlineLevel="1" thickBot="1">
      <c r="A62" s="369" t="s">
        <v>5</v>
      </c>
      <c r="B62" s="397"/>
      <c r="C62" s="397"/>
      <c r="D62" s="370">
        <v>1999</v>
      </c>
      <c r="E62" s="370">
        <f t="shared" ref="E62:Y62" si="13">D62+1</f>
        <v>2000</v>
      </c>
      <c r="F62" s="370">
        <f t="shared" si="13"/>
        <v>2001</v>
      </c>
      <c r="G62" s="370">
        <f t="shared" si="13"/>
        <v>2002</v>
      </c>
      <c r="H62" s="370">
        <f t="shared" si="13"/>
        <v>2003</v>
      </c>
      <c r="I62" s="370">
        <f t="shared" si="13"/>
        <v>2004</v>
      </c>
      <c r="J62" s="370">
        <f t="shared" si="13"/>
        <v>2005</v>
      </c>
      <c r="K62" s="370">
        <f t="shared" si="13"/>
        <v>2006</v>
      </c>
      <c r="L62" s="370">
        <f t="shared" si="13"/>
        <v>2007</v>
      </c>
      <c r="M62" s="370">
        <f t="shared" si="13"/>
        <v>2008</v>
      </c>
      <c r="N62" s="370">
        <f t="shared" si="13"/>
        <v>2009</v>
      </c>
      <c r="O62" s="370">
        <f t="shared" si="13"/>
        <v>2010</v>
      </c>
      <c r="P62" s="370">
        <f t="shared" si="13"/>
        <v>2011</v>
      </c>
      <c r="Q62" s="370">
        <f t="shared" si="13"/>
        <v>2012</v>
      </c>
      <c r="R62" s="370">
        <f t="shared" si="13"/>
        <v>2013</v>
      </c>
      <c r="S62" s="370">
        <f t="shared" si="13"/>
        <v>2014</v>
      </c>
      <c r="T62" s="370">
        <f t="shared" si="13"/>
        <v>2015</v>
      </c>
      <c r="U62" s="370">
        <f t="shared" si="13"/>
        <v>2016</v>
      </c>
      <c r="V62" s="370">
        <f t="shared" si="13"/>
        <v>2017</v>
      </c>
      <c r="W62" s="370">
        <f t="shared" si="13"/>
        <v>2018</v>
      </c>
      <c r="X62" s="370">
        <f t="shared" si="13"/>
        <v>2019</v>
      </c>
      <c r="Y62" s="370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398"/>
      <c r="D63" s="196"/>
      <c r="E63" s="196"/>
      <c r="F63" s="196"/>
      <c r="G63" s="23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AA63" s="606">
        <f t="shared" si="6"/>
        <v>0</v>
      </c>
      <c r="AB63" s="607">
        <f t="shared" si="2"/>
        <v>0</v>
      </c>
    </row>
    <row r="64" spans="1:28" outlineLevel="1">
      <c r="A64" s="394" t="s">
        <v>23</v>
      </c>
      <c r="D64" s="196"/>
      <c r="E64" s="196">
        <f t="shared" ref="E64:Y64" si="14">E39</f>
        <v>1376.3771192135639</v>
      </c>
      <c r="F64" s="196">
        <f t="shared" si="14"/>
        <v>1359.8908753932835</v>
      </c>
      <c r="G64" s="23">
        <f t="shared" si="14"/>
        <v>1133.0969187777596</v>
      </c>
      <c r="H64" s="196">
        <f t="shared" si="14"/>
        <v>1151.7251088147264</v>
      </c>
      <c r="I64" s="196">
        <f t="shared" si="14"/>
        <v>1157.5745363054691</v>
      </c>
      <c r="J64" s="196">
        <f t="shared" si="14"/>
        <v>1181.5235261750499</v>
      </c>
      <c r="K64" s="196">
        <f t="shared" si="14"/>
        <v>1197.9809268342337</v>
      </c>
      <c r="L64" s="196">
        <f t="shared" si="14"/>
        <v>1215.3300433193181</v>
      </c>
      <c r="M64" s="196">
        <f t="shared" si="14"/>
        <v>1249.8938172872527</v>
      </c>
      <c r="N64" s="196">
        <f t="shared" si="14"/>
        <v>1262.7786754603194</v>
      </c>
      <c r="O64" s="196">
        <f t="shared" si="14"/>
        <v>1276.8153191651472</v>
      </c>
      <c r="P64" s="196">
        <f t="shared" si="14"/>
        <v>1291.0871415916231</v>
      </c>
      <c r="Q64" s="196">
        <f t="shared" si="14"/>
        <v>1333.378319847779</v>
      </c>
      <c r="R64" s="196">
        <f t="shared" si="14"/>
        <v>1328.2132389926096</v>
      </c>
      <c r="S64" s="196">
        <f t="shared" si="14"/>
        <v>1323.07693732704</v>
      </c>
      <c r="T64" s="196">
        <f t="shared" si="14"/>
        <v>1317.0301185501962</v>
      </c>
      <c r="U64" s="196">
        <f t="shared" si="14"/>
        <v>1310.929266189703</v>
      </c>
      <c r="V64" s="196">
        <f t="shared" si="14"/>
        <v>0</v>
      </c>
      <c r="W64" s="196">
        <f t="shared" si="14"/>
        <v>0</v>
      </c>
      <c r="X64" s="196">
        <f t="shared" si="14"/>
        <v>0</v>
      </c>
      <c r="Y64" s="196">
        <f t="shared" si="14"/>
        <v>0</v>
      </c>
      <c r="AA64" s="606">
        <f t="shared" si="6"/>
        <v>20090.324770031508</v>
      </c>
      <c r="AB64" s="607">
        <f t="shared" si="2"/>
        <v>10045.162385015754</v>
      </c>
    </row>
    <row r="65" spans="1:28" outlineLevel="1">
      <c r="A65" s="394" t="s">
        <v>32</v>
      </c>
      <c r="D65" s="196"/>
      <c r="E65" s="196">
        <v>0</v>
      </c>
      <c r="F65" s="196">
        <v>0</v>
      </c>
      <c r="G65" s="196">
        <v>0</v>
      </c>
      <c r="H65" s="196">
        <v>0</v>
      </c>
      <c r="I65" s="196">
        <v>0</v>
      </c>
      <c r="J65" s="196">
        <v>0</v>
      </c>
      <c r="K65" s="196">
        <v>0</v>
      </c>
      <c r="L65" s="196">
        <v>0</v>
      </c>
      <c r="M65" s="196">
        <v>0</v>
      </c>
      <c r="N65" s="196">
        <v>0</v>
      </c>
      <c r="O65" s="196">
        <v>0</v>
      </c>
      <c r="P65" s="196">
        <v>0</v>
      </c>
      <c r="Q65" s="196">
        <v>0</v>
      </c>
      <c r="R65" s="196">
        <v>0</v>
      </c>
      <c r="S65" s="196">
        <v>0</v>
      </c>
      <c r="T65" s="196">
        <v>0</v>
      </c>
      <c r="U65" s="196">
        <v>0</v>
      </c>
      <c r="V65" s="196">
        <v>0</v>
      </c>
      <c r="W65" s="196">
        <v>0</v>
      </c>
      <c r="X65" s="196">
        <v>0</v>
      </c>
      <c r="Y65" s="196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394" t="s">
        <v>33</v>
      </c>
      <c r="C66" s="104"/>
      <c r="D66" s="222"/>
      <c r="E66" s="399">
        <v>0</v>
      </c>
      <c r="F66" s="399">
        <v>0</v>
      </c>
      <c r="G66" s="399">
        <v>0</v>
      </c>
      <c r="H66" s="399">
        <v>0</v>
      </c>
      <c r="I66" s="399">
        <v>0</v>
      </c>
      <c r="J66" s="399">
        <v>0</v>
      </c>
      <c r="K66" s="399">
        <v>0</v>
      </c>
      <c r="L66" s="399">
        <v>0</v>
      </c>
      <c r="M66" s="399">
        <v>0</v>
      </c>
      <c r="N66" s="399">
        <v>0</v>
      </c>
      <c r="O66" s="399">
        <v>0</v>
      </c>
      <c r="P66" s="399">
        <v>0</v>
      </c>
      <c r="Q66" s="399">
        <v>0</v>
      </c>
      <c r="R66" s="399">
        <v>0</v>
      </c>
      <c r="S66" s="399">
        <v>0</v>
      </c>
      <c r="T66" s="399">
        <v>0</v>
      </c>
      <c r="U66" s="399">
        <v>0</v>
      </c>
      <c r="V66" s="399">
        <v>0</v>
      </c>
      <c r="W66" s="399">
        <v>0</v>
      </c>
      <c r="X66" s="399">
        <v>0</v>
      </c>
      <c r="Y66" s="399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394"/>
      <c r="D67" s="253"/>
      <c r="E67" s="222">
        <v>0</v>
      </c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AA67" s="606">
        <f t="shared" si="6"/>
        <v>0</v>
      </c>
      <c r="AB67" s="607">
        <f t="shared" si="2"/>
        <v>0</v>
      </c>
    </row>
    <row r="68" spans="1:28" outlineLevel="1">
      <c r="A68" s="394"/>
      <c r="C68" s="400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AA68" s="606">
        <f t="shared" si="6"/>
        <v>0</v>
      </c>
      <c r="AB68" s="607">
        <f t="shared" si="2"/>
        <v>0</v>
      </c>
    </row>
    <row r="69" spans="1:28" s="385" customFormat="1" outlineLevel="1">
      <c r="A69" s="398" t="s">
        <v>34</v>
      </c>
      <c r="B69" s="368"/>
      <c r="C69" s="384"/>
      <c r="D69" s="401"/>
      <c r="E69" s="401">
        <f t="shared" ref="E69:Y69" si="15">SUM(E64:E66)</f>
        <v>1376.3771192135639</v>
      </c>
      <c r="F69" s="401">
        <f t="shared" si="15"/>
        <v>1359.8908753932835</v>
      </c>
      <c r="G69" s="401">
        <f t="shared" si="15"/>
        <v>1133.0969187777596</v>
      </c>
      <c r="H69" s="401">
        <f t="shared" si="15"/>
        <v>1151.7251088147264</v>
      </c>
      <c r="I69" s="401">
        <f t="shared" si="15"/>
        <v>1157.5745363054691</v>
      </c>
      <c r="J69" s="401">
        <f t="shared" si="15"/>
        <v>1181.5235261750499</v>
      </c>
      <c r="K69" s="401">
        <f t="shared" si="15"/>
        <v>1197.9809268342337</v>
      </c>
      <c r="L69" s="401">
        <f t="shared" si="15"/>
        <v>1215.3300433193181</v>
      </c>
      <c r="M69" s="401">
        <f t="shared" si="15"/>
        <v>1249.8938172872527</v>
      </c>
      <c r="N69" s="401">
        <f t="shared" si="15"/>
        <v>1262.7786754603194</v>
      </c>
      <c r="O69" s="401">
        <f t="shared" si="15"/>
        <v>1276.8153191651472</v>
      </c>
      <c r="P69" s="401">
        <f t="shared" si="15"/>
        <v>1291.0871415916231</v>
      </c>
      <c r="Q69" s="401">
        <f t="shared" si="15"/>
        <v>1333.378319847779</v>
      </c>
      <c r="R69" s="401">
        <f t="shared" si="15"/>
        <v>1328.2132389926096</v>
      </c>
      <c r="S69" s="401">
        <f t="shared" si="15"/>
        <v>1323.07693732704</v>
      </c>
      <c r="T69" s="401">
        <f t="shared" si="15"/>
        <v>1317.0301185501962</v>
      </c>
      <c r="U69" s="401">
        <f t="shared" si="15"/>
        <v>1310.929266189703</v>
      </c>
      <c r="V69" s="401">
        <f t="shared" si="15"/>
        <v>0</v>
      </c>
      <c r="W69" s="401">
        <f t="shared" si="15"/>
        <v>0</v>
      </c>
      <c r="X69" s="401">
        <f t="shared" si="15"/>
        <v>0</v>
      </c>
      <c r="Y69" s="401">
        <f t="shared" si="15"/>
        <v>0</v>
      </c>
      <c r="AA69" s="606">
        <f t="shared" si="6"/>
        <v>20090.324770031508</v>
      </c>
      <c r="AB69" s="607">
        <f t="shared" si="2"/>
        <v>10045.162385015754</v>
      </c>
    </row>
    <row r="70" spans="1:28" outlineLevel="1">
      <c r="A70" s="398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AA70" s="606">
        <f t="shared" si="6"/>
        <v>0</v>
      </c>
      <c r="AB70" s="607">
        <f t="shared" si="2"/>
        <v>0</v>
      </c>
    </row>
    <row r="71" spans="1:28" ht="15" outlineLevel="1">
      <c r="A71" s="394" t="s">
        <v>40</v>
      </c>
      <c r="D71" s="222"/>
      <c r="E71" s="222">
        <f>E89</f>
        <v>0</v>
      </c>
      <c r="F71" s="222">
        <f t="shared" ref="F71:Y71" si="16">F89</f>
        <v>331.95741593403795</v>
      </c>
      <c r="G71" s="222">
        <f t="shared" si="16"/>
        <v>929.97550980265726</v>
      </c>
      <c r="H71" s="222">
        <f t="shared" si="16"/>
        <v>377.49619461945736</v>
      </c>
      <c r="I71" s="222">
        <f t="shared" si="16"/>
        <v>48.046369107812112</v>
      </c>
      <c r="J71" s="222">
        <f t="shared" si="16"/>
        <v>38.885880482697445</v>
      </c>
      <c r="K71" s="222">
        <f t="shared" si="16"/>
        <v>-212.81838989176737</v>
      </c>
      <c r="L71" s="222">
        <f t="shared" si="16"/>
        <v>-464.86374156963916</v>
      </c>
      <c r="M71" s="222">
        <f t="shared" si="16"/>
        <v>-478.08438511237409</v>
      </c>
      <c r="N71" s="222">
        <f t="shared" si="16"/>
        <v>-483.01284336357219</v>
      </c>
      <c r="O71" s="222">
        <f t="shared" si="16"/>
        <v>-488.38185958066879</v>
      </c>
      <c r="P71" s="222">
        <f t="shared" si="16"/>
        <v>-493.84083165879582</v>
      </c>
      <c r="Q71" s="222">
        <f t="shared" si="16"/>
        <v>-510.01720734177547</v>
      </c>
      <c r="R71" s="222">
        <f t="shared" si="16"/>
        <v>-508.04156391467313</v>
      </c>
      <c r="S71" s="222">
        <f t="shared" si="16"/>
        <v>-506.07692852759277</v>
      </c>
      <c r="T71" s="222">
        <f t="shared" si="16"/>
        <v>-503.76402034545004</v>
      </c>
      <c r="U71" s="222">
        <f t="shared" si="16"/>
        <v>-501.4304443175613</v>
      </c>
      <c r="V71" s="222">
        <f t="shared" si="16"/>
        <v>0</v>
      </c>
      <c r="W71" s="222">
        <f t="shared" si="16"/>
        <v>0</v>
      </c>
      <c r="X71" s="222">
        <f t="shared" si="16"/>
        <v>0</v>
      </c>
      <c r="Y71" s="222">
        <f t="shared" si="16"/>
        <v>0</v>
      </c>
      <c r="AA71" s="606">
        <f t="shared" si="6"/>
        <v>-3423.9708456772078</v>
      </c>
      <c r="AB71" s="607">
        <f t="shared" si="2"/>
        <v>-1711.9854228386039</v>
      </c>
    </row>
    <row r="72" spans="1:28" outlineLevel="1">
      <c r="A72" s="394"/>
      <c r="D72" s="382"/>
      <c r="E72" s="392"/>
      <c r="F72" s="392"/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AA72" s="606">
        <f t="shared" si="6"/>
        <v>0</v>
      </c>
      <c r="AB72" s="607">
        <f t="shared" si="2"/>
        <v>0</v>
      </c>
    </row>
    <row r="73" spans="1:28" s="385" customFormat="1" outlineLevel="1">
      <c r="A73" s="402" t="s">
        <v>35</v>
      </c>
      <c r="B73" s="368"/>
      <c r="C73" s="368"/>
      <c r="D73" s="403"/>
      <c r="E73" s="403">
        <f t="shared" ref="E73:Y73" si="17">E69+E71</f>
        <v>1376.3771192135639</v>
      </c>
      <c r="F73" s="403">
        <f t="shared" si="17"/>
        <v>1691.8482913273215</v>
      </c>
      <c r="G73" s="403">
        <f t="shared" si="17"/>
        <v>2063.0724285804167</v>
      </c>
      <c r="H73" s="403">
        <f t="shared" si="17"/>
        <v>1529.2213034341837</v>
      </c>
      <c r="I73" s="403">
        <f t="shared" si="17"/>
        <v>1205.6209054132812</v>
      </c>
      <c r="J73" s="403">
        <f t="shared" si="17"/>
        <v>1220.4094066577475</v>
      </c>
      <c r="K73" s="403">
        <f t="shared" si="17"/>
        <v>985.16253694246643</v>
      </c>
      <c r="L73" s="403">
        <f t="shared" si="17"/>
        <v>750.46630174967891</v>
      </c>
      <c r="M73" s="403">
        <f t="shared" si="17"/>
        <v>771.80943217487857</v>
      </c>
      <c r="N73" s="403">
        <f t="shared" si="17"/>
        <v>779.7658320967472</v>
      </c>
      <c r="O73" s="403">
        <f t="shared" si="17"/>
        <v>788.43345958447844</v>
      </c>
      <c r="P73" s="403">
        <f t="shared" si="17"/>
        <v>797.24630993282722</v>
      </c>
      <c r="Q73" s="403">
        <f t="shared" si="17"/>
        <v>823.36111250600356</v>
      </c>
      <c r="R73" s="403">
        <f t="shared" si="17"/>
        <v>820.17167507793647</v>
      </c>
      <c r="S73" s="403">
        <f t="shared" si="17"/>
        <v>817.00000879944719</v>
      </c>
      <c r="T73" s="403">
        <f t="shared" si="17"/>
        <v>813.26609820474619</v>
      </c>
      <c r="U73" s="403">
        <f t="shared" si="17"/>
        <v>809.49882187214166</v>
      </c>
      <c r="V73" s="403">
        <f t="shared" si="17"/>
        <v>0</v>
      </c>
      <c r="W73" s="403">
        <f t="shared" si="17"/>
        <v>0</v>
      </c>
      <c r="X73" s="403">
        <f t="shared" si="17"/>
        <v>0</v>
      </c>
      <c r="Y73" s="403">
        <f t="shared" si="17"/>
        <v>0</v>
      </c>
      <c r="AA73" s="606">
        <f t="shared" si="6"/>
        <v>16666.353924354302</v>
      </c>
      <c r="AB73" s="607">
        <f t="shared" si="2"/>
        <v>8333.1769621771509</v>
      </c>
    </row>
    <row r="74" spans="1:28" outlineLevel="1">
      <c r="A74" s="394"/>
      <c r="D74" s="382"/>
      <c r="E74" s="382"/>
      <c r="F74" s="382"/>
      <c r="G74" s="389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AA74" s="606">
        <f t="shared" si="6"/>
        <v>0</v>
      </c>
      <c r="AB74" s="607">
        <f t="shared" si="2"/>
        <v>0</v>
      </c>
    </row>
    <row r="75" spans="1:28" outlineLevel="1">
      <c r="A75" s="402"/>
      <c r="D75" s="382"/>
      <c r="E75" s="382"/>
      <c r="F75" s="382"/>
      <c r="G75" s="389"/>
      <c r="H75" s="382"/>
      <c r="I75" s="382"/>
      <c r="J75" s="382"/>
      <c r="K75" s="382"/>
      <c r="L75" s="382"/>
      <c r="M75" s="382"/>
      <c r="N75" s="382"/>
      <c r="O75" s="382"/>
      <c r="P75" s="382"/>
      <c r="Q75" s="382"/>
      <c r="R75" s="382"/>
      <c r="S75" s="382"/>
      <c r="T75" s="382"/>
      <c r="U75" s="382"/>
      <c r="V75" s="382"/>
      <c r="W75" s="382"/>
      <c r="X75" s="382"/>
      <c r="Y75" s="382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395"/>
      <c r="C76" s="145">
        <f>+C$60</f>
        <v>0.5</v>
      </c>
      <c r="D76" s="403"/>
      <c r="E76" s="403">
        <f t="shared" ref="E76:Y76" si="19">$C$76*E54</f>
        <v>424.95643555718789</v>
      </c>
      <c r="F76" s="403">
        <f t="shared" si="19"/>
        <v>305.32005777767631</v>
      </c>
      <c r="G76" s="401">
        <f t="shared" si="19"/>
        <v>235.2974236726333</v>
      </c>
      <c r="H76" s="403">
        <f t="shared" si="19"/>
        <v>241.04887734654676</v>
      </c>
      <c r="I76" s="403">
        <f t="shared" si="19"/>
        <v>242.85488808431359</v>
      </c>
      <c r="J76" s="403">
        <f t="shared" si="19"/>
        <v>250.24913870654669</v>
      </c>
      <c r="K76" s="403">
        <f t="shared" si="19"/>
        <v>255.33036116006969</v>
      </c>
      <c r="L76" s="403">
        <f t="shared" si="19"/>
        <v>260.68690087483947</v>
      </c>
      <c r="M76" s="403">
        <f t="shared" si="19"/>
        <v>271.3584660874393</v>
      </c>
      <c r="N76" s="403">
        <f t="shared" si="19"/>
        <v>275.33666604837367</v>
      </c>
      <c r="O76" s="403">
        <f t="shared" si="19"/>
        <v>279.67047979223923</v>
      </c>
      <c r="P76" s="403">
        <f t="shared" si="19"/>
        <v>284.07690496641362</v>
      </c>
      <c r="Q76" s="403">
        <f t="shared" si="19"/>
        <v>297.1343062530018</v>
      </c>
      <c r="R76" s="403">
        <f t="shared" si="19"/>
        <v>295.53958753896825</v>
      </c>
      <c r="S76" s="403">
        <f t="shared" si="19"/>
        <v>293.95375439972361</v>
      </c>
      <c r="T76" s="403">
        <f t="shared" si="19"/>
        <v>292.08679910237311</v>
      </c>
      <c r="U76" s="403">
        <f t="shared" si="19"/>
        <v>290.20316093607079</v>
      </c>
      <c r="V76" s="403">
        <f t="shared" si="19"/>
        <v>0</v>
      </c>
      <c r="W76" s="403">
        <f t="shared" si="19"/>
        <v>0</v>
      </c>
      <c r="X76" s="403">
        <f t="shared" si="19"/>
        <v>0</v>
      </c>
      <c r="Y76" s="403">
        <f t="shared" si="19"/>
        <v>0</v>
      </c>
      <c r="AA76" s="606">
        <f t="shared" si="6"/>
        <v>4370.1477727472293</v>
      </c>
      <c r="AB76" s="607">
        <f>AA76</f>
        <v>4370.1477727472293</v>
      </c>
    </row>
    <row r="77" spans="1:28" outlineLevel="1">
      <c r="A77" s="16" t="s">
        <v>366</v>
      </c>
      <c r="B77" s="395"/>
      <c r="C77" s="145">
        <f>+C60</f>
        <v>0.5</v>
      </c>
      <c r="D77" s="403"/>
      <c r="E77" s="403">
        <f t="shared" ref="E77:Y77" si="20">$C$77*E73</f>
        <v>688.18855960678195</v>
      </c>
      <c r="F77" s="403">
        <f t="shared" si="20"/>
        <v>845.92414566366074</v>
      </c>
      <c r="G77" s="401">
        <f t="shared" si="20"/>
        <v>1031.5362142902084</v>
      </c>
      <c r="H77" s="403">
        <f t="shared" si="20"/>
        <v>764.61065171709186</v>
      </c>
      <c r="I77" s="403">
        <f t="shared" si="20"/>
        <v>602.8104527066406</v>
      </c>
      <c r="J77" s="403">
        <f t="shared" si="20"/>
        <v>610.20470332887373</v>
      </c>
      <c r="K77" s="403">
        <f t="shared" si="20"/>
        <v>492.58126847123322</v>
      </c>
      <c r="L77" s="403">
        <f t="shared" si="20"/>
        <v>375.23315087483945</v>
      </c>
      <c r="M77" s="403">
        <f t="shared" si="20"/>
        <v>385.90471608743928</v>
      </c>
      <c r="N77" s="403">
        <f t="shared" si="20"/>
        <v>389.8829160483736</v>
      </c>
      <c r="O77" s="403">
        <f t="shared" si="20"/>
        <v>394.21672979223922</v>
      </c>
      <c r="P77" s="403">
        <f t="shared" si="20"/>
        <v>398.62315496641361</v>
      </c>
      <c r="Q77" s="403">
        <f t="shared" si="20"/>
        <v>411.68055625300178</v>
      </c>
      <c r="R77" s="403">
        <f t="shared" si="20"/>
        <v>410.08583753896824</v>
      </c>
      <c r="S77" s="403">
        <f t="shared" si="20"/>
        <v>408.50000439972359</v>
      </c>
      <c r="T77" s="403">
        <f t="shared" si="20"/>
        <v>406.63304910237309</v>
      </c>
      <c r="U77" s="403">
        <f t="shared" si="20"/>
        <v>404.74941093607083</v>
      </c>
      <c r="V77" s="403">
        <f t="shared" si="20"/>
        <v>0</v>
      </c>
      <c r="W77" s="403">
        <f t="shared" si="20"/>
        <v>0</v>
      </c>
      <c r="X77" s="403">
        <f t="shared" si="20"/>
        <v>0</v>
      </c>
      <c r="Y77" s="403">
        <f t="shared" si="20"/>
        <v>0</v>
      </c>
      <c r="AA77" s="606">
        <f t="shared" si="6"/>
        <v>8333.1769621771509</v>
      </c>
      <c r="AB77" s="607">
        <f>AA77</f>
        <v>8333.1769621771509</v>
      </c>
    </row>
    <row r="78" spans="1:28" outlineLevel="1">
      <c r="A78" s="402"/>
      <c r="D78" s="196"/>
      <c r="E78" s="196"/>
      <c r="F78" s="196"/>
      <c r="G78" s="23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AA78" s="606">
        <f t="shared" si="6"/>
        <v>0</v>
      </c>
      <c r="AB78" s="607">
        <f t="shared" si="18"/>
        <v>0</v>
      </c>
    </row>
    <row r="79" spans="1:28" outlineLevel="1">
      <c r="A79" s="404"/>
      <c r="D79" s="196"/>
      <c r="E79" s="196"/>
      <c r="F79" s="196"/>
      <c r="G79" s="23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AA79" s="606">
        <f t="shared" si="6"/>
        <v>0</v>
      </c>
      <c r="AB79" s="607">
        <f t="shared" si="18"/>
        <v>0</v>
      </c>
    </row>
    <row r="80" spans="1:28" outlineLevel="1">
      <c r="A80" s="404"/>
      <c r="D80" s="196"/>
      <c r="E80" s="196"/>
      <c r="F80" s="196"/>
      <c r="G80" s="23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AA80" s="606">
        <f t="shared" si="6"/>
        <v>0</v>
      </c>
      <c r="AB80" s="607">
        <f t="shared" si="18"/>
        <v>0</v>
      </c>
    </row>
    <row r="81" spans="1:30" outlineLevel="1">
      <c r="A81" s="404"/>
      <c r="D81" s="196"/>
      <c r="E81" s="196"/>
      <c r="F81" s="196"/>
      <c r="G81" s="23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AA81" s="606">
        <f t="shared" si="6"/>
        <v>0</v>
      </c>
      <c r="AB81" s="607">
        <f t="shared" si="18"/>
        <v>0</v>
      </c>
    </row>
    <row r="82" spans="1:30" outlineLevel="1">
      <c r="A82" s="405"/>
      <c r="B82" s="367"/>
      <c r="C82" s="367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AA82" s="606">
        <f t="shared" si="6"/>
        <v>0</v>
      </c>
      <c r="AB82" s="607">
        <f t="shared" si="18"/>
        <v>0</v>
      </c>
    </row>
    <row r="83" spans="1:30" ht="13.5" outlineLevel="1">
      <c r="A83" s="406"/>
      <c r="B83" s="407"/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23"/>
      <c r="Q83" s="23"/>
      <c r="R83" s="23"/>
      <c r="S83" s="23"/>
      <c r="T83" s="23"/>
      <c r="U83" s="23"/>
      <c r="V83" s="23"/>
      <c r="W83" s="23"/>
      <c r="X83" s="23"/>
      <c r="Y83" s="23"/>
      <c r="AA83" s="606">
        <f t="shared" si="6"/>
        <v>0</v>
      </c>
      <c r="AB83" s="607">
        <f t="shared" si="18"/>
        <v>0</v>
      </c>
    </row>
    <row r="84" spans="1:30" outlineLevel="1">
      <c r="A84" s="406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23"/>
      <c r="Q84" s="23"/>
      <c r="R84" s="23"/>
      <c r="S84" s="23"/>
      <c r="T84" s="23"/>
      <c r="U84" s="23"/>
      <c r="V84" s="23"/>
      <c r="W84" s="23"/>
      <c r="X84" s="23"/>
      <c r="Y84" s="23"/>
      <c r="AA84" s="606">
        <f t="shared" si="6"/>
        <v>0</v>
      </c>
      <c r="AB84" s="607">
        <f t="shared" si="18"/>
        <v>0</v>
      </c>
    </row>
    <row r="85" spans="1:30" ht="13.5" outlineLevel="1">
      <c r="A85" s="409"/>
      <c r="B85" s="367"/>
      <c r="C85" s="367"/>
      <c r="D85" s="367"/>
      <c r="E85" s="367"/>
      <c r="F85" s="367"/>
      <c r="G85" s="367"/>
      <c r="H85" s="367"/>
      <c r="I85" s="410"/>
      <c r="J85" s="367"/>
      <c r="K85" s="367"/>
      <c r="L85" s="367"/>
      <c r="M85" s="367"/>
      <c r="N85" s="367"/>
      <c r="O85" s="367"/>
      <c r="P85" s="23"/>
      <c r="Q85" s="23"/>
      <c r="R85" s="23"/>
      <c r="S85" s="23"/>
      <c r="T85" s="23"/>
      <c r="U85" s="23"/>
      <c r="V85" s="23"/>
      <c r="W85" s="23"/>
      <c r="X85" s="23"/>
      <c r="Y85" s="23"/>
      <c r="AA85" s="606">
        <f t="shared" si="6"/>
        <v>0</v>
      </c>
      <c r="AB85" s="607">
        <f t="shared" si="18"/>
        <v>0</v>
      </c>
    </row>
    <row r="86" spans="1:30" s="372" customFormat="1" ht="13.5" thickBot="1">
      <c r="A86" s="411" t="s">
        <v>52</v>
      </c>
      <c r="E86" s="412">
        <f>E62</f>
        <v>2000</v>
      </c>
      <c r="F86" s="412">
        <f>F62</f>
        <v>2001</v>
      </c>
      <c r="G86" s="412">
        <f t="shared" ref="G86:Y86" si="21">G62</f>
        <v>2002</v>
      </c>
      <c r="H86" s="412">
        <f t="shared" si="21"/>
        <v>2003</v>
      </c>
      <c r="I86" s="412">
        <f t="shared" si="21"/>
        <v>2004</v>
      </c>
      <c r="J86" s="412">
        <f t="shared" si="21"/>
        <v>2005</v>
      </c>
      <c r="K86" s="412">
        <f t="shared" si="21"/>
        <v>2006</v>
      </c>
      <c r="L86" s="412">
        <f t="shared" si="21"/>
        <v>2007</v>
      </c>
      <c r="M86" s="412">
        <f t="shared" si="21"/>
        <v>2008</v>
      </c>
      <c r="N86" s="412">
        <f t="shared" si="21"/>
        <v>2009</v>
      </c>
      <c r="O86" s="412">
        <f t="shared" si="21"/>
        <v>2010</v>
      </c>
      <c r="P86" s="412">
        <f t="shared" si="21"/>
        <v>2011</v>
      </c>
      <c r="Q86" s="412">
        <f t="shared" si="21"/>
        <v>2012</v>
      </c>
      <c r="R86" s="412">
        <f t="shared" si="21"/>
        <v>2013</v>
      </c>
      <c r="S86" s="412">
        <f t="shared" si="21"/>
        <v>2014</v>
      </c>
      <c r="T86" s="412">
        <f t="shared" si="21"/>
        <v>2015</v>
      </c>
      <c r="U86" s="412">
        <f t="shared" si="21"/>
        <v>2016</v>
      </c>
      <c r="V86" s="412">
        <f t="shared" si="21"/>
        <v>2017</v>
      </c>
      <c r="W86" s="412">
        <f t="shared" si="21"/>
        <v>2018</v>
      </c>
      <c r="X86" s="412">
        <f t="shared" si="21"/>
        <v>2019</v>
      </c>
      <c r="Y86" s="412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372" customFormat="1">
      <c r="AA87" s="606">
        <f t="shared" si="6"/>
        <v>0</v>
      </c>
      <c r="AB87" s="607">
        <f t="shared" si="18"/>
        <v>0</v>
      </c>
    </row>
    <row r="88" spans="1:30" s="372" customFormat="1">
      <c r="A88" s="398" t="s">
        <v>34</v>
      </c>
      <c r="F88" s="413">
        <f>F69</f>
        <v>1359.8908753932835</v>
      </c>
      <c r="G88" s="413">
        <f t="shared" ref="G88:Y88" si="22">G69</f>
        <v>1133.0969187777596</v>
      </c>
      <c r="H88" s="413">
        <f t="shared" si="22"/>
        <v>1151.7251088147264</v>
      </c>
      <c r="I88" s="413">
        <f t="shared" si="22"/>
        <v>1157.5745363054691</v>
      </c>
      <c r="J88" s="413">
        <f t="shared" si="22"/>
        <v>1181.5235261750499</v>
      </c>
      <c r="K88" s="413">
        <f t="shared" si="22"/>
        <v>1197.9809268342337</v>
      </c>
      <c r="L88" s="413">
        <f t="shared" si="22"/>
        <v>1215.3300433193181</v>
      </c>
      <c r="M88" s="413">
        <f t="shared" si="22"/>
        <v>1249.8938172872527</v>
      </c>
      <c r="N88" s="413">
        <f t="shared" si="22"/>
        <v>1262.7786754603194</v>
      </c>
      <c r="O88" s="413">
        <f t="shared" si="22"/>
        <v>1276.8153191651472</v>
      </c>
      <c r="P88" s="413">
        <f t="shared" si="22"/>
        <v>1291.0871415916231</v>
      </c>
      <c r="Q88" s="413">
        <f t="shared" si="22"/>
        <v>1333.378319847779</v>
      </c>
      <c r="R88" s="413">
        <f t="shared" si="22"/>
        <v>1328.2132389926096</v>
      </c>
      <c r="S88" s="413">
        <f t="shared" si="22"/>
        <v>1323.07693732704</v>
      </c>
      <c r="T88" s="413">
        <f t="shared" si="22"/>
        <v>1317.0301185501962</v>
      </c>
      <c r="U88" s="413">
        <f t="shared" si="22"/>
        <v>1310.929266189703</v>
      </c>
      <c r="V88" s="413">
        <f t="shared" si="22"/>
        <v>0</v>
      </c>
      <c r="W88" s="413">
        <f t="shared" si="22"/>
        <v>0</v>
      </c>
      <c r="X88" s="413">
        <f t="shared" si="22"/>
        <v>0</v>
      </c>
      <c r="Y88" s="413">
        <f t="shared" si="22"/>
        <v>0</v>
      </c>
      <c r="AA88" s="606">
        <f t="shared" si="6"/>
        <v>20090.324770031508</v>
      </c>
      <c r="AB88" s="607">
        <f t="shared" si="18"/>
        <v>10045.162385015754</v>
      </c>
    </row>
    <row r="89" spans="1:30" s="372" customFormat="1">
      <c r="A89" s="372" t="s">
        <v>53</v>
      </c>
      <c r="F89" s="414">
        <f>F126+F127</f>
        <v>331.95741593403795</v>
      </c>
      <c r="G89" s="414">
        <f t="shared" ref="G89:Y89" si="23">G126+G127</f>
        <v>929.97550980265726</v>
      </c>
      <c r="H89" s="414">
        <f t="shared" si="23"/>
        <v>377.49619461945736</v>
      </c>
      <c r="I89" s="414">
        <f t="shared" si="23"/>
        <v>48.046369107812112</v>
      </c>
      <c r="J89" s="414">
        <f t="shared" si="23"/>
        <v>38.885880482697445</v>
      </c>
      <c r="K89" s="414">
        <f t="shared" si="23"/>
        <v>-212.81838989176737</v>
      </c>
      <c r="L89" s="414">
        <f t="shared" si="23"/>
        <v>-464.86374156963916</v>
      </c>
      <c r="M89" s="414">
        <f t="shared" si="23"/>
        <v>-478.08438511237409</v>
      </c>
      <c r="N89" s="414">
        <f t="shared" si="23"/>
        <v>-483.01284336357219</v>
      </c>
      <c r="O89" s="414">
        <f t="shared" si="23"/>
        <v>-488.38185958066879</v>
      </c>
      <c r="P89" s="414">
        <f t="shared" si="23"/>
        <v>-493.84083165879582</v>
      </c>
      <c r="Q89" s="414">
        <f t="shared" si="23"/>
        <v>-510.01720734177547</v>
      </c>
      <c r="R89" s="414">
        <f t="shared" si="23"/>
        <v>-508.04156391467313</v>
      </c>
      <c r="S89" s="414">
        <f t="shared" si="23"/>
        <v>-506.07692852759277</v>
      </c>
      <c r="T89" s="414">
        <f t="shared" si="23"/>
        <v>-503.76402034545004</v>
      </c>
      <c r="U89" s="414">
        <f t="shared" si="23"/>
        <v>-501.4304443175613</v>
      </c>
      <c r="V89" s="414">
        <f t="shared" si="23"/>
        <v>0</v>
      </c>
      <c r="W89" s="414">
        <f t="shared" si="23"/>
        <v>0</v>
      </c>
      <c r="X89" s="414">
        <f t="shared" si="23"/>
        <v>0</v>
      </c>
      <c r="Y89" s="414">
        <f t="shared" si="23"/>
        <v>0</v>
      </c>
      <c r="AA89" s="606">
        <f t="shared" si="6"/>
        <v>-3423.9708456772078</v>
      </c>
      <c r="AB89" s="607">
        <f t="shared" si="18"/>
        <v>-1711.9854228386039</v>
      </c>
    </row>
    <row r="90" spans="1:30" s="372" customFormat="1">
      <c r="A90" s="372" t="s">
        <v>238</v>
      </c>
      <c r="F90" s="414">
        <f>F56</f>
        <v>0</v>
      </c>
      <c r="G90" s="414">
        <f t="shared" ref="G90:Y90" si="24">G56</f>
        <v>0</v>
      </c>
      <c r="H90" s="414">
        <f t="shared" si="24"/>
        <v>0</v>
      </c>
      <c r="I90" s="414">
        <f t="shared" si="24"/>
        <v>0</v>
      </c>
      <c r="J90" s="414">
        <f t="shared" si="24"/>
        <v>0</v>
      </c>
      <c r="K90" s="414">
        <f t="shared" si="24"/>
        <v>0</v>
      </c>
      <c r="L90" s="414">
        <f t="shared" si="24"/>
        <v>0</v>
      </c>
      <c r="M90" s="414">
        <f t="shared" si="24"/>
        <v>0</v>
      </c>
      <c r="N90" s="414">
        <f t="shared" si="24"/>
        <v>0</v>
      </c>
      <c r="O90" s="414">
        <f t="shared" si="24"/>
        <v>0</v>
      </c>
      <c r="P90" s="414">
        <f t="shared" si="24"/>
        <v>0</v>
      </c>
      <c r="Q90" s="414">
        <f t="shared" si="24"/>
        <v>0</v>
      </c>
      <c r="R90" s="414">
        <f t="shared" si="24"/>
        <v>0</v>
      </c>
      <c r="S90" s="414">
        <f t="shared" si="24"/>
        <v>0</v>
      </c>
      <c r="T90" s="414">
        <f t="shared" si="24"/>
        <v>0</v>
      </c>
      <c r="U90" s="414">
        <f t="shared" si="24"/>
        <v>0</v>
      </c>
      <c r="V90" s="414">
        <f t="shared" si="24"/>
        <v>0</v>
      </c>
      <c r="W90" s="414">
        <f t="shared" si="24"/>
        <v>0</v>
      </c>
      <c r="X90" s="414">
        <f t="shared" si="24"/>
        <v>0</v>
      </c>
      <c r="Y90" s="414">
        <f t="shared" si="24"/>
        <v>0</v>
      </c>
      <c r="AA90" s="606">
        <f t="shared" si="6"/>
        <v>0</v>
      </c>
      <c r="AB90" s="607">
        <f t="shared" si="18"/>
        <v>0</v>
      </c>
    </row>
    <row r="91" spans="1:30" s="372" customFormat="1" ht="15">
      <c r="A91" s="372" t="s">
        <v>54</v>
      </c>
      <c r="F91" s="415">
        <v>0</v>
      </c>
      <c r="G91" s="415">
        <v>0</v>
      </c>
      <c r="H91" s="415">
        <v>0</v>
      </c>
      <c r="I91" s="415">
        <v>0</v>
      </c>
      <c r="J91" s="415">
        <v>0</v>
      </c>
      <c r="K91" s="415">
        <v>0</v>
      </c>
      <c r="L91" s="415">
        <v>0</v>
      </c>
      <c r="M91" s="415">
        <v>0</v>
      </c>
      <c r="N91" s="415">
        <v>0</v>
      </c>
      <c r="O91" s="415">
        <v>0</v>
      </c>
      <c r="P91" s="415">
        <v>0</v>
      </c>
      <c r="Q91" s="415">
        <v>0</v>
      </c>
      <c r="R91" s="415">
        <v>0</v>
      </c>
      <c r="S91" s="415">
        <v>0</v>
      </c>
      <c r="T91" s="415">
        <v>0</v>
      </c>
      <c r="U91" s="415">
        <f>Y99</f>
        <v>10487.434129517624</v>
      </c>
      <c r="V91" s="415">
        <v>0</v>
      </c>
      <c r="W91" s="415">
        <v>0</v>
      </c>
      <c r="X91" s="415">
        <v>0</v>
      </c>
      <c r="Y91" s="415">
        <v>0</v>
      </c>
      <c r="AA91" s="606">
        <f t="shared" si="6"/>
        <v>10487.434129517624</v>
      </c>
      <c r="AB91" s="607">
        <f t="shared" si="18"/>
        <v>5243.7170647588118</v>
      </c>
    </row>
    <row r="92" spans="1:30" s="372" customFormat="1">
      <c r="A92" s="372" t="s">
        <v>55</v>
      </c>
      <c r="E92" s="416">
        <v>-12376.407781727943</v>
      </c>
      <c r="F92" s="413">
        <f>SUM(F88:F91)</f>
        <v>1691.8482913273215</v>
      </c>
      <c r="G92" s="413">
        <f t="shared" ref="G92:Y92" si="25">SUM(G88:G91)</f>
        <v>2063.0724285804167</v>
      </c>
      <c r="H92" s="413">
        <f t="shared" si="25"/>
        <v>1529.2213034341837</v>
      </c>
      <c r="I92" s="413">
        <f t="shared" si="25"/>
        <v>1205.6209054132812</v>
      </c>
      <c r="J92" s="413">
        <f t="shared" si="25"/>
        <v>1220.4094066577475</v>
      </c>
      <c r="K92" s="413">
        <f t="shared" si="25"/>
        <v>985.16253694246643</v>
      </c>
      <c r="L92" s="413">
        <f t="shared" si="25"/>
        <v>750.46630174967891</v>
      </c>
      <c r="M92" s="413">
        <f t="shared" si="25"/>
        <v>771.80943217487857</v>
      </c>
      <c r="N92" s="413">
        <f t="shared" si="25"/>
        <v>779.7658320967472</v>
      </c>
      <c r="O92" s="413">
        <f t="shared" si="25"/>
        <v>788.43345958447844</v>
      </c>
      <c r="P92" s="413">
        <f t="shared" si="25"/>
        <v>797.24630993282722</v>
      </c>
      <c r="Q92" s="413">
        <f t="shared" si="25"/>
        <v>823.36111250600356</v>
      </c>
      <c r="R92" s="413">
        <f t="shared" si="25"/>
        <v>820.17167507793647</v>
      </c>
      <c r="S92" s="413">
        <f t="shared" si="25"/>
        <v>817.00000879944719</v>
      </c>
      <c r="T92" s="413">
        <f t="shared" si="25"/>
        <v>813.26609820474619</v>
      </c>
      <c r="U92" s="413">
        <f t="shared" si="25"/>
        <v>11296.932951389765</v>
      </c>
      <c r="V92" s="413">
        <f t="shared" si="25"/>
        <v>0</v>
      </c>
      <c r="W92" s="413">
        <f t="shared" si="25"/>
        <v>0</v>
      </c>
      <c r="X92" s="413">
        <f t="shared" si="25"/>
        <v>0</v>
      </c>
      <c r="Y92" s="413">
        <f t="shared" si="25"/>
        <v>0</v>
      </c>
      <c r="AA92" s="606">
        <f t="shared" si="6"/>
        <v>27153.788053871926</v>
      </c>
      <c r="AB92" s="607">
        <f t="shared" si="18"/>
        <v>13576.894026935963</v>
      </c>
    </row>
    <row r="93" spans="1:30" s="372" customFormat="1" ht="13.5" thickBot="1">
      <c r="F93" s="417"/>
      <c r="G93" s="417"/>
      <c r="H93" s="417"/>
      <c r="I93" s="417"/>
      <c r="J93" s="417"/>
      <c r="K93" s="417"/>
      <c r="L93" s="417"/>
      <c r="M93" s="417"/>
      <c r="N93" s="417"/>
      <c r="O93" s="417"/>
      <c r="P93" s="417"/>
      <c r="Q93" s="417"/>
      <c r="R93" s="417"/>
      <c r="S93" s="417"/>
      <c r="T93" s="417"/>
      <c r="U93" s="417"/>
      <c r="V93" s="417"/>
      <c r="W93" s="417"/>
      <c r="X93" s="417"/>
      <c r="Y93" s="417"/>
      <c r="Z93" s="417"/>
      <c r="AA93" s="606">
        <f t="shared" si="6"/>
        <v>0</v>
      </c>
      <c r="AB93" s="607">
        <f t="shared" si="18"/>
        <v>0</v>
      </c>
      <c r="AC93" s="417"/>
      <c r="AD93" s="417"/>
    </row>
    <row r="94" spans="1:30" s="372" customFormat="1">
      <c r="U94" s="418" t="s">
        <v>56</v>
      </c>
      <c r="V94" s="419"/>
      <c r="W94" s="419"/>
      <c r="X94" s="419"/>
      <c r="Y94" s="420"/>
      <c r="AA94" s="606">
        <f t="shared" si="6"/>
        <v>0</v>
      </c>
      <c r="AB94" s="607">
        <f t="shared" si="18"/>
        <v>0</v>
      </c>
    </row>
    <row r="95" spans="1:30" s="372" customFormat="1" ht="13.5" thickBot="1">
      <c r="A95" s="372" t="s">
        <v>57</v>
      </c>
      <c r="E95" s="421">
        <f>NPV(C96,E92:Y92)</f>
        <v>1.2098782730006843E-11</v>
      </c>
      <c r="R95" s="422"/>
      <c r="U95" s="423" t="s">
        <v>58</v>
      </c>
      <c r="V95" s="424"/>
      <c r="W95" s="424"/>
      <c r="X95" s="424"/>
      <c r="Y95" s="425">
        <f>U88</f>
        <v>1310.929266189703</v>
      </c>
      <c r="AA95" s="606">
        <f t="shared" si="6"/>
        <v>1310.929266189703</v>
      </c>
      <c r="AB95" s="607">
        <f t="shared" si="18"/>
        <v>655.46463309485148</v>
      </c>
    </row>
    <row r="96" spans="1:30" s="372" customFormat="1" ht="13.5" thickBot="1">
      <c r="A96" s="372" t="s">
        <v>59</v>
      </c>
      <c r="C96" s="426">
        <v>0.09</v>
      </c>
      <c r="R96" s="413"/>
      <c r="U96" s="427" t="s">
        <v>60</v>
      </c>
      <c r="V96" s="424"/>
      <c r="W96" s="424"/>
      <c r="X96" s="424"/>
      <c r="Y96" s="428">
        <v>1</v>
      </c>
      <c r="AA96" s="606">
        <f t="shared" si="6"/>
        <v>1</v>
      </c>
      <c r="AB96" s="607">
        <f t="shared" si="18"/>
        <v>0.5</v>
      </c>
    </row>
    <row r="97" spans="1:28" s="372" customFormat="1">
      <c r="U97" s="427" t="s">
        <v>61</v>
      </c>
      <c r="V97" s="424"/>
      <c r="W97" s="424"/>
      <c r="X97" s="424"/>
      <c r="Y97" s="429">
        <f>Y95*Y96</f>
        <v>1310.929266189703</v>
      </c>
      <c r="AA97" s="606">
        <f t="shared" si="6"/>
        <v>1310.929266189703</v>
      </c>
      <c r="AB97" s="607">
        <f t="shared" si="18"/>
        <v>655.46463309485148</v>
      </c>
    </row>
    <row r="98" spans="1:28" s="372" customFormat="1">
      <c r="U98" s="427" t="s">
        <v>62</v>
      </c>
      <c r="V98" s="424"/>
      <c r="W98" s="424"/>
      <c r="X98" s="424"/>
      <c r="Y98" s="430">
        <v>8</v>
      </c>
      <c r="AA98" s="606">
        <f t="shared" si="6"/>
        <v>8</v>
      </c>
      <c r="AB98" s="607">
        <f t="shared" si="18"/>
        <v>4</v>
      </c>
    </row>
    <row r="99" spans="1:28" s="372" customFormat="1" ht="13.5" thickBot="1">
      <c r="U99" s="431" t="s">
        <v>56</v>
      </c>
      <c r="V99" s="432"/>
      <c r="W99" s="432"/>
      <c r="X99" s="432"/>
      <c r="Y99" s="433">
        <f>Y97*Y98</f>
        <v>10487.434129517624</v>
      </c>
      <c r="AA99" s="606">
        <f t="shared" si="6"/>
        <v>10487.434129517624</v>
      </c>
      <c r="AB99" s="607">
        <f t="shared" si="18"/>
        <v>5243.7170647588118</v>
      </c>
    </row>
    <row r="100" spans="1:28" s="372" customFormat="1">
      <c r="A100" s="411" t="s">
        <v>63</v>
      </c>
      <c r="AA100" s="606">
        <f t="shared" si="6"/>
        <v>0</v>
      </c>
      <c r="AB100" s="607">
        <f t="shared" si="18"/>
        <v>0</v>
      </c>
    </row>
    <row r="101" spans="1:28" s="372" customFormat="1">
      <c r="A101" s="372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372" customFormat="1" ht="15">
      <c r="A102" s="372" t="s">
        <v>65</v>
      </c>
      <c r="D102" s="415">
        <f>-E92</f>
        <v>12376.407781727943</v>
      </c>
      <c r="AA102" s="606">
        <f t="shared" si="6"/>
        <v>0</v>
      </c>
      <c r="AB102" s="607">
        <f t="shared" si="18"/>
        <v>0</v>
      </c>
    </row>
    <row r="103" spans="1:28" s="372" customFormat="1">
      <c r="D103" s="435">
        <f>D101+D102</f>
        <v>12376.407781727943</v>
      </c>
      <c r="AA103" s="606">
        <f t="shared" si="6"/>
        <v>0</v>
      </c>
      <c r="AB103" s="607">
        <f t="shared" si="18"/>
        <v>0</v>
      </c>
    </row>
    <row r="104" spans="1:28" s="372" customFormat="1">
      <c r="A104" s="372" t="s">
        <v>66</v>
      </c>
      <c r="D104" s="436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372" customFormat="1">
      <c r="A105" s="372" t="s">
        <v>67</v>
      </c>
      <c r="D105" s="435">
        <f>D103*D104</f>
        <v>11138.767003555149</v>
      </c>
      <c r="AA105" s="606">
        <f t="shared" si="26"/>
        <v>0</v>
      </c>
      <c r="AB105" s="607">
        <f t="shared" si="18"/>
        <v>0</v>
      </c>
    </row>
    <row r="106" spans="1:28" s="372" customFormat="1">
      <c r="AA106" s="606">
        <f t="shared" si="26"/>
        <v>0</v>
      </c>
      <c r="AB106" s="607">
        <f t="shared" si="18"/>
        <v>0</v>
      </c>
    </row>
    <row r="107" spans="1:28" s="372" customFormat="1" ht="13.5" thickBot="1">
      <c r="F107" s="412">
        <f>F5</f>
        <v>2001</v>
      </c>
      <c r="G107" s="412">
        <f>F107+1</f>
        <v>2002</v>
      </c>
      <c r="H107" s="412">
        <f t="shared" ref="H107:Y107" si="27">G107+1</f>
        <v>2003</v>
      </c>
      <c r="I107" s="412">
        <f t="shared" si="27"/>
        <v>2004</v>
      </c>
      <c r="J107" s="412">
        <f t="shared" si="27"/>
        <v>2005</v>
      </c>
      <c r="K107" s="412">
        <f t="shared" si="27"/>
        <v>2006</v>
      </c>
      <c r="L107" s="412">
        <f t="shared" si="27"/>
        <v>2007</v>
      </c>
      <c r="M107" s="412">
        <f t="shared" si="27"/>
        <v>2008</v>
      </c>
      <c r="N107" s="412">
        <f t="shared" si="27"/>
        <v>2009</v>
      </c>
      <c r="O107" s="412">
        <f t="shared" si="27"/>
        <v>2010</v>
      </c>
      <c r="P107" s="412">
        <f t="shared" si="27"/>
        <v>2011</v>
      </c>
      <c r="Q107" s="412">
        <f t="shared" si="27"/>
        <v>2012</v>
      </c>
      <c r="R107" s="412">
        <f t="shared" si="27"/>
        <v>2013</v>
      </c>
      <c r="S107" s="412">
        <f t="shared" si="27"/>
        <v>2014</v>
      </c>
      <c r="T107" s="412">
        <f t="shared" si="27"/>
        <v>2015</v>
      </c>
      <c r="U107" s="412">
        <f t="shared" si="27"/>
        <v>2016</v>
      </c>
      <c r="V107" s="412">
        <f t="shared" si="27"/>
        <v>2017</v>
      </c>
      <c r="W107" s="412">
        <f t="shared" si="27"/>
        <v>2018</v>
      </c>
      <c r="X107" s="412">
        <f t="shared" si="27"/>
        <v>2019</v>
      </c>
      <c r="Y107" s="412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372" customFormat="1">
      <c r="A108" s="437" t="s">
        <v>68</v>
      </c>
      <c r="AA108" s="606">
        <f t="shared" si="26"/>
        <v>0</v>
      </c>
      <c r="AB108" s="607">
        <f t="shared" si="18"/>
        <v>0</v>
      </c>
    </row>
    <row r="109" spans="1:28" s="372" customFormat="1">
      <c r="A109" s="372" t="s">
        <v>69</v>
      </c>
      <c r="B109" s="438">
        <v>30</v>
      </c>
      <c r="C109" s="372" t="s">
        <v>0</v>
      </c>
      <c r="D109" s="439">
        <f>D105</f>
        <v>11138.767003555149</v>
      </c>
      <c r="F109" s="417">
        <f>ROUND(D109/$B$109,0)</f>
        <v>371</v>
      </c>
      <c r="G109" s="417">
        <f>F109</f>
        <v>371</v>
      </c>
      <c r="H109" s="417">
        <f t="shared" ref="H109:U110" si="28">G109</f>
        <v>371</v>
      </c>
      <c r="I109" s="417">
        <f t="shared" si="28"/>
        <v>371</v>
      </c>
      <c r="J109" s="417">
        <f t="shared" si="28"/>
        <v>371</v>
      </c>
      <c r="K109" s="417">
        <f t="shared" si="28"/>
        <v>371</v>
      </c>
      <c r="L109" s="417">
        <f t="shared" si="28"/>
        <v>371</v>
      </c>
      <c r="M109" s="417">
        <f t="shared" si="28"/>
        <v>371</v>
      </c>
      <c r="N109" s="417">
        <f t="shared" si="28"/>
        <v>371</v>
      </c>
      <c r="O109" s="417">
        <f t="shared" si="28"/>
        <v>371</v>
      </c>
      <c r="P109" s="417">
        <f t="shared" si="28"/>
        <v>371</v>
      </c>
      <c r="Q109" s="417">
        <f t="shared" si="28"/>
        <v>371</v>
      </c>
      <c r="R109" s="417">
        <f t="shared" si="28"/>
        <v>371</v>
      </c>
      <c r="S109" s="417">
        <f t="shared" si="28"/>
        <v>371</v>
      </c>
      <c r="T109" s="417">
        <f t="shared" si="28"/>
        <v>371</v>
      </c>
      <c r="U109" s="417">
        <f t="shared" si="28"/>
        <v>371</v>
      </c>
      <c r="V109" s="741"/>
      <c r="W109" s="741"/>
      <c r="X109" s="741"/>
      <c r="Y109" s="741"/>
      <c r="AA109" s="606">
        <f t="shared" si="26"/>
        <v>5936</v>
      </c>
      <c r="AB109" s="607">
        <f t="shared" si="18"/>
        <v>2968</v>
      </c>
    </row>
    <row r="110" spans="1:28" s="372" customFormat="1">
      <c r="A110" s="199" t="s">
        <v>571</v>
      </c>
      <c r="D110" s="439">
        <f>D104*'FPLE_Wind Summary'!V29</f>
        <v>839.75791214164667</v>
      </c>
      <c r="F110" s="417">
        <f>ROUND(D110/$B$109,0)</f>
        <v>28</v>
      </c>
      <c r="G110" s="417">
        <f>F110</f>
        <v>28</v>
      </c>
      <c r="H110" s="417">
        <f t="shared" si="28"/>
        <v>28</v>
      </c>
      <c r="I110" s="417">
        <f t="shared" si="28"/>
        <v>28</v>
      </c>
      <c r="J110" s="417">
        <f t="shared" si="28"/>
        <v>28</v>
      </c>
      <c r="K110" s="417">
        <f t="shared" si="28"/>
        <v>28</v>
      </c>
      <c r="L110" s="417">
        <f t="shared" si="28"/>
        <v>28</v>
      </c>
      <c r="M110" s="417">
        <f t="shared" si="28"/>
        <v>28</v>
      </c>
      <c r="N110" s="417">
        <f t="shared" si="28"/>
        <v>28</v>
      </c>
      <c r="O110" s="417">
        <f t="shared" si="28"/>
        <v>28</v>
      </c>
      <c r="P110" s="417">
        <f t="shared" si="28"/>
        <v>28</v>
      </c>
      <c r="Q110" s="417">
        <f t="shared" si="28"/>
        <v>28</v>
      </c>
      <c r="R110" s="417">
        <f t="shared" si="28"/>
        <v>28</v>
      </c>
      <c r="S110" s="417">
        <f t="shared" si="28"/>
        <v>28</v>
      </c>
      <c r="T110" s="417">
        <f t="shared" si="28"/>
        <v>28</v>
      </c>
      <c r="U110" s="417">
        <f t="shared" si="28"/>
        <v>28</v>
      </c>
      <c r="V110" s="741"/>
      <c r="W110" s="741"/>
      <c r="X110" s="741"/>
      <c r="Y110" s="741"/>
      <c r="AA110" s="606">
        <f t="shared" si="26"/>
        <v>448</v>
      </c>
      <c r="AB110" s="607">
        <f t="shared" si="18"/>
        <v>224</v>
      </c>
    </row>
    <row r="111" spans="1:28" s="372" customFormat="1">
      <c r="AA111" s="606">
        <f t="shared" si="26"/>
        <v>0</v>
      </c>
      <c r="AB111" s="607">
        <f t="shared" si="18"/>
        <v>0</v>
      </c>
    </row>
    <row r="112" spans="1:28" s="372" customFormat="1">
      <c r="A112" s="437" t="s">
        <v>70</v>
      </c>
      <c r="AA112" s="606">
        <f t="shared" si="26"/>
        <v>0</v>
      </c>
      <c r="AB112" s="607">
        <f t="shared" si="18"/>
        <v>0</v>
      </c>
    </row>
    <row r="113" spans="1:28" s="372" customFormat="1">
      <c r="A113" s="440" t="s">
        <v>71</v>
      </c>
      <c r="D113" s="439">
        <f>D109</f>
        <v>11138.767003555149</v>
      </c>
      <c r="AA113" s="606">
        <f t="shared" si="26"/>
        <v>0</v>
      </c>
      <c r="AB113" s="607">
        <f t="shared" si="18"/>
        <v>0</v>
      </c>
    </row>
    <row r="114" spans="1:28" s="372" customFormat="1">
      <c r="A114" s="372" t="s">
        <v>72</v>
      </c>
      <c r="E114" s="441"/>
      <c r="F114" s="442">
        <v>0.2</v>
      </c>
      <c r="G114" s="442">
        <v>0.32</v>
      </c>
      <c r="H114" s="442">
        <v>0.192</v>
      </c>
      <c r="I114" s="442">
        <v>0.1152</v>
      </c>
      <c r="J114" s="442">
        <v>0.1152</v>
      </c>
      <c r="K114" s="442">
        <v>5.7599999999999998E-2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3"/>
      <c r="AA114" s="606">
        <f t="shared" si="26"/>
        <v>0.99999999999999989</v>
      </c>
      <c r="AB114" s="607">
        <f t="shared" si="18"/>
        <v>0.49999999999999994</v>
      </c>
    </row>
    <row r="115" spans="1:28" s="372" customFormat="1">
      <c r="A115" s="372" t="s">
        <v>70</v>
      </c>
      <c r="F115" s="417">
        <f t="shared" ref="F115:U115" si="29">$D$113*F114</f>
        <v>2227.7534007110298</v>
      </c>
      <c r="G115" s="417">
        <f t="shared" si="29"/>
        <v>3564.4054411376478</v>
      </c>
      <c r="H115" s="417">
        <f t="shared" si="29"/>
        <v>2138.6432646825888</v>
      </c>
      <c r="I115" s="417">
        <f t="shared" si="29"/>
        <v>1283.1859588095531</v>
      </c>
      <c r="J115" s="417">
        <f t="shared" si="29"/>
        <v>1283.1859588095531</v>
      </c>
      <c r="K115" s="417">
        <f t="shared" si="29"/>
        <v>641.59297940477654</v>
      </c>
      <c r="L115" s="417">
        <f t="shared" si="29"/>
        <v>0</v>
      </c>
      <c r="M115" s="417">
        <f t="shared" si="29"/>
        <v>0</v>
      </c>
      <c r="N115" s="417">
        <f t="shared" si="29"/>
        <v>0</v>
      </c>
      <c r="O115" s="417">
        <f t="shared" si="29"/>
        <v>0</v>
      </c>
      <c r="P115" s="417">
        <f t="shared" si="29"/>
        <v>0</v>
      </c>
      <c r="Q115" s="417">
        <f t="shared" si="29"/>
        <v>0</v>
      </c>
      <c r="R115" s="417">
        <f t="shared" si="29"/>
        <v>0</v>
      </c>
      <c r="S115" s="417">
        <f t="shared" si="29"/>
        <v>0</v>
      </c>
      <c r="T115" s="417">
        <f t="shared" si="29"/>
        <v>0</v>
      </c>
      <c r="U115" s="417">
        <f t="shared" si="29"/>
        <v>0</v>
      </c>
      <c r="V115" s="741"/>
      <c r="W115" s="741"/>
      <c r="X115" s="741"/>
      <c r="Y115" s="741"/>
      <c r="AA115" s="606">
        <f t="shared" si="26"/>
        <v>11138.767003555149</v>
      </c>
      <c r="AB115" s="607">
        <f t="shared" si="18"/>
        <v>5569.3835017775746</v>
      </c>
    </row>
    <row r="116" spans="1:28" s="372" customFormat="1">
      <c r="A116" s="199" t="s">
        <v>571</v>
      </c>
      <c r="D116" s="439">
        <f>D110</f>
        <v>839.75791214164667</v>
      </c>
      <c r="F116" s="417">
        <f>$D$116*F114</f>
        <v>167.95158242832935</v>
      </c>
      <c r="G116" s="417">
        <f t="shared" ref="G116:U116" si="30">$D$116*G114</f>
        <v>268.72253188532693</v>
      </c>
      <c r="H116" s="417">
        <f t="shared" si="30"/>
        <v>161.23351913119618</v>
      </c>
      <c r="I116" s="417">
        <f t="shared" si="30"/>
        <v>96.740111478717694</v>
      </c>
      <c r="J116" s="417">
        <f t="shared" si="30"/>
        <v>96.740111478717694</v>
      </c>
      <c r="K116" s="417">
        <f t="shared" si="30"/>
        <v>48.370055739358847</v>
      </c>
      <c r="L116" s="417">
        <f t="shared" si="30"/>
        <v>0</v>
      </c>
      <c r="M116" s="417">
        <f t="shared" si="30"/>
        <v>0</v>
      </c>
      <c r="N116" s="417">
        <f t="shared" si="30"/>
        <v>0</v>
      </c>
      <c r="O116" s="417">
        <f t="shared" si="30"/>
        <v>0</v>
      </c>
      <c r="P116" s="417">
        <f t="shared" si="30"/>
        <v>0</v>
      </c>
      <c r="Q116" s="417">
        <f t="shared" si="30"/>
        <v>0</v>
      </c>
      <c r="R116" s="417">
        <f t="shared" si="30"/>
        <v>0</v>
      </c>
      <c r="S116" s="417">
        <f t="shared" si="30"/>
        <v>0</v>
      </c>
      <c r="T116" s="417">
        <f t="shared" si="30"/>
        <v>0</v>
      </c>
      <c r="U116" s="417">
        <f t="shared" si="30"/>
        <v>0</v>
      </c>
      <c r="V116" s="741"/>
      <c r="W116" s="741"/>
      <c r="X116" s="741"/>
      <c r="Y116" s="741"/>
      <c r="AA116" s="606">
        <f t="shared" si="26"/>
        <v>839.75791214164667</v>
      </c>
      <c r="AB116" s="607">
        <f t="shared" si="18"/>
        <v>419.87895607082334</v>
      </c>
    </row>
    <row r="117" spans="1:28" s="372" customFormat="1">
      <c r="AA117" s="606">
        <f t="shared" si="26"/>
        <v>0</v>
      </c>
      <c r="AB117" s="607">
        <f t="shared" si="18"/>
        <v>0</v>
      </c>
    </row>
    <row r="118" spans="1:28" s="372" customFormat="1">
      <c r="AA118" s="606">
        <f t="shared" si="26"/>
        <v>0</v>
      </c>
      <c r="AB118" s="607">
        <f t="shared" si="18"/>
        <v>0</v>
      </c>
    </row>
    <row r="119" spans="1:28" s="372" customFormat="1" ht="13.5" thickBot="1">
      <c r="F119" s="412">
        <f>F107</f>
        <v>2001</v>
      </c>
      <c r="G119" s="412">
        <f t="shared" ref="G119:Y119" si="31">G107</f>
        <v>2002</v>
      </c>
      <c r="H119" s="412">
        <f t="shared" si="31"/>
        <v>2003</v>
      </c>
      <c r="I119" s="412">
        <f t="shared" si="31"/>
        <v>2004</v>
      </c>
      <c r="J119" s="412">
        <f t="shared" si="31"/>
        <v>2005</v>
      </c>
      <c r="K119" s="412">
        <f t="shared" si="31"/>
        <v>2006</v>
      </c>
      <c r="L119" s="412">
        <f t="shared" si="31"/>
        <v>2007</v>
      </c>
      <c r="M119" s="412">
        <f t="shared" si="31"/>
        <v>2008</v>
      </c>
      <c r="N119" s="412">
        <f t="shared" si="31"/>
        <v>2009</v>
      </c>
      <c r="O119" s="412">
        <f t="shared" si="31"/>
        <v>2010</v>
      </c>
      <c r="P119" s="412">
        <f t="shared" si="31"/>
        <v>2011</v>
      </c>
      <c r="Q119" s="412">
        <f t="shared" si="31"/>
        <v>2012</v>
      </c>
      <c r="R119" s="412">
        <f t="shared" si="31"/>
        <v>2013</v>
      </c>
      <c r="S119" s="412">
        <f t="shared" si="31"/>
        <v>2014</v>
      </c>
      <c r="T119" s="412">
        <f t="shared" si="31"/>
        <v>2015</v>
      </c>
      <c r="U119" s="412">
        <f t="shared" si="31"/>
        <v>2016</v>
      </c>
      <c r="V119" s="412">
        <f t="shared" si="31"/>
        <v>2017</v>
      </c>
      <c r="W119" s="412">
        <f t="shared" si="31"/>
        <v>2018</v>
      </c>
      <c r="X119" s="412">
        <f t="shared" si="31"/>
        <v>2019</v>
      </c>
      <c r="Y119" s="412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372" customFormat="1">
      <c r="A120" s="411" t="s">
        <v>73</v>
      </c>
      <c r="AA120" s="606">
        <f t="shared" si="26"/>
        <v>0</v>
      </c>
      <c r="AB120" s="607">
        <f t="shared" si="18"/>
        <v>0</v>
      </c>
    </row>
    <row r="121" spans="1:28" s="372" customFormat="1">
      <c r="A121" s="444" t="str">
        <f>A64</f>
        <v>EBITDA</v>
      </c>
      <c r="F121" s="417">
        <f>F39</f>
        <v>1359.8908753932835</v>
      </c>
      <c r="G121" s="417">
        <f t="shared" ref="G121:Y121" si="32">G39</f>
        <v>1133.0969187777596</v>
      </c>
      <c r="H121" s="417">
        <f t="shared" si="32"/>
        <v>1151.7251088147264</v>
      </c>
      <c r="I121" s="417">
        <f t="shared" si="32"/>
        <v>1157.5745363054691</v>
      </c>
      <c r="J121" s="417">
        <f>J39</f>
        <v>1181.5235261750499</v>
      </c>
      <c r="K121" s="417">
        <f t="shared" si="32"/>
        <v>1197.9809268342337</v>
      </c>
      <c r="L121" s="417">
        <f t="shared" si="32"/>
        <v>1215.3300433193181</v>
      </c>
      <c r="M121" s="417">
        <f t="shared" si="32"/>
        <v>1249.8938172872527</v>
      </c>
      <c r="N121" s="417">
        <f t="shared" si="32"/>
        <v>1262.7786754603194</v>
      </c>
      <c r="O121" s="417">
        <f t="shared" si="32"/>
        <v>1276.8153191651472</v>
      </c>
      <c r="P121" s="417">
        <f t="shared" si="32"/>
        <v>1291.0871415916231</v>
      </c>
      <c r="Q121" s="417">
        <f t="shared" si="32"/>
        <v>1333.378319847779</v>
      </c>
      <c r="R121" s="417">
        <f t="shared" si="32"/>
        <v>1328.2132389926096</v>
      </c>
      <c r="S121" s="417">
        <f t="shared" si="32"/>
        <v>1323.07693732704</v>
      </c>
      <c r="T121" s="417">
        <f t="shared" si="32"/>
        <v>1317.0301185501962</v>
      </c>
      <c r="U121" s="417">
        <f t="shared" si="32"/>
        <v>1310.929266189703</v>
      </c>
      <c r="V121" s="417">
        <f t="shared" si="32"/>
        <v>0</v>
      </c>
      <c r="W121" s="417">
        <f t="shared" si="32"/>
        <v>0</v>
      </c>
      <c r="X121" s="417">
        <f t="shared" si="32"/>
        <v>0</v>
      </c>
      <c r="Y121" s="417">
        <f t="shared" si="32"/>
        <v>0</v>
      </c>
      <c r="AA121" s="606">
        <f t="shared" si="26"/>
        <v>20090.324770031508</v>
      </c>
      <c r="AB121" s="607">
        <f t="shared" si="18"/>
        <v>10045.162385015754</v>
      </c>
    </row>
    <row r="122" spans="1:28" s="372" customFormat="1">
      <c r="A122" s="372" t="s">
        <v>74</v>
      </c>
      <c r="F122" s="417">
        <f>-F115</f>
        <v>-2227.7534007110298</v>
      </c>
      <c r="G122" s="417">
        <f t="shared" ref="G122:Y122" si="33">-G115</f>
        <v>-3564.4054411376478</v>
      </c>
      <c r="H122" s="417">
        <f t="shared" si="33"/>
        <v>-2138.6432646825888</v>
      </c>
      <c r="I122" s="417">
        <f t="shared" si="33"/>
        <v>-1283.1859588095531</v>
      </c>
      <c r="J122" s="417">
        <f t="shared" si="33"/>
        <v>-1283.1859588095531</v>
      </c>
      <c r="K122" s="417">
        <f t="shared" si="33"/>
        <v>-641.59297940477654</v>
      </c>
      <c r="L122" s="417">
        <f t="shared" si="33"/>
        <v>0</v>
      </c>
      <c r="M122" s="417">
        <f t="shared" si="33"/>
        <v>0</v>
      </c>
      <c r="N122" s="417">
        <f t="shared" si="33"/>
        <v>0</v>
      </c>
      <c r="O122" s="417">
        <f t="shared" si="33"/>
        <v>0</v>
      </c>
      <c r="P122" s="417">
        <f t="shared" si="33"/>
        <v>0</v>
      </c>
      <c r="Q122" s="417">
        <f t="shared" si="33"/>
        <v>0</v>
      </c>
      <c r="R122" s="417">
        <f t="shared" si="33"/>
        <v>0</v>
      </c>
      <c r="S122" s="417">
        <f t="shared" si="33"/>
        <v>0</v>
      </c>
      <c r="T122" s="417">
        <f t="shared" si="33"/>
        <v>0</v>
      </c>
      <c r="U122" s="417">
        <f t="shared" si="33"/>
        <v>0</v>
      </c>
      <c r="V122" s="417">
        <f t="shared" si="33"/>
        <v>0</v>
      </c>
      <c r="W122" s="417">
        <f t="shared" si="33"/>
        <v>0</v>
      </c>
      <c r="X122" s="417">
        <f t="shared" si="33"/>
        <v>0</v>
      </c>
      <c r="Y122" s="417">
        <f t="shared" si="33"/>
        <v>0</v>
      </c>
      <c r="AA122" s="606">
        <f t="shared" si="26"/>
        <v>-11138.767003555149</v>
      </c>
      <c r="AB122" s="607">
        <f t="shared" si="18"/>
        <v>-5569.3835017775746</v>
      </c>
    </row>
    <row r="123" spans="1:28" s="372" customFormat="1">
      <c r="A123" s="372" t="s">
        <v>75</v>
      </c>
      <c r="F123" s="445">
        <f>-F46</f>
        <v>0</v>
      </c>
      <c r="G123" s="445">
        <f t="shared" ref="G123:Y123" si="34">-G46</f>
        <v>0</v>
      </c>
      <c r="H123" s="445">
        <f t="shared" si="34"/>
        <v>0</v>
      </c>
      <c r="I123" s="445">
        <f t="shared" si="34"/>
        <v>0</v>
      </c>
      <c r="J123" s="445">
        <f t="shared" si="34"/>
        <v>0</v>
      </c>
      <c r="K123" s="445">
        <f t="shared" si="34"/>
        <v>0</v>
      </c>
      <c r="L123" s="445">
        <f t="shared" si="34"/>
        <v>0</v>
      </c>
      <c r="M123" s="445">
        <f t="shared" si="34"/>
        <v>0</v>
      </c>
      <c r="N123" s="445">
        <f t="shared" si="34"/>
        <v>0</v>
      </c>
      <c r="O123" s="445">
        <f t="shared" si="34"/>
        <v>0</v>
      </c>
      <c r="P123" s="445">
        <f t="shared" si="34"/>
        <v>0</v>
      </c>
      <c r="Q123" s="445">
        <f t="shared" si="34"/>
        <v>0</v>
      </c>
      <c r="R123" s="445">
        <f t="shared" si="34"/>
        <v>0</v>
      </c>
      <c r="S123" s="445">
        <f t="shared" si="34"/>
        <v>0</v>
      </c>
      <c r="T123" s="445">
        <f t="shared" si="34"/>
        <v>0</v>
      </c>
      <c r="U123" s="445">
        <f t="shared" si="34"/>
        <v>0</v>
      </c>
      <c r="V123" s="445">
        <f t="shared" si="34"/>
        <v>0</v>
      </c>
      <c r="W123" s="445">
        <f t="shared" si="34"/>
        <v>0</v>
      </c>
      <c r="X123" s="445">
        <f t="shared" si="34"/>
        <v>0</v>
      </c>
      <c r="Y123" s="445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372" customFormat="1">
      <c r="A124" s="372" t="s">
        <v>76</v>
      </c>
      <c r="F124" s="417">
        <f>SUM(F121:F123)</f>
        <v>-867.8625253177463</v>
      </c>
      <c r="G124" s="417">
        <f t="shared" ref="G124:Y124" si="35">SUM(G121:G123)</f>
        <v>-2431.3085223598882</v>
      </c>
      <c r="H124" s="417">
        <f t="shared" si="35"/>
        <v>-986.91815586786242</v>
      </c>
      <c r="I124" s="417">
        <f t="shared" si="35"/>
        <v>-125.61142250408398</v>
      </c>
      <c r="J124" s="417">
        <f t="shared" si="35"/>
        <v>-101.66243263450315</v>
      </c>
      <c r="K124" s="417">
        <f t="shared" si="35"/>
        <v>556.3879474294572</v>
      </c>
      <c r="L124" s="417">
        <f t="shared" si="35"/>
        <v>1215.3300433193181</v>
      </c>
      <c r="M124" s="417">
        <f t="shared" si="35"/>
        <v>1249.8938172872527</v>
      </c>
      <c r="N124" s="417">
        <f t="shared" si="35"/>
        <v>1262.7786754603194</v>
      </c>
      <c r="O124" s="417">
        <f t="shared" si="35"/>
        <v>1276.8153191651472</v>
      </c>
      <c r="P124" s="417">
        <f t="shared" si="35"/>
        <v>1291.0871415916231</v>
      </c>
      <c r="Q124" s="417">
        <f t="shared" si="35"/>
        <v>1333.378319847779</v>
      </c>
      <c r="R124" s="417">
        <f t="shared" si="35"/>
        <v>1328.2132389926096</v>
      </c>
      <c r="S124" s="417">
        <f t="shared" si="35"/>
        <v>1323.07693732704</v>
      </c>
      <c r="T124" s="417">
        <f t="shared" si="35"/>
        <v>1317.0301185501962</v>
      </c>
      <c r="U124" s="417">
        <f t="shared" si="35"/>
        <v>1310.929266189703</v>
      </c>
      <c r="V124" s="417">
        <f t="shared" si="35"/>
        <v>0</v>
      </c>
      <c r="W124" s="417">
        <f t="shared" si="35"/>
        <v>0</v>
      </c>
      <c r="X124" s="417">
        <f t="shared" si="35"/>
        <v>0</v>
      </c>
      <c r="Y124" s="417">
        <f t="shared" si="35"/>
        <v>0</v>
      </c>
      <c r="AA124" s="606">
        <f t="shared" si="26"/>
        <v>8951.5577664763623</v>
      </c>
      <c r="AB124" s="607">
        <f t="shared" si="18"/>
        <v>4475.7788832381812</v>
      </c>
    </row>
    <row r="125" spans="1:28" s="372" customFormat="1">
      <c r="AA125" s="606">
        <f t="shared" si="26"/>
        <v>0</v>
      </c>
      <c r="AB125" s="607">
        <f t="shared" si="18"/>
        <v>0</v>
      </c>
    </row>
    <row r="126" spans="1:28" s="372" customFormat="1">
      <c r="A126" s="372" t="s">
        <v>88</v>
      </c>
      <c r="C126" s="446">
        <f>C51</f>
        <v>0.05</v>
      </c>
      <c r="F126" s="417">
        <f>-F124*$C$126</f>
        <v>43.393126265887318</v>
      </c>
      <c r="G126" s="417">
        <f t="shared" ref="G126:Y126" si="36">-G124*$C$126</f>
        <v>121.56542611799442</v>
      </c>
      <c r="H126" s="417">
        <f t="shared" si="36"/>
        <v>49.345907793393124</v>
      </c>
      <c r="I126" s="417">
        <f t="shared" si="36"/>
        <v>6.2805711252041991</v>
      </c>
      <c r="J126" s="417">
        <f t="shared" si="36"/>
        <v>5.0831216317251577</v>
      </c>
      <c r="K126" s="417">
        <f t="shared" si="36"/>
        <v>-27.81939737147286</v>
      </c>
      <c r="L126" s="417">
        <f t="shared" si="36"/>
        <v>-60.766502165965903</v>
      </c>
      <c r="M126" s="417">
        <f t="shared" si="36"/>
        <v>-62.494690864362639</v>
      </c>
      <c r="N126" s="417">
        <f t="shared" si="36"/>
        <v>-63.138933773015971</v>
      </c>
      <c r="O126" s="417">
        <f t="shared" si="36"/>
        <v>-63.840765958257364</v>
      </c>
      <c r="P126" s="417">
        <f t="shared" si="36"/>
        <v>-64.554357079581152</v>
      </c>
      <c r="Q126" s="417">
        <f t="shared" si="36"/>
        <v>-66.66891599238896</v>
      </c>
      <c r="R126" s="417">
        <f t="shared" si="36"/>
        <v>-66.41066194963048</v>
      </c>
      <c r="S126" s="417">
        <f t="shared" si="36"/>
        <v>-66.153846866351998</v>
      </c>
      <c r="T126" s="417">
        <f t="shared" si="36"/>
        <v>-65.85150592750982</v>
      </c>
      <c r="U126" s="417">
        <f t="shared" si="36"/>
        <v>-65.546463309485148</v>
      </c>
      <c r="V126" s="417">
        <f t="shared" si="36"/>
        <v>0</v>
      </c>
      <c r="W126" s="417">
        <f t="shared" si="36"/>
        <v>0</v>
      </c>
      <c r="X126" s="417">
        <f t="shared" si="36"/>
        <v>0</v>
      </c>
      <c r="Y126" s="417">
        <f t="shared" si="36"/>
        <v>0</v>
      </c>
      <c r="AA126" s="606">
        <f t="shared" si="26"/>
        <v>-447.57788832381812</v>
      </c>
      <c r="AB126" s="607">
        <f t="shared" si="18"/>
        <v>-223.78894416190906</v>
      </c>
    </row>
    <row r="127" spans="1:28" s="372" customFormat="1">
      <c r="A127" s="372" t="s">
        <v>77</v>
      </c>
      <c r="C127" s="446">
        <f>C52</f>
        <v>0.35</v>
      </c>
      <c r="F127" s="417">
        <f>-(F124+F126)*$C$127</f>
        <v>288.56428966815065</v>
      </c>
      <c r="G127" s="417">
        <f t="shared" ref="G127:Y127" si="37">-(G124+G126)*$C$127</f>
        <v>808.41008368466282</v>
      </c>
      <c r="H127" s="417">
        <f t="shared" si="37"/>
        <v>328.15028682606425</v>
      </c>
      <c r="I127" s="417">
        <f t="shared" si="37"/>
        <v>41.765797982607914</v>
      </c>
      <c r="J127" s="417">
        <f t="shared" si="37"/>
        <v>33.802758850972289</v>
      </c>
      <c r="K127" s="417">
        <f t="shared" si="37"/>
        <v>-184.99899252029451</v>
      </c>
      <c r="L127" s="417">
        <f t="shared" si="37"/>
        <v>-404.09723940367326</v>
      </c>
      <c r="M127" s="417">
        <f t="shared" si="37"/>
        <v>-415.58969424801148</v>
      </c>
      <c r="N127" s="417">
        <f t="shared" si="37"/>
        <v>-419.8739095905562</v>
      </c>
      <c r="O127" s="417">
        <f t="shared" si="37"/>
        <v>-424.54109362241144</v>
      </c>
      <c r="P127" s="417">
        <f t="shared" si="37"/>
        <v>-429.28647457921466</v>
      </c>
      <c r="Q127" s="417">
        <f t="shared" si="37"/>
        <v>-443.3482913493865</v>
      </c>
      <c r="R127" s="417">
        <f t="shared" si="37"/>
        <v>-441.63090196504265</v>
      </c>
      <c r="S127" s="417">
        <f t="shared" si="37"/>
        <v>-439.92308166124076</v>
      </c>
      <c r="T127" s="417">
        <f t="shared" si="37"/>
        <v>-437.9125144179402</v>
      </c>
      <c r="U127" s="417">
        <f t="shared" si="37"/>
        <v>-435.88398100807615</v>
      </c>
      <c r="V127" s="417">
        <f t="shared" si="37"/>
        <v>0</v>
      </c>
      <c r="W127" s="417">
        <f t="shared" si="37"/>
        <v>0</v>
      </c>
      <c r="X127" s="417">
        <f t="shared" si="37"/>
        <v>0</v>
      </c>
      <c r="Y127" s="417">
        <f t="shared" si="37"/>
        <v>0</v>
      </c>
      <c r="AA127" s="606">
        <f t="shared" si="26"/>
        <v>-2976.3929573533896</v>
      </c>
      <c r="AB127" s="607">
        <f t="shared" si="18"/>
        <v>-1488.1964786766948</v>
      </c>
    </row>
    <row r="128" spans="1:28" s="372" customFormat="1">
      <c r="AA128" s="606">
        <f t="shared" si="26"/>
        <v>0</v>
      </c>
      <c r="AB128" s="607">
        <f t="shared" si="18"/>
        <v>0</v>
      </c>
    </row>
    <row r="129" spans="1:28" s="372" customFormat="1">
      <c r="AA129" s="606">
        <f t="shared" si="26"/>
        <v>0</v>
      </c>
      <c r="AB129" s="607">
        <f t="shared" si="18"/>
        <v>0</v>
      </c>
    </row>
    <row r="130" spans="1:28" s="372" customFormat="1">
      <c r="AA130" s="606">
        <f t="shared" si="26"/>
        <v>0</v>
      </c>
      <c r="AB130" s="607">
        <f t="shared" si="18"/>
        <v>0</v>
      </c>
    </row>
    <row r="131" spans="1:28" s="372" customFormat="1">
      <c r="AA131" s="606">
        <f t="shared" si="26"/>
        <v>0</v>
      </c>
      <c r="AB131" s="607">
        <f t="shared" si="18"/>
        <v>0</v>
      </c>
    </row>
    <row r="132" spans="1:28" s="372" customFormat="1">
      <c r="AA132" s="606">
        <f t="shared" si="26"/>
        <v>0</v>
      </c>
      <c r="AB132" s="607">
        <f t="shared" si="18"/>
        <v>0</v>
      </c>
    </row>
    <row r="133" spans="1:28" s="372" customFormat="1">
      <c r="AA133" s="606">
        <f t="shared" si="26"/>
        <v>0</v>
      </c>
      <c r="AB133" s="607">
        <f t="shared" si="18"/>
        <v>0</v>
      </c>
    </row>
    <row r="134" spans="1:28" s="372" customFormat="1">
      <c r="AA134" s="606">
        <f t="shared" si="26"/>
        <v>0</v>
      </c>
      <c r="AB134" s="607">
        <f>AA134</f>
        <v>0</v>
      </c>
    </row>
    <row r="135" spans="1:28" s="372" customFormat="1" ht="13.5" thickBot="1">
      <c r="A135" s="437" t="s">
        <v>48</v>
      </c>
      <c r="F135" s="412">
        <f>F119</f>
        <v>2001</v>
      </c>
      <c r="G135" s="412">
        <f t="shared" ref="G135:Y135" si="38">G119</f>
        <v>2002</v>
      </c>
      <c r="H135" s="412">
        <f t="shared" si="38"/>
        <v>2003</v>
      </c>
      <c r="I135" s="412">
        <f t="shared" si="38"/>
        <v>2004</v>
      </c>
      <c r="J135" s="412">
        <f t="shared" si="38"/>
        <v>2005</v>
      </c>
      <c r="K135" s="412">
        <f t="shared" si="38"/>
        <v>2006</v>
      </c>
      <c r="L135" s="412">
        <f t="shared" si="38"/>
        <v>2007</v>
      </c>
      <c r="M135" s="412">
        <f t="shared" si="38"/>
        <v>2008</v>
      </c>
      <c r="N135" s="412">
        <f t="shared" si="38"/>
        <v>2009</v>
      </c>
      <c r="O135" s="412">
        <f t="shared" si="38"/>
        <v>2010</v>
      </c>
      <c r="P135" s="412">
        <f t="shared" si="38"/>
        <v>2011</v>
      </c>
      <c r="Q135" s="412">
        <f t="shared" si="38"/>
        <v>2012</v>
      </c>
      <c r="R135" s="412">
        <f t="shared" si="38"/>
        <v>2013</v>
      </c>
      <c r="S135" s="412">
        <f t="shared" si="38"/>
        <v>2014</v>
      </c>
      <c r="T135" s="412">
        <f t="shared" si="38"/>
        <v>2015</v>
      </c>
      <c r="U135" s="412">
        <f t="shared" si="38"/>
        <v>2016</v>
      </c>
      <c r="V135" s="412">
        <f t="shared" si="38"/>
        <v>2017</v>
      </c>
      <c r="W135" s="412">
        <f t="shared" si="38"/>
        <v>2018</v>
      </c>
      <c r="X135" s="412">
        <f t="shared" si="38"/>
        <v>2019</v>
      </c>
      <c r="Y135" s="412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372" customFormat="1">
      <c r="AA136" s="606">
        <f t="shared" si="26"/>
        <v>0</v>
      </c>
      <c r="AB136" s="607">
        <f t="shared" si="39"/>
        <v>0</v>
      </c>
    </row>
    <row r="137" spans="1:28" s="372" customFormat="1">
      <c r="A137" s="372" t="s">
        <v>90</v>
      </c>
      <c r="F137" s="258">
        <f>F46</f>
        <v>0</v>
      </c>
      <c r="G137" s="258">
        <f t="shared" ref="G137:Y137" si="40">G46</f>
        <v>0</v>
      </c>
      <c r="H137" s="258">
        <f t="shared" si="40"/>
        <v>0</v>
      </c>
      <c r="I137" s="258">
        <f t="shared" si="40"/>
        <v>0</v>
      </c>
      <c r="J137" s="258">
        <f t="shared" si="40"/>
        <v>0</v>
      </c>
      <c r="K137" s="258">
        <f t="shared" si="40"/>
        <v>0</v>
      </c>
      <c r="L137" s="258">
        <f t="shared" si="40"/>
        <v>0</v>
      </c>
      <c r="M137" s="258">
        <f t="shared" si="40"/>
        <v>0</v>
      </c>
      <c r="N137" s="258">
        <f t="shared" si="40"/>
        <v>0</v>
      </c>
      <c r="O137" s="258">
        <f t="shared" si="40"/>
        <v>0</v>
      </c>
      <c r="P137" s="258">
        <f t="shared" si="40"/>
        <v>0</v>
      </c>
      <c r="Q137" s="258">
        <f t="shared" si="40"/>
        <v>0</v>
      </c>
      <c r="R137" s="258">
        <f t="shared" si="40"/>
        <v>0</v>
      </c>
      <c r="S137" s="258">
        <f t="shared" si="40"/>
        <v>0</v>
      </c>
      <c r="T137" s="258">
        <f t="shared" si="40"/>
        <v>0</v>
      </c>
      <c r="U137" s="258">
        <f t="shared" si="40"/>
        <v>0</v>
      </c>
      <c r="V137" s="258">
        <f t="shared" si="40"/>
        <v>0</v>
      </c>
      <c r="W137" s="258">
        <f t="shared" si="40"/>
        <v>0</v>
      </c>
      <c r="X137" s="258">
        <f t="shared" si="40"/>
        <v>0</v>
      </c>
      <c r="Y137" s="25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372" customFormat="1">
      <c r="A138" s="372" t="s">
        <v>78</v>
      </c>
      <c r="F138" s="445">
        <f t="shared" ref="F138:Y138" si="41">SUM(F33:F35)</f>
        <v>0</v>
      </c>
      <c r="G138" s="445">
        <f t="shared" si="41"/>
        <v>0</v>
      </c>
      <c r="H138" s="445">
        <f t="shared" si="41"/>
        <v>0</v>
      </c>
      <c r="I138" s="445">
        <f t="shared" si="41"/>
        <v>0</v>
      </c>
      <c r="J138" s="445">
        <f t="shared" si="41"/>
        <v>0</v>
      </c>
      <c r="K138" s="445">
        <f t="shared" si="41"/>
        <v>0</v>
      </c>
      <c r="L138" s="445">
        <f t="shared" si="41"/>
        <v>0</v>
      </c>
      <c r="M138" s="445">
        <f t="shared" si="41"/>
        <v>0</v>
      </c>
      <c r="N138" s="445">
        <f t="shared" si="41"/>
        <v>0</v>
      </c>
      <c r="O138" s="445">
        <f t="shared" si="41"/>
        <v>0</v>
      </c>
      <c r="P138" s="445">
        <f t="shared" si="41"/>
        <v>0</v>
      </c>
      <c r="Q138" s="445">
        <f t="shared" si="41"/>
        <v>0</v>
      </c>
      <c r="R138" s="445">
        <f t="shared" si="41"/>
        <v>0</v>
      </c>
      <c r="S138" s="445">
        <f t="shared" si="41"/>
        <v>0</v>
      </c>
      <c r="T138" s="445">
        <f t="shared" si="41"/>
        <v>0</v>
      </c>
      <c r="U138" s="445">
        <f t="shared" si="41"/>
        <v>0</v>
      </c>
      <c r="V138" s="445">
        <f t="shared" si="41"/>
        <v>0</v>
      </c>
      <c r="W138" s="445">
        <f t="shared" si="41"/>
        <v>0</v>
      </c>
      <c r="X138" s="445">
        <f t="shared" si="41"/>
        <v>0</v>
      </c>
      <c r="Y138" s="445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372" customFormat="1">
      <c r="A139" s="372" t="s">
        <v>79</v>
      </c>
      <c r="F139" s="417">
        <f>F137+F138</f>
        <v>0</v>
      </c>
      <c r="G139" s="417">
        <f t="shared" ref="G139:Y139" si="42">G137+G138</f>
        <v>0</v>
      </c>
      <c r="H139" s="417">
        <f t="shared" si="42"/>
        <v>0</v>
      </c>
      <c r="I139" s="417">
        <f t="shared" si="42"/>
        <v>0</v>
      </c>
      <c r="J139" s="417">
        <f t="shared" si="42"/>
        <v>0</v>
      </c>
      <c r="K139" s="417">
        <f t="shared" si="42"/>
        <v>0</v>
      </c>
      <c r="L139" s="417">
        <f t="shared" si="42"/>
        <v>0</v>
      </c>
      <c r="M139" s="417">
        <f t="shared" si="42"/>
        <v>0</v>
      </c>
      <c r="N139" s="417">
        <f t="shared" si="42"/>
        <v>0</v>
      </c>
      <c r="O139" s="417">
        <f t="shared" si="42"/>
        <v>0</v>
      </c>
      <c r="P139" s="417">
        <f t="shared" si="42"/>
        <v>0</v>
      </c>
      <c r="Q139" s="417">
        <f t="shared" si="42"/>
        <v>0</v>
      </c>
      <c r="R139" s="417">
        <f t="shared" si="42"/>
        <v>0</v>
      </c>
      <c r="S139" s="417">
        <f t="shared" si="42"/>
        <v>0</v>
      </c>
      <c r="T139" s="417">
        <f t="shared" si="42"/>
        <v>0</v>
      </c>
      <c r="U139" s="417">
        <f t="shared" si="42"/>
        <v>0</v>
      </c>
      <c r="V139" s="417">
        <f t="shared" si="42"/>
        <v>0</v>
      </c>
      <c r="W139" s="417">
        <f t="shared" si="42"/>
        <v>0</v>
      </c>
      <c r="X139" s="417">
        <f t="shared" si="42"/>
        <v>0</v>
      </c>
      <c r="Y139" s="417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372" customFormat="1">
      <c r="A140" s="372" t="s">
        <v>80</v>
      </c>
      <c r="C140" s="446">
        <f>C126</f>
        <v>0.05</v>
      </c>
      <c r="F140" s="417">
        <f>F139*$C$140</f>
        <v>0</v>
      </c>
      <c r="G140" s="417">
        <f t="shared" ref="G140:Y140" si="43">G139*$C$140</f>
        <v>0</v>
      </c>
      <c r="H140" s="417">
        <f t="shared" si="43"/>
        <v>0</v>
      </c>
      <c r="I140" s="417">
        <f t="shared" si="43"/>
        <v>0</v>
      </c>
      <c r="J140" s="417">
        <f t="shared" si="43"/>
        <v>0</v>
      </c>
      <c r="K140" s="417">
        <f t="shared" si="43"/>
        <v>0</v>
      </c>
      <c r="L140" s="417">
        <f t="shared" si="43"/>
        <v>0</v>
      </c>
      <c r="M140" s="417">
        <f t="shared" si="43"/>
        <v>0</v>
      </c>
      <c r="N140" s="417">
        <f t="shared" si="43"/>
        <v>0</v>
      </c>
      <c r="O140" s="417">
        <f t="shared" si="43"/>
        <v>0</v>
      </c>
      <c r="P140" s="417">
        <f t="shared" si="43"/>
        <v>0</v>
      </c>
      <c r="Q140" s="417">
        <f t="shared" si="43"/>
        <v>0</v>
      </c>
      <c r="R140" s="417">
        <f t="shared" si="43"/>
        <v>0</v>
      </c>
      <c r="S140" s="417">
        <f t="shared" si="43"/>
        <v>0</v>
      </c>
      <c r="T140" s="417">
        <f t="shared" si="43"/>
        <v>0</v>
      </c>
      <c r="U140" s="417">
        <f t="shared" si="43"/>
        <v>0</v>
      </c>
      <c r="V140" s="417">
        <f t="shared" si="43"/>
        <v>0</v>
      </c>
      <c r="W140" s="417">
        <f t="shared" si="43"/>
        <v>0</v>
      </c>
      <c r="X140" s="417">
        <f t="shared" si="43"/>
        <v>0</v>
      </c>
      <c r="Y140" s="417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372" customFormat="1">
      <c r="A141" s="372" t="s">
        <v>81</v>
      </c>
      <c r="C141" s="446">
        <f>C127</f>
        <v>0.35</v>
      </c>
      <c r="F141" s="445">
        <f>(F139-F140)*$C$141</f>
        <v>0</v>
      </c>
      <c r="G141" s="445">
        <f t="shared" ref="G141:Y141" si="44">(G139-G140)*$C$141</f>
        <v>0</v>
      </c>
      <c r="H141" s="445">
        <f t="shared" si="44"/>
        <v>0</v>
      </c>
      <c r="I141" s="445">
        <f t="shared" si="44"/>
        <v>0</v>
      </c>
      <c r="J141" s="445">
        <f t="shared" si="44"/>
        <v>0</v>
      </c>
      <c r="K141" s="445">
        <f t="shared" si="44"/>
        <v>0</v>
      </c>
      <c r="L141" s="445">
        <f t="shared" si="44"/>
        <v>0</v>
      </c>
      <c r="M141" s="445">
        <f t="shared" si="44"/>
        <v>0</v>
      </c>
      <c r="N141" s="445">
        <f t="shared" si="44"/>
        <v>0</v>
      </c>
      <c r="O141" s="445">
        <f t="shared" si="44"/>
        <v>0</v>
      </c>
      <c r="P141" s="445">
        <f t="shared" si="44"/>
        <v>0</v>
      </c>
      <c r="Q141" s="445">
        <f t="shared" si="44"/>
        <v>0</v>
      </c>
      <c r="R141" s="445">
        <f t="shared" si="44"/>
        <v>0</v>
      </c>
      <c r="S141" s="445">
        <f t="shared" si="44"/>
        <v>0</v>
      </c>
      <c r="T141" s="445">
        <f t="shared" si="44"/>
        <v>0</v>
      </c>
      <c r="U141" s="445">
        <f t="shared" si="44"/>
        <v>0</v>
      </c>
      <c r="V141" s="445">
        <f t="shared" si="44"/>
        <v>0</v>
      </c>
      <c r="W141" s="445">
        <f t="shared" si="44"/>
        <v>0</v>
      </c>
      <c r="X141" s="445">
        <f t="shared" si="44"/>
        <v>0</v>
      </c>
      <c r="Y141" s="445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372" customFormat="1">
      <c r="A142" s="372" t="s">
        <v>82</v>
      </c>
      <c r="F142" s="417">
        <f>F139-F140-F141</f>
        <v>0</v>
      </c>
      <c r="G142" s="417">
        <f t="shared" ref="G142:Y142" si="45">G139-G140-G141</f>
        <v>0</v>
      </c>
      <c r="H142" s="417">
        <f t="shared" si="45"/>
        <v>0</v>
      </c>
      <c r="I142" s="417">
        <f t="shared" si="45"/>
        <v>0</v>
      </c>
      <c r="J142" s="417">
        <f t="shared" si="45"/>
        <v>0</v>
      </c>
      <c r="K142" s="417">
        <f t="shared" si="45"/>
        <v>0</v>
      </c>
      <c r="L142" s="417">
        <f t="shared" si="45"/>
        <v>0</v>
      </c>
      <c r="M142" s="417">
        <f t="shared" si="45"/>
        <v>0</v>
      </c>
      <c r="N142" s="417">
        <f t="shared" si="45"/>
        <v>0</v>
      </c>
      <c r="O142" s="417">
        <f t="shared" si="45"/>
        <v>0</v>
      </c>
      <c r="P142" s="417">
        <f t="shared" si="45"/>
        <v>0</v>
      </c>
      <c r="Q142" s="417">
        <f t="shared" si="45"/>
        <v>0</v>
      </c>
      <c r="R142" s="417">
        <f t="shared" si="45"/>
        <v>0</v>
      </c>
      <c r="S142" s="417">
        <f t="shared" si="45"/>
        <v>0</v>
      </c>
      <c r="T142" s="417">
        <f t="shared" si="45"/>
        <v>0</v>
      </c>
      <c r="U142" s="417">
        <f t="shared" si="45"/>
        <v>0</v>
      </c>
      <c r="V142" s="417">
        <f t="shared" si="45"/>
        <v>0</v>
      </c>
      <c r="W142" s="417">
        <f t="shared" si="45"/>
        <v>0</v>
      </c>
      <c r="X142" s="417">
        <f t="shared" si="45"/>
        <v>0</v>
      </c>
      <c r="Y142" s="417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372" customFormat="1">
      <c r="AA143" s="606">
        <f t="shared" si="26"/>
        <v>0</v>
      </c>
      <c r="AB143" s="607">
        <f t="shared" si="39"/>
        <v>0</v>
      </c>
    </row>
    <row r="144" spans="1:28" s="372" customFormat="1">
      <c r="A144" s="444" t="str">
        <f>A76</f>
        <v>Net Income to FPLE</v>
      </c>
      <c r="F144" s="447">
        <f>F76</f>
        <v>305.32005777767631</v>
      </c>
      <c r="G144" s="447">
        <f t="shared" ref="G144:Y144" si="46">G76</f>
        <v>235.2974236726333</v>
      </c>
      <c r="H144" s="447">
        <f t="shared" si="46"/>
        <v>241.04887734654676</v>
      </c>
      <c r="I144" s="447">
        <f t="shared" si="46"/>
        <v>242.85488808431359</v>
      </c>
      <c r="J144" s="447">
        <f t="shared" si="46"/>
        <v>250.24913870654669</v>
      </c>
      <c r="K144" s="447">
        <f t="shared" si="46"/>
        <v>255.33036116006969</v>
      </c>
      <c r="L144" s="447">
        <f t="shared" si="46"/>
        <v>260.68690087483947</v>
      </c>
      <c r="M144" s="447">
        <f t="shared" si="46"/>
        <v>271.3584660874393</v>
      </c>
      <c r="N144" s="447">
        <f t="shared" si="46"/>
        <v>275.33666604837367</v>
      </c>
      <c r="O144" s="447">
        <f t="shared" si="46"/>
        <v>279.67047979223923</v>
      </c>
      <c r="P144" s="447">
        <f t="shared" si="46"/>
        <v>284.07690496641362</v>
      </c>
      <c r="Q144" s="447">
        <f t="shared" si="46"/>
        <v>297.1343062530018</v>
      </c>
      <c r="R144" s="447">
        <f t="shared" si="46"/>
        <v>295.53958753896825</v>
      </c>
      <c r="S144" s="447">
        <f t="shared" si="46"/>
        <v>293.95375439972361</v>
      </c>
      <c r="T144" s="447">
        <f t="shared" si="46"/>
        <v>292.08679910237311</v>
      </c>
      <c r="U144" s="447">
        <f t="shared" si="46"/>
        <v>290.20316093607079</v>
      </c>
      <c r="V144" s="447">
        <f t="shared" si="46"/>
        <v>0</v>
      </c>
      <c r="W144" s="447">
        <f t="shared" si="46"/>
        <v>0</v>
      </c>
      <c r="X144" s="447">
        <f t="shared" si="46"/>
        <v>0</v>
      </c>
      <c r="Y144" s="447">
        <f t="shared" si="46"/>
        <v>0</v>
      </c>
      <c r="AA144" s="606">
        <f t="shared" si="26"/>
        <v>4370.1477727472293</v>
      </c>
      <c r="AB144" s="607">
        <f t="shared" si="39"/>
        <v>4370.1477727472293</v>
      </c>
    </row>
    <row r="145" spans="1:28" s="372" customFormat="1">
      <c r="A145" s="437" t="s">
        <v>91</v>
      </c>
      <c r="F145" s="435">
        <f>F142+F144</f>
        <v>305.32005777767631</v>
      </c>
      <c r="G145" s="435">
        <f t="shared" ref="G145:Y145" si="47">G142+G144</f>
        <v>235.2974236726333</v>
      </c>
      <c r="H145" s="435">
        <f t="shared" si="47"/>
        <v>241.04887734654676</v>
      </c>
      <c r="I145" s="435">
        <f t="shared" si="47"/>
        <v>242.85488808431359</v>
      </c>
      <c r="J145" s="435">
        <f t="shared" si="47"/>
        <v>250.24913870654669</v>
      </c>
      <c r="K145" s="435">
        <f t="shared" si="47"/>
        <v>255.33036116006969</v>
      </c>
      <c r="L145" s="435">
        <f t="shared" si="47"/>
        <v>260.68690087483947</v>
      </c>
      <c r="M145" s="435">
        <f t="shared" si="47"/>
        <v>271.3584660874393</v>
      </c>
      <c r="N145" s="435">
        <f t="shared" si="47"/>
        <v>275.33666604837367</v>
      </c>
      <c r="O145" s="435">
        <f t="shared" si="47"/>
        <v>279.67047979223923</v>
      </c>
      <c r="P145" s="435">
        <f t="shared" si="47"/>
        <v>284.07690496641362</v>
      </c>
      <c r="Q145" s="435">
        <f t="shared" si="47"/>
        <v>297.1343062530018</v>
      </c>
      <c r="R145" s="435">
        <f t="shared" si="47"/>
        <v>295.53958753896825</v>
      </c>
      <c r="S145" s="435">
        <f t="shared" si="47"/>
        <v>293.95375439972361</v>
      </c>
      <c r="T145" s="435">
        <f t="shared" si="47"/>
        <v>292.08679910237311</v>
      </c>
      <c r="U145" s="435">
        <f t="shared" si="47"/>
        <v>290.20316093607079</v>
      </c>
      <c r="V145" s="435">
        <f t="shared" si="47"/>
        <v>0</v>
      </c>
      <c r="W145" s="435">
        <f t="shared" si="47"/>
        <v>0</v>
      </c>
      <c r="X145" s="435">
        <f t="shared" si="47"/>
        <v>0</v>
      </c>
      <c r="Y145" s="435">
        <f t="shared" si="47"/>
        <v>0</v>
      </c>
      <c r="AA145" s="606">
        <f t="shared" si="26"/>
        <v>4370.1477727472293</v>
      </c>
      <c r="AB145" s="607">
        <f t="shared" si="39"/>
        <v>4370.1477727472293</v>
      </c>
    </row>
    <row r="146" spans="1:28" s="372" customFormat="1">
      <c r="AA146" s="606">
        <f t="shared" si="26"/>
        <v>0</v>
      </c>
      <c r="AB146" s="607">
        <f t="shared" si="39"/>
        <v>0</v>
      </c>
    </row>
    <row r="147" spans="1:28" s="372" customFormat="1">
      <c r="AA147" s="606">
        <f t="shared" si="26"/>
        <v>0</v>
      </c>
      <c r="AB147" s="607">
        <f t="shared" si="39"/>
        <v>0</v>
      </c>
    </row>
    <row r="148" spans="1:28" s="372" customFormat="1">
      <c r="AA148" s="606">
        <f t="shared" si="26"/>
        <v>0</v>
      </c>
      <c r="AB148" s="607">
        <f t="shared" si="39"/>
        <v>0</v>
      </c>
    </row>
    <row r="149" spans="1:28" s="372" customFormat="1">
      <c r="A149" s="448" t="s">
        <v>239</v>
      </c>
      <c r="AA149" s="606">
        <f t="shared" si="26"/>
        <v>0</v>
      </c>
      <c r="AB149" s="607">
        <f t="shared" si="39"/>
        <v>0</v>
      </c>
    </row>
    <row r="150" spans="1:28" s="372" customFormat="1">
      <c r="A150" s="444" t="str">
        <f>A142</f>
        <v xml:space="preserve">  Net Income from Interest and Fee to FPLE</v>
      </c>
      <c r="F150" s="413">
        <f>F142</f>
        <v>0</v>
      </c>
      <c r="G150" s="413">
        <f t="shared" ref="G150:Y150" si="48">G142</f>
        <v>0</v>
      </c>
      <c r="H150" s="413">
        <f t="shared" si="48"/>
        <v>0</v>
      </c>
      <c r="I150" s="413">
        <f t="shared" si="48"/>
        <v>0</v>
      </c>
      <c r="J150" s="413">
        <f t="shared" si="48"/>
        <v>0</v>
      </c>
      <c r="K150" s="413">
        <f t="shared" si="48"/>
        <v>0</v>
      </c>
      <c r="L150" s="413">
        <f t="shared" si="48"/>
        <v>0</v>
      </c>
      <c r="M150" s="413">
        <f t="shared" si="48"/>
        <v>0</v>
      </c>
      <c r="N150" s="413">
        <f t="shared" si="48"/>
        <v>0</v>
      </c>
      <c r="O150" s="413">
        <f t="shared" si="48"/>
        <v>0</v>
      </c>
      <c r="P150" s="413">
        <f t="shared" si="48"/>
        <v>0</v>
      </c>
      <c r="Q150" s="413">
        <f t="shared" si="48"/>
        <v>0</v>
      </c>
      <c r="R150" s="413">
        <f t="shared" si="48"/>
        <v>0</v>
      </c>
      <c r="S150" s="413">
        <f t="shared" si="48"/>
        <v>0</v>
      </c>
      <c r="T150" s="413">
        <f t="shared" si="48"/>
        <v>0</v>
      </c>
      <c r="U150" s="413">
        <f t="shared" si="48"/>
        <v>0</v>
      </c>
      <c r="V150" s="413">
        <f t="shared" si="48"/>
        <v>0</v>
      </c>
      <c r="W150" s="413">
        <f t="shared" si="48"/>
        <v>0</v>
      </c>
      <c r="X150" s="413">
        <f t="shared" si="48"/>
        <v>0</v>
      </c>
      <c r="Y150" s="413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372" customFormat="1">
      <c r="A151" s="372" t="s">
        <v>240</v>
      </c>
      <c r="F151" s="449">
        <v>0</v>
      </c>
      <c r="G151" s="449">
        <v>0</v>
      </c>
      <c r="H151" s="449">
        <v>0</v>
      </c>
      <c r="I151" s="449">
        <v>0</v>
      </c>
      <c r="J151" s="449">
        <v>0</v>
      </c>
      <c r="K151" s="449">
        <v>0</v>
      </c>
      <c r="L151" s="449">
        <v>0</v>
      </c>
      <c r="M151" s="449">
        <v>0</v>
      </c>
      <c r="N151" s="449">
        <v>0</v>
      </c>
      <c r="O151" s="449">
        <v>0</v>
      </c>
      <c r="P151" s="449">
        <v>0</v>
      </c>
      <c r="Q151" s="449">
        <v>0</v>
      </c>
      <c r="R151" s="449">
        <v>0</v>
      </c>
      <c r="S151" s="449">
        <v>0</v>
      </c>
      <c r="T151" s="449">
        <v>0</v>
      </c>
      <c r="U151" s="449">
        <v>0</v>
      </c>
      <c r="V151" s="449">
        <v>0</v>
      </c>
      <c r="W151" s="449">
        <v>0</v>
      </c>
      <c r="X151" s="449">
        <v>0</v>
      </c>
      <c r="Y151" s="449">
        <v>0</v>
      </c>
      <c r="AA151" s="606">
        <f t="shared" si="26"/>
        <v>0</v>
      </c>
      <c r="AB151" s="607">
        <f t="shared" si="39"/>
        <v>0</v>
      </c>
    </row>
    <row r="152" spans="1:28" s="372" customFormat="1">
      <c r="F152" s="413">
        <f>F150+F151</f>
        <v>0</v>
      </c>
      <c r="G152" s="413">
        <f t="shared" ref="G152:Y152" si="49">G150+G151</f>
        <v>0</v>
      </c>
      <c r="H152" s="413">
        <f t="shared" si="49"/>
        <v>0</v>
      </c>
      <c r="I152" s="413">
        <f t="shared" si="49"/>
        <v>0</v>
      </c>
      <c r="J152" s="413">
        <f t="shared" si="49"/>
        <v>0</v>
      </c>
      <c r="K152" s="413">
        <f t="shared" si="49"/>
        <v>0</v>
      </c>
      <c r="L152" s="413">
        <f t="shared" si="49"/>
        <v>0</v>
      </c>
      <c r="M152" s="413">
        <f t="shared" si="49"/>
        <v>0</v>
      </c>
      <c r="N152" s="413">
        <f t="shared" si="49"/>
        <v>0</v>
      </c>
      <c r="O152" s="413">
        <f t="shared" si="49"/>
        <v>0</v>
      </c>
      <c r="P152" s="413">
        <f t="shared" si="49"/>
        <v>0</v>
      </c>
      <c r="Q152" s="413">
        <f t="shared" si="49"/>
        <v>0</v>
      </c>
      <c r="R152" s="413">
        <f t="shared" si="49"/>
        <v>0</v>
      </c>
      <c r="S152" s="413">
        <f t="shared" si="49"/>
        <v>0</v>
      </c>
      <c r="T152" s="413">
        <f t="shared" si="49"/>
        <v>0</v>
      </c>
      <c r="U152" s="413">
        <f t="shared" si="49"/>
        <v>0</v>
      </c>
      <c r="V152" s="413">
        <f t="shared" si="49"/>
        <v>0</v>
      </c>
      <c r="W152" s="413">
        <f t="shared" si="49"/>
        <v>0</v>
      </c>
      <c r="X152" s="413">
        <f t="shared" si="49"/>
        <v>0</v>
      </c>
      <c r="Y152" s="413">
        <f t="shared" si="49"/>
        <v>0</v>
      </c>
      <c r="AA152" s="606">
        <f t="shared" si="26"/>
        <v>0</v>
      </c>
    </row>
    <row r="153" spans="1:28" s="372" customFormat="1"/>
    <row r="154" spans="1:28" s="372" customFormat="1"/>
    <row r="155" spans="1:28" s="372" customFormat="1" ht="13.5" thickBot="1">
      <c r="A155" s="372" t="s">
        <v>57</v>
      </c>
      <c r="C155" s="417">
        <f>NPV(C156,F152:Y152)</f>
        <v>0</v>
      </c>
    </row>
    <row r="156" spans="1:28" s="372" customFormat="1" ht="13.5" thickBot="1">
      <c r="A156" s="372" t="s">
        <v>59</v>
      </c>
      <c r="C156" s="426">
        <f>C96</f>
        <v>0.09</v>
      </c>
    </row>
    <row r="157" spans="1:28" s="372" customFormat="1"/>
    <row r="158" spans="1:28" s="372" customFormat="1" ht="13.5" thickBot="1"/>
    <row r="159" spans="1:28" s="372" customFormat="1">
      <c r="A159" s="418" t="s">
        <v>83</v>
      </c>
      <c r="B159" s="450"/>
      <c r="C159" s="450"/>
      <c r="D159" s="451"/>
    </row>
    <row r="160" spans="1:28" s="372" customFormat="1">
      <c r="A160" s="452" t="s">
        <v>84</v>
      </c>
      <c r="B160" s="453"/>
      <c r="C160" s="453"/>
      <c r="D160" s="454">
        <f>-E92*C76</f>
        <v>6188.2038908639715</v>
      </c>
    </row>
    <row r="161" spans="1:25" s="372" customFormat="1">
      <c r="A161" s="452" t="s">
        <v>85</v>
      </c>
      <c r="B161" s="453"/>
      <c r="C161" s="453"/>
      <c r="D161" s="455">
        <v>0</v>
      </c>
      <c r="F161" s="456"/>
    </row>
    <row r="162" spans="1:25" s="372" customFormat="1">
      <c r="A162" s="452" t="s">
        <v>86</v>
      </c>
      <c r="B162" s="453"/>
      <c r="C162" s="453"/>
      <c r="D162" s="457">
        <f>C155-D161</f>
        <v>0</v>
      </c>
    </row>
    <row r="163" spans="1:25" s="372" customFormat="1" ht="13.5" thickBot="1">
      <c r="A163" s="458" t="s">
        <v>87</v>
      </c>
      <c r="B163" s="412"/>
      <c r="C163" s="412"/>
      <c r="D163" s="459">
        <f>SUM(D160:D162)</f>
        <v>6188.2038908639715</v>
      </c>
    </row>
    <row r="164" spans="1:25" outlineLevel="1">
      <c r="A164" s="385"/>
      <c r="B164" s="367"/>
      <c r="C164" s="410"/>
      <c r="D164" s="410"/>
      <c r="E164" s="410"/>
      <c r="F164" s="410"/>
      <c r="G164" s="410"/>
      <c r="H164" s="410"/>
      <c r="I164" s="410"/>
      <c r="J164" s="410"/>
      <c r="K164" s="410"/>
      <c r="L164" s="410"/>
      <c r="M164" s="410"/>
      <c r="N164" s="410"/>
      <c r="O164" s="410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outlineLevel="1">
      <c r="A165" s="367"/>
      <c r="B165" s="367"/>
      <c r="C165" s="410"/>
      <c r="D165" s="410"/>
      <c r="E165" s="410"/>
      <c r="F165" s="410"/>
      <c r="G165" s="410"/>
      <c r="H165" s="410"/>
      <c r="I165" s="410"/>
      <c r="J165" s="410"/>
      <c r="K165" s="410"/>
      <c r="L165" s="410"/>
      <c r="M165" s="410"/>
      <c r="N165" s="410"/>
      <c r="O165" s="410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outlineLevel="1">
      <c r="A166" s="367"/>
      <c r="B166" s="367"/>
      <c r="C166" s="410"/>
      <c r="D166" s="367"/>
      <c r="E166" s="367"/>
      <c r="F166" s="367"/>
      <c r="G166" s="367"/>
      <c r="H166" s="410"/>
      <c r="I166" s="367"/>
      <c r="J166" s="367"/>
      <c r="K166" s="367"/>
      <c r="L166" s="367"/>
      <c r="M166" s="410"/>
      <c r="N166" s="410"/>
      <c r="O166" s="410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>
      <c r="A167" s="367"/>
      <c r="B167" s="367"/>
      <c r="C167" s="410"/>
      <c r="D167" s="410"/>
      <c r="E167" s="410"/>
      <c r="F167" s="410"/>
      <c r="G167" s="410"/>
      <c r="H167" s="410"/>
      <c r="I167" s="410"/>
      <c r="J167" s="410"/>
      <c r="K167" s="410"/>
      <c r="L167" s="410"/>
      <c r="M167" s="410"/>
      <c r="N167" s="410"/>
      <c r="O167" s="410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</row>
    <row r="168" spans="1:25" outlineLevel="1">
      <c r="A168" s="367"/>
      <c r="B168" s="367"/>
      <c r="C168" s="410"/>
      <c r="D168" s="410"/>
      <c r="E168" s="410"/>
      <c r="F168" s="410"/>
      <c r="G168" s="367"/>
      <c r="H168" s="410"/>
      <c r="I168" s="410"/>
      <c r="J168" s="410"/>
      <c r="K168" s="410"/>
      <c r="L168" s="410"/>
      <c r="M168" s="410"/>
      <c r="N168" s="410"/>
      <c r="O168" s="410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outlineLevel="1">
      <c r="A169" s="367"/>
      <c r="B169" s="367"/>
      <c r="C169" s="410"/>
      <c r="D169" s="410"/>
      <c r="E169" s="410"/>
      <c r="F169" s="410"/>
      <c r="G169" s="367"/>
      <c r="H169" s="410"/>
      <c r="I169" s="410"/>
      <c r="J169" s="410"/>
      <c r="K169" s="410"/>
      <c r="L169" s="410"/>
      <c r="M169" s="410"/>
      <c r="N169" s="410"/>
      <c r="O169" s="410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outlineLevel="1">
      <c r="A170" s="367"/>
      <c r="B170" s="367"/>
      <c r="C170" s="410"/>
      <c r="D170" s="410"/>
      <c r="E170" s="410"/>
      <c r="F170" s="410"/>
      <c r="G170" s="410"/>
      <c r="H170" s="410"/>
      <c r="I170" s="410"/>
      <c r="J170" s="410"/>
      <c r="K170" s="410"/>
      <c r="L170" s="410"/>
      <c r="M170" s="410"/>
      <c r="N170" s="410"/>
      <c r="O170" s="410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outlineLevel="1">
      <c r="A171" s="367"/>
      <c r="B171" s="367"/>
      <c r="C171" s="410"/>
      <c r="D171" s="410"/>
      <c r="E171" s="410"/>
      <c r="F171" s="410"/>
      <c r="G171" s="410"/>
      <c r="H171" s="410"/>
      <c r="I171" s="410"/>
      <c r="J171" s="410"/>
      <c r="K171" s="410"/>
      <c r="L171" s="410"/>
      <c r="M171" s="410"/>
      <c r="N171" s="410"/>
      <c r="O171" s="410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outlineLevel="1">
      <c r="A172" s="367"/>
      <c r="B172" s="367"/>
      <c r="C172" s="410"/>
      <c r="D172" s="410"/>
      <c r="E172" s="410"/>
      <c r="F172" s="410"/>
      <c r="G172" s="410"/>
      <c r="H172" s="410"/>
      <c r="I172" s="410"/>
      <c r="J172" s="410"/>
      <c r="K172" s="410"/>
      <c r="L172" s="410"/>
      <c r="M172" s="410"/>
      <c r="N172" s="410"/>
      <c r="O172" s="410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outlineLevel="1">
      <c r="A173" s="385"/>
      <c r="B173" s="367"/>
      <c r="C173" s="410"/>
      <c r="D173" s="410"/>
      <c r="E173" s="410"/>
      <c r="F173" s="410"/>
      <c r="G173" s="410"/>
      <c r="H173" s="410"/>
      <c r="I173" s="410"/>
      <c r="J173" s="410"/>
      <c r="K173" s="410"/>
      <c r="L173" s="410"/>
      <c r="M173" s="410"/>
      <c r="N173" s="410"/>
      <c r="O173" s="410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outlineLevel="1">
      <c r="A174" s="385"/>
      <c r="B174" s="367"/>
      <c r="C174" s="410"/>
      <c r="D174" s="410"/>
      <c r="E174" s="410"/>
      <c r="F174" s="410"/>
      <c r="G174" s="410"/>
      <c r="H174" s="410"/>
      <c r="I174" s="410"/>
      <c r="J174" s="410"/>
      <c r="K174" s="410"/>
      <c r="L174" s="410"/>
      <c r="M174" s="410"/>
      <c r="N174" s="410"/>
      <c r="O174" s="410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outlineLevel="1">
      <c r="A175" s="367"/>
      <c r="B175" s="367"/>
      <c r="C175" s="410"/>
      <c r="D175" s="410"/>
      <c r="E175" s="410"/>
      <c r="F175" s="410"/>
      <c r="G175" s="410"/>
      <c r="H175" s="410"/>
      <c r="I175" s="410"/>
      <c r="J175" s="410"/>
      <c r="K175" s="410"/>
      <c r="L175" s="410"/>
      <c r="M175" s="410"/>
      <c r="N175" s="410"/>
      <c r="O175" s="410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outlineLevel="1">
      <c r="A176" s="385"/>
      <c r="B176" s="367"/>
      <c r="C176" s="410"/>
      <c r="D176" s="410"/>
      <c r="E176" s="410"/>
      <c r="F176" s="410"/>
      <c r="G176" s="410"/>
      <c r="H176" s="410"/>
      <c r="I176" s="410"/>
      <c r="J176" s="410"/>
      <c r="K176" s="410"/>
      <c r="L176" s="410"/>
      <c r="M176" s="410"/>
      <c r="N176" s="410"/>
      <c r="O176" s="410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outlineLevel="1">
      <c r="A177" s="367"/>
      <c r="B177" s="367"/>
      <c r="C177" s="410"/>
      <c r="D177" s="410"/>
      <c r="E177" s="410"/>
      <c r="F177" s="410"/>
      <c r="G177" s="410"/>
      <c r="H177" s="410"/>
      <c r="I177" s="410"/>
      <c r="J177" s="410"/>
      <c r="K177" s="410"/>
      <c r="L177" s="410"/>
      <c r="M177" s="410"/>
      <c r="N177" s="410"/>
      <c r="O177" s="410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outlineLevel="1">
      <c r="A178" s="367"/>
      <c r="B178" s="385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N178" s="460"/>
      <c r="O178" s="460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outlineLevel="1">
      <c r="A179" s="367"/>
      <c r="B179" s="385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N179" s="460"/>
      <c r="O179" s="460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outlineLevel="1">
      <c r="A180" s="385"/>
      <c r="B180" s="385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N180" s="460"/>
      <c r="O180" s="460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outlineLevel="1">
      <c r="A181" s="385"/>
      <c r="B181" s="367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N181" s="460"/>
      <c r="O181" s="460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outlineLevel="1">
      <c r="A182" s="385"/>
      <c r="B182" s="367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N182" s="460"/>
      <c r="O182" s="460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outlineLevel="1">
      <c r="A183" s="367"/>
      <c r="B183" s="385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N183" s="460"/>
      <c r="O183" s="460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5" outlineLevel="1">
      <c r="A184" s="409"/>
      <c r="B184" s="367"/>
      <c r="C184" s="367"/>
      <c r="D184" s="410"/>
      <c r="E184" s="367"/>
      <c r="F184" s="367"/>
      <c r="G184" s="410"/>
      <c r="H184" s="367"/>
      <c r="I184" s="367"/>
      <c r="J184" s="367"/>
      <c r="K184" s="367"/>
      <c r="L184" s="367"/>
      <c r="M184" s="367"/>
      <c r="N184" s="367"/>
      <c r="O184" s="367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outlineLevel="1">
      <c r="A185" s="385"/>
      <c r="B185" s="367"/>
      <c r="C185" s="461"/>
      <c r="D185" s="410"/>
      <c r="E185" s="410"/>
      <c r="F185" s="410"/>
      <c r="G185" s="462"/>
      <c r="H185" s="463"/>
      <c r="I185" s="463"/>
      <c r="J185" s="463"/>
      <c r="K185" s="463"/>
      <c r="L185" s="463"/>
      <c r="M185" s="463"/>
      <c r="N185" s="463"/>
      <c r="O185" s="46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outlineLevel="1">
      <c r="A186" s="385"/>
      <c r="B186" s="464"/>
      <c r="C186" s="465"/>
      <c r="D186" s="465"/>
      <c r="E186" s="465"/>
      <c r="F186" s="465"/>
      <c r="G186" s="465"/>
      <c r="H186" s="465"/>
      <c r="I186" s="465"/>
      <c r="J186" s="465"/>
      <c r="K186" s="465"/>
      <c r="L186" s="465"/>
      <c r="M186" s="465"/>
      <c r="N186" s="465"/>
      <c r="O186" s="465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outlineLevel="1">
      <c r="A187" s="464"/>
      <c r="B187" s="464"/>
      <c r="C187" s="465"/>
      <c r="D187" s="465"/>
      <c r="E187" s="465"/>
      <c r="F187" s="465"/>
      <c r="G187" s="465"/>
      <c r="H187" s="465"/>
      <c r="I187" s="465"/>
      <c r="J187" s="465"/>
      <c r="K187" s="465"/>
      <c r="L187" s="465"/>
      <c r="M187" s="465"/>
      <c r="N187" s="465"/>
      <c r="O187" s="465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outlineLevel="1">
      <c r="A188" s="464"/>
      <c r="B188" s="464"/>
      <c r="C188" s="465"/>
      <c r="D188" s="465"/>
      <c r="E188" s="465"/>
      <c r="F188" s="465"/>
      <c r="G188" s="465"/>
      <c r="H188" s="465"/>
      <c r="I188" s="465"/>
      <c r="J188" s="465"/>
      <c r="K188" s="465"/>
      <c r="L188" s="465"/>
      <c r="M188" s="465"/>
      <c r="N188" s="465"/>
      <c r="O188" s="465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outlineLevel="1">
      <c r="A189" s="464"/>
      <c r="B189" s="367"/>
      <c r="C189" s="410"/>
      <c r="D189" s="410"/>
      <c r="E189" s="410"/>
      <c r="F189" s="410"/>
      <c r="G189" s="410"/>
      <c r="H189" s="410"/>
      <c r="I189" s="410"/>
      <c r="J189" s="410"/>
      <c r="K189" s="410"/>
      <c r="L189" s="410"/>
      <c r="M189" s="410"/>
      <c r="N189" s="410"/>
      <c r="O189" s="410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outlineLevel="1">
      <c r="A190" s="367"/>
      <c r="B190" s="385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N190" s="460"/>
      <c r="O190" s="460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outlineLevel="1">
      <c r="A191" s="385"/>
      <c r="B191" s="385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N191" s="460"/>
      <c r="O191" s="460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outlineLevel="1">
      <c r="A192" s="385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outlineLevel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outlineLevel="1">
      <c r="A194" s="367"/>
      <c r="B194" s="385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N194" s="460"/>
      <c r="O194" s="460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outlineLevel="1">
      <c r="A195" s="385"/>
      <c r="B195" s="367"/>
      <c r="C195" s="410"/>
      <c r="D195" s="410"/>
      <c r="E195" s="410"/>
      <c r="F195" s="410"/>
      <c r="G195" s="410"/>
      <c r="H195" s="410"/>
      <c r="I195" s="410"/>
      <c r="J195" s="410"/>
      <c r="K195" s="410"/>
      <c r="L195" s="410"/>
      <c r="M195" s="410"/>
      <c r="N195" s="410"/>
      <c r="O195" s="410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outlineLevel="1">
      <c r="A196" s="466"/>
      <c r="B196" s="367"/>
      <c r="C196" s="367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outlineLevel="1">
      <c r="A197" s="45"/>
      <c r="B197" s="367"/>
      <c r="C197" s="367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outlineLevel="1">
      <c r="A198" s="45"/>
      <c r="B198" s="367"/>
      <c r="C198" s="367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outlineLevel="1">
      <c r="A199" s="45"/>
      <c r="B199" s="367"/>
      <c r="C199" s="367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outlineLevel="1">
      <c r="A200" s="45"/>
      <c r="B200" s="367"/>
      <c r="C200" s="367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outlineLevel="1">
      <c r="A201" s="45"/>
      <c r="B201" s="367"/>
      <c r="C201" s="367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outlineLevel="1">
      <c r="A202" s="45"/>
      <c r="B202" s="367"/>
      <c r="C202" s="367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outlineLevel="1">
      <c r="A203" s="45"/>
      <c r="B203" s="367"/>
      <c r="C203" s="367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outlineLevel="1">
      <c r="A204" s="467"/>
      <c r="B204" s="367"/>
      <c r="C204" s="367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outlineLevel="1">
      <c r="A205" s="45"/>
      <c r="B205" s="367"/>
      <c r="C205" s="367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outlineLevel="1">
      <c r="A206" s="45"/>
      <c r="B206" s="367"/>
      <c r="C206" s="367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outlineLevel="1">
      <c r="A207" s="45"/>
      <c r="B207" s="367"/>
      <c r="C207" s="367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outlineLevel="1">
      <c r="A208" s="45"/>
      <c r="B208" s="367"/>
      <c r="C208" s="367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outlineLevel="1">
      <c r="A209" s="45"/>
      <c r="B209" s="367"/>
      <c r="C209" s="367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outlineLevel="1">
      <c r="A210" s="45"/>
      <c r="B210" s="367"/>
      <c r="C210" s="367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outlineLevel="1">
      <c r="A211" s="45"/>
      <c r="B211" s="367"/>
      <c r="C211" s="367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outlineLevel="1">
      <c r="A212" s="45"/>
      <c r="B212" s="367"/>
      <c r="C212" s="367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outlineLevel="1">
      <c r="A213" s="45"/>
      <c r="B213" s="367"/>
      <c r="C213" s="367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outlineLevel="1">
      <c r="A214" s="45"/>
      <c r="B214" s="367"/>
      <c r="C214" s="367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outlineLevel="1">
      <c r="A215" s="45"/>
      <c r="B215" s="367"/>
      <c r="C215" s="367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outlineLevel="1">
      <c r="A216" s="466"/>
      <c r="B216" s="367"/>
      <c r="C216" s="367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outlineLevel="1">
      <c r="A217" s="467"/>
      <c r="B217" s="367"/>
      <c r="C217" s="367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outlineLevel="1">
      <c r="A218" s="467"/>
      <c r="B218" s="367"/>
      <c r="C218" s="367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5" customHeight="1" outlineLevel="1">
      <c r="A219" s="467"/>
      <c r="B219" s="367"/>
      <c r="C219" s="367"/>
      <c r="D219" s="367"/>
      <c r="E219" s="405"/>
      <c r="F219" s="405"/>
      <c r="G219" s="405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outlineLevel="1">
      <c r="A220" s="467"/>
      <c r="B220" s="367"/>
      <c r="C220" s="367"/>
      <c r="D220" s="367"/>
      <c r="E220" s="405"/>
      <c r="F220" s="405"/>
      <c r="G220" s="405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4.25" customHeight="1" outlineLevel="1">
      <c r="A221" s="467"/>
      <c r="B221" s="367"/>
      <c r="C221" s="367"/>
      <c r="D221" s="367"/>
      <c r="E221" s="405"/>
      <c r="F221" s="405"/>
      <c r="G221" s="405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outlineLevel="1">
      <c r="A222" s="467"/>
      <c r="B222" s="367"/>
      <c r="C222" s="367"/>
      <c r="D222" s="367"/>
      <c r="E222" s="405"/>
      <c r="F222" s="405"/>
      <c r="G222" s="405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outlineLevel="1">
      <c r="A223" s="467"/>
      <c r="B223" s="367"/>
      <c r="C223" s="367"/>
      <c r="D223" s="367"/>
      <c r="E223" s="405"/>
      <c r="F223" s="405"/>
      <c r="G223" s="405"/>
      <c r="H223" s="405"/>
      <c r="I223" s="405"/>
      <c r="J223" s="405"/>
      <c r="K223" s="405"/>
      <c r="L223" s="405"/>
      <c r="M223" s="405"/>
      <c r="N223" s="405"/>
      <c r="O223" s="405"/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</row>
    <row r="224" spans="1:25" outlineLevel="1">
      <c r="A224" s="468"/>
      <c r="B224" s="367"/>
      <c r="C224" s="367"/>
      <c r="D224" s="367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</row>
    <row r="225" spans="1:25" outlineLevel="1">
      <c r="A225" s="468"/>
      <c r="B225" s="367"/>
      <c r="C225" s="367"/>
      <c r="D225" s="367"/>
      <c r="E225" s="405"/>
      <c r="F225" s="405"/>
      <c r="G225" s="405"/>
      <c r="H225" s="405"/>
      <c r="I225" s="405"/>
      <c r="J225" s="405"/>
      <c r="K225" s="405"/>
      <c r="L225" s="405"/>
      <c r="M225" s="405"/>
      <c r="N225" s="405"/>
      <c r="O225" s="405"/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</row>
    <row r="226" spans="1:25" outlineLevel="1">
      <c r="A226" s="468"/>
      <c r="B226" s="367"/>
      <c r="C226" s="367"/>
      <c r="D226" s="367"/>
      <c r="E226" s="405"/>
      <c r="F226" s="405"/>
      <c r="G226" s="405"/>
      <c r="H226" s="405"/>
      <c r="I226" s="405"/>
      <c r="J226" s="405"/>
      <c r="K226" s="405"/>
      <c r="L226" s="405"/>
      <c r="M226" s="405"/>
      <c r="N226" s="405"/>
      <c r="O226" s="405"/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</row>
    <row r="227" spans="1:25" outlineLevel="1">
      <c r="A227" s="405"/>
      <c r="B227" s="367"/>
      <c r="C227" s="367"/>
      <c r="D227" s="367"/>
      <c r="E227" s="405"/>
      <c r="F227" s="405"/>
      <c r="G227" s="405"/>
      <c r="H227" s="405"/>
      <c r="I227" s="405"/>
      <c r="J227" s="405"/>
      <c r="K227" s="405"/>
      <c r="L227" s="405"/>
      <c r="M227" s="405"/>
      <c r="N227" s="405"/>
      <c r="O227" s="405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</row>
    <row r="228" spans="1:25" outlineLevel="1">
      <c r="A228" s="367"/>
      <c r="B228" s="367"/>
      <c r="C228" s="367"/>
      <c r="D228" s="367"/>
      <c r="E228" s="405"/>
      <c r="F228" s="405"/>
      <c r="G228" s="405"/>
      <c r="H228" s="405"/>
      <c r="I228" s="405"/>
      <c r="J228" s="405"/>
      <c r="K228" s="405"/>
      <c r="L228" s="405"/>
      <c r="M228" s="405"/>
      <c r="N228" s="405"/>
      <c r="O228" s="405"/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</row>
    <row r="229" spans="1:25" outlineLevel="1">
      <c r="A229" s="367"/>
      <c r="B229" s="367"/>
      <c r="C229" s="367"/>
      <c r="D229" s="367"/>
      <c r="E229" s="405"/>
      <c r="F229" s="405"/>
      <c r="G229" s="405"/>
      <c r="H229" s="405"/>
      <c r="I229" s="405"/>
      <c r="J229" s="405"/>
      <c r="K229" s="405"/>
      <c r="L229" s="405"/>
      <c r="M229" s="405"/>
      <c r="N229" s="405"/>
      <c r="O229" s="405"/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</row>
    <row r="230" spans="1:25" outlineLevel="1">
      <c r="A230" s="367"/>
      <c r="B230" s="367"/>
      <c r="C230" s="367"/>
      <c r="D230" s="367"/>
      <c r="E230" s="405"/>
      <c r="F230" s="405"/>
      <c r="G230" s="405"/>
      <c r="H230" s="405"/>
      <c r="I230" s="405"/>
      <c r="J230" s="405"/>
      <c r="K230" s="405"/>
      <c r="L230" s="405"/>
      <c r="M230" s="405"/>
      <c r="N230" s="405"/>
      <c r="O230" s="405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</row>
    <row r="231" spans="1:25" outlineLevel="1">
      <c r="A231" s="385"/>
      <c r="B231" s="367"/>
      <c r="C231" s="367"/>
      <c r="D231" s="367"/>
      <c r="E231" s="405"/>
      <c r="F231" s="405"/>
      <c r="G231" s="405"/>
      <c r="H231" s="405"/>
      <c r="I231" s="405"/>
      <c r="J231" s="405"/>
      <c r="K231" s="405"/>
      <c r="L231" s="405"/>
      <c r="M231" s="405"/>
      <c r="N231" s="405"/>
      <c r="O231" s="405"/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</row>
    <row r="232" spans="1:25" outlineLevel="1">
      <c r="A232" s="385"/>
      <c r="B232" s="367"/>
      <c r="C232" s="367"/>
      <c r="D232" s="367"/>
      <c r="E232" s="405"/>
      <c r="F232" s="405"/>
      <c r="G232" s="405"/>
      <c r="H232" s="405"/>
      <c r="I232" s="405"/>
      <c r="J232" s="405"/>
      <c r="K232" s="405"/>
      <c r="L232" s="405"/>
      <c r="M232" s="405"/>
      <c r="N232" s="405"/>
      <c r="O232" s="405"/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</row>
    <row r="233" spans="1:25" outlineLevel="1">
      <c r="A233" s="385"/>
      <c r="B233" s="367"/>
      <c r="C233" s="367"/>
      <c r="D233" s="367"/>
      <c r="E233" s="405"/>
      <c r="F233" s="405"/>
      <c r="G233" s="405"/>
      <c r="H233" s="405"/>
      <c r="I233" s="405"/>
      <c r="J233" s="405"/>
      <c r="K233" s="405"/>
      <c r="L233" s="405"/>
      <c r="M233" s="405"/>
      <c r="N233" s="405"/>
      <c r="O233" s="405"/>
      <c r="P233" s="405"/>
      <c r="Q233" s="405"/>
      <c r="R233" s="405"/>
      <c r="S233" s="405"/>
      <c r="T233" s="405"/>
      <c r="U233" s="405"/>
      <c r="V233" s="405"/>
      <c r="W233" s="405"/>
      <c r="X233" s="405"/>
      <c r="Y233" s="405"/>
    </row>
    <row r="234" spans="1:25" outlineLevel="1">
      <c r="A234" s="367"/>
      <c r="B234" s="367"/>
      <c r="C234" s="367"/>
      <c r="D234" s="367"/>
      <c r="E234" s="405"/>
      <c r="F234" s="405"/>
      <c r="G234" s="405"/>
      <c r="H234" s="405"/>
      <c r="I234" s="405"/>
      <c r="J234" s="405"/>
      <c r="K234" s="405"/>
      <c r="L234" s="405"/>
      <c r="M234" s="405"/>
      <c r="N234" s="405"/>
      <c r="O234" s="405"/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</row>
    <row r="235" spans="1:25" outlineLevel="1">
      <c r="A235" s="367"/>
      <c r="B235" s="367"/>
      <c r="C235" s="367"/>
      <c r="D235" s="367"/>
      <c r="E235" s="405"/>
      <c r="F235" s="405"/>
      <c r="G235" s="405"/>
      <c r="H235" s="405"/>
      <c r="I235" s="405"/>
      <c r="J235" s="405"/>
      <c r="K235" s="405"/>
      <c r="L235" s="405"/>
      <c r="M235" s="405"/>
      <c r="N235" s="405"/>
      <c r="O235" s="405"/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</row>
    <row r="236" spans="1:25" outlineLevel="1">
      <c r="A236" s="371"/>
      <c r="B236" s="371"/>
      <c r="C236" s="371"/>
      <c r="D236" s="373"/>
      <c r="E236" s="373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</row>
    <row r="237" spans="1:25" outlineLevel="1">
      <c r="A237" s="467"/>
      <c r="B237" s="367"/>
      <c r="C237" s="367"/>
      <c r="D237" s="367"/>
      <c r="E237" s="405"/>
      <c r="F237" s="405"/>
      <c r="G237" s="405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outlineLevel="1">
      <c r="A238" s="45"/>
      <c r="B238" s="367"/>
      <c r="C238" s="367"/>
      <c r="D238" s="367"/>
      <c r="E238" s="405"/>
      <c r="F238" s="405"/>
      <c r="G238" s="405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outlineLevel="1">
      <c r="A239" s="45"/>
      <c r="B239" s="367"/>
      <c r="C239" s="367"/>
      <c r="D239" s="367"/>
      <c r="E239" s="405"/>
      <c r="F239" s="405"/>
      <c r="G239" s="405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outlineLevel="1">
      <c r="A240" s="466"/>
      <c r="B240" s="367"/>
      <c r="C240" s="367"/>
      <c r="D240" s="367"/>
      <c r="E240" s="405"/>
      <c r="F240" s="405"/>
      <c r="G240" s="405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outlineLevel="1">
      <c r="A241" s="405"/>
      <c r="B241" s="367"/>
      <c r="C241" s="367"/>
      <c r="D241" s="367"/>
      <c r="E241" s="405"/>
      <c r="F241" s="405"/>
      <c r="G241" s="405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outlineLevel="1">
      <c r="A242" s="467"/>
      <c r="B242" s="367"/>
      <c r="C242" s="367"/>
      <c r="D242" s="367"/>
      <c r="E242" s="405"/>
      <c r="F242" s="405"/>
      <c r="G242" s="405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outlineLevel="1">
      <c r="A243" s="45"/>
      <c r="B243" s="367"/>
      <c r="C243" s="367"/>
      <c r="D243" s="367"/>
      <c r="E243" s="405"/>
      <c r="F243" s="405"/>
      <c r="G243" s="405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outlineLevel="1">
      <c r="A244" s="45"/>
      <c r="B244" s="367"/>
      <c r="C244" s="367"/>
      <c r="D244" s="367"/>
      <c r="E244" s="405"/>
      <c r="F244" s="405"/>
      <c r="G244" s="405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outlineLevel="1">
      <c r="A245" s="45"/>
      <c r="B245" s="367"/>
      <c r="C245" s="367"/>
      <c r="D245" s="23"/>
      <c r="E245" s="405"/>
      <c r="F245" s="405"/>
      <c r="G245" s="405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outlineLevel="1">
      <c r="A246" s="45"/>
      <c r="B246" s="367"/>
      <c r="C246" s="367"/>
      <c r="D246" s="367"/>
      <c r="E246" s="405"/>
      <c r="F246" s="405"/>
      <c r="G246" s="405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outlineLevel="1">
      <c r="A247" s="405"/>
      <c r="B247" s="367"/>
      <c r="C247" s="367"/>
      <c r="D247" s="367"/>
      <c r="E247" s="405"/>
      <c r="F247" s="405"/>
      <c r="G247" s="405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outlineLevel="1">
      <c r="A248" s="467"/>
      <c r="B248" s="367"/>
      <c r="C248" s="367"/>
      <c r="D248" s="367"/>
      <c r="E248" s="405"/>
      <c r="F248" s="405"/>
      <c r="G248" s="405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outlineLevel="1">
      <c r="A249" s="405"/>
      <c r="B249" s="367"/>
      <c r="C249" s="367"/>
      <c r="D249" s="367"/>
      <c r="E249" s="405"/>
      <c r="F249" s="405"/>
      <c r="G249" s="405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outlineLevel="1">
      <c r="A250" s="467"/>
      <c r="B250" s="367"/>
      <c r="C250" s="367"/>
      <c r="D250" s="367"/>
      <c r="E250" s="405"/>
      <c r="F250" s="405"/>
      <c r="G250" s="405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outlineLevel="1">
      <c r="A251" s="45"/>
      <c r="B251" s="367"/>
      <c r="C251" s="367"/>
      <c r="D251" s="367"/>
      <c r="E251" s="405"/>
      <c r="F251" s="405"/>
      <c r="G251" s="405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outlineLevel="1">
      <c r="A252" s="467"/>
      <c r="B252" s="367"/>
      <c r="C252" s="367"/>
      <c r="D252" s="367"/>
      <c r="E252" s="405"/>
      <c r="F252" s="405"/>
      <c r="G252" s="405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outlineLevel="1">
      <c r="A253" s="45"/>
      <c r="B253" s="367"/>
      <c r="C253" s="367"/>
      <c r="D253" s="367"/>
      <c r="E253" s="405"/>
      <c r="F253" s="405"/>
      <c r="G253" s="405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outlineLevel="1">
      <c r="A254" s="45"/>
      <c r="B254" s="367"/>
      <c r="C254" s="367"/>
      <c r="D254" s="367"/>
      <c r="E254" s="405"/>
      <c r="F254" s="405"/>
      <c r="G254" s="405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outlineLevel="1">
      <c r="A255" s="466"/>
      <c r="B255" s="367"/>
      <c r="C255" s="367"/>
      <c r="D255" s="367"/>
      <c r="E255" s="405"/>
      <c r="F255" s="405"/>
      <c r="G255" s="405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outlineLevel="1">
      <c r="A256" s="45"/>
      <c r="B256" s="367"/>
      <c r="C256" s="367"/>
      <c r="D256" s="367"/>
      <c r="E256" s="405"/>
      <c r="F256" s="405"/>
      <c r="G256" s="405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outlineLevel="1">
      <c r="A257" s="466"/>
      <c r="B257" s="367"/>
      <c r="C257" s="367"/>
      <c r="D257" s="367"/>
      <c r="E257" s="405"/>
      <c r="F257" s="405"/>
      <c r="G257" s="405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outlineLevel="1">
      <c r="A258" s="45"/>
      <c r="B258" s="367"/>
      <c r="C258" s="367"/>
      <c r="D258" s="367"/>
      <c r="E258" s="405"/>
      <c r="F258" s="405"/>
      <c r="G258" s="405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outlineLevel="1">
      <c r="A259" s="45"/>
      <c r="B259" s="367"/>
      <c r="C259" s="367"/>
      <c r="D259" s="367"/>
      <c r="E259" s="405"/>
      <c r="F259" s="405"/>
      <c r="G259" s="405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outlineLevel="1">
      <c r="A260" s="45"/>
      <c r="B260" s="367"/>
      <c r="C260" s="367"/>
      <c r="D260" s="367"/>
      <c r="E260" s="405"/>
      <c r="F260" s="405"/>
      <c r="G260" s="405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outlineLevel="1">
      <c r="A261" s="45"/>
      <c r="B261" s="367"/>
      <c r="C261" s="367"/>
      <c r="D261" s="367"/>
      <c r="E261" s="405"/>
      <c r="F261" s="405"/>
      <c r="G261" s="405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outlineLevel="1">
      <c r="A262" s="45"/>
      <c r="B262" s="367"/>
      <c r="C262" s="367"/>
      <c r="D262" s="367"/>
      <c r="E262" s="405"/>
      <c r="F262" s="405"/>
      <c r="G262" s="405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outlineLevel="1">
      <c r="A263" s="45"/>
      <c r="B263" s="367"/>
      <c r="C263" s="367"/>
      <c r="D263" s="367"/>
      <c r="E263" s="405"/>
      <c r="F263" s="405"/>
      <c r="G263" s="405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outlineLevel="1">
      <c r="A264" s="467"/>
      <c r="B264" s="367"/>
      <c r="C264" s="367"/>
      <c r="D264" s="367"/>
      <c r="E264" s="405"/>
      <c r="F264" s="405"/>
      <c r="G264" s="405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outlineLevel="1">
      <c r="A265" s="45"/>
      <c r="B265" s="367"/>
      <c r="C265" s="367"/>
      <c r="D265" s="367"/>
      <c r="E265" s="405"/>
      <c r="F265" s="405"/>
      <c r="G265" s="405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outlineLevel="1">
      <c r="A266" s="45"/>
      <c r="B266" s="367"/>
      <c r="C266" s="367"/>
      <c r="D266" s="367"/>
      <c r="E266" s="405"/>
      <c r="F266" s="405"/>
      <c r="G266" s="405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outlineLevel="1">
      <c r="A267" s="45"/>
      <c r="B267" s="367"/>
      <c r="C267" s="367"/>
      <c r="D267" s="367"/>
      <c r="E267" s="405"/>
      <c r="F267" s="405"/>
      <c r="G267" s="405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outlineLevel="1">
      <c r="A268" s="45"/>
      <c r="B268" s="367"/>
      <c r="C268" s="367"/>
      <c r="D268" s="367"/>
      <c r="E268" s="405"/>
      <c r="F268" s="405"/>
      <c r="G268" s="405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outlineLevel="1">
      <c r="A269" s="45"/>
      <c r="B269" s="367"/>
      <c r="C269" s="367"/>
      <c r="D269" s="367"/>
      <c r="E269" s="405"/>
      <c r="F269" s="405"/>
      <c r="G269" s="405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outlineLevel="1">
      <c r="A270" s="45"/>
      <c r="B270" s="367"/>
      <c r="C270" s="367"/>
      <c r="D270" s="367"/>
      <c r="E270" s="405"/>
      <c r="F270" s="405"/>
      <c r="G270" s="405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outlineLevel="1">
      <c r="A271" s="466"/>
      <c r="B271" s="367"/>
      <c r="C271" s="367"/>
      <c r="D271" s="367"/>
      <c r="E271" s="405"/>
      <c r="F271" s="405"/>
      <c r="G271" s="405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outlineLevel="1">
      <c r="A272" s="467"/>
      <c r="B272" s="367"/>
      <c r="C272" s="367"/>
      <c r="D272" s="367"/>
      <c r="E272" s="405"/>
      <c r="F272" s="405"/>
      <c r="G272" s="405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outlineLevel="1">
      <c r="A273" s="467"/>
      <c r="B273" s="367"/>
      <c r="C273" s="367"/>
      <c r="D273" s="367"/>
      <c r="E273" s="405"/>
      <c r="F273" s="405"/>
      <c r="G273" s="405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outlineLevel="1">
      <c r="A274" s="467"/>
      <c r="B274" s="367"/>
      <c r="C274" s="367"/>
      <c r="D274" s="367"/>
      <c r="E274" s="405"/>
      <c r="F274" s="405"/>
      <c r="G274" s="405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outlineLevel="1">
      <c r="A275" s="467"/>
      <c r="B275" s="367"/>
      <c r="C275" s="367"/>
      <c r="D275" s="367"/>
      <c r="E275" s="405"/>
      <c r="F275" s="405"/>
      <c r="G275" s="405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outlineLevel="1">
      <c r="A276" s="467"/>
      <c r="B276" s="367"/>
      <c r="C276" s="367"/>
      <c r="D276" s="367"/>
      <c r="E276" s="405"/>
      <c r="F276" s="405"/>
      <c r="G276" s="405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outlineLevel="1">
      <c r="A277" s="467"/>
      <c r="B277" s="367"/>
      <c r="C277" s="367"/>
      <c r="D277" s="367"/>
      <c r="E277" s="405"/>
      <c r="F277" s="405"/>
      <c r="G277" s="405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outlineLevel="1">
      <c r="A278" s="467"/>
      <c r="B278" s="367"/>
      <c r="C278" s="367"/>
      <c r="D278" s="367"/>
      <c r="E278" s="405"/>
      <c r="F278" s="405"/>
      <c r="G278" s="405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outlineLevel="1">
      <c r="A279" s="367"/>
      <c r="B279" s="367"/>
      <c r="C279" s="367"/>
      <c r="D279" s="367"/>
      <c r="E279" s="405"/>
      <c r="F279" s="405"/>
      <c r="G279" s="405"/>
      <c r="H279" s="405"/>
      <c r="I279" s="405"/>
      <c r="J279" s="405"/>
      <c r="K279" s="405"/>
      <c r="L279" s="405"/>
      <c r="M279" s="405"/>
      <c r="N279" s="405"/>
      <c r="O279" s="405"/>
      <c r="P279" s="405"/>
      <c r="Q279" s="405"/>
      <c r="R279" s="405"/>
      <c r="S279" s="405"/>
      <c r="T279" s="405"/>
      <c r="U279" s="405"/>
      <c r="V279" s="405"/>
      <c r="W279" s="405"/>
      <c r="X279" s="405"/>
      <c r="Y279" s="405"/>
    </row>
    <row r="280" spans="1:25" outlineLevel="1">
      <c r="A280" s="367"/>
      <c r="B280" s="367"/>
      <c r="C280" s="367"/>
      <c r="D280" s="367"/>
      <c r="E280" s="405"/>
      <c r="F280" s="405"/>
      <c r="G280" s="405"/>
      <c r="H280" s="405"/>
      <c r="I280" s="405"/>
      <c r="J280" s="405"/>
      <c r="K280" s="405"/>
      <c r="L280" s="405"/>
      <c r="M280" s="405"/>
      <c r="N280" s="405"/>
      <c r="O280" s="405"/>
      <c r="P280" s="405"/>
      <c r="Q280" s="405"/>
      <c r="R280" s="405"/>
      <c r="S280" s="405"/>
      <c r="T280" s="405"/>
      <c r="U280" s="405"/>
      <c r="V280" s="405"/>
      <c r="W280" s="405"/>
      <c r="X280" s="405"/>
      <c r="Y280" s="405"/>
    </row>
    <row r="281" spans="1:25" outlineLevel="1">
      <c r="A281" s="367"/>
      <c r="B281" s="367"/>
      <c r="C281" s="367"/>
      <c r="D281" s="367"/>
      <c r="E281" s="367"/>
      <c r="F281" s="367"/>
      <c r="G281" s="367"/>
      <c r="H281" s="405"/>
      <c r="I281" s="405"/>
      <c r="J281" s="405"/>
      <c r="K281" s="405"/>
      <c r="L281" s="405"/>
      <c r="M281" s="405"/>
      <c r="N281" s="405"/>
      <c r="O281" s="405"/>
      <c r="P281" s="405"/>
      <c r="Q281" s="405"/>
      <c r="R281" s="405"/>
      <c r="S281" s="405"/>
      <c r="T281" s="405"/>
      <c r="U281" s="405"/>
      <c r="V281" s="405"/>
      <c r="W281" s="405"/>
      <c r="X281" s="405"/>
      <c r="Y281" s="405"/>
    </row>
    <row r="282" spans="1:25" outlineLevel="1">
      <c r="A282" s="371"/>
      <c r="B282" s="371"/>
      <c r="C282" s="371"/>
      <c r="D282" s="367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</row>
    <row r="283" spans="1:25" outlineLevel="1">
      <c r="A283" s="385"/>
      <c r="B283" s="385"/>
      <c r="C283" s="385"/>
      <c r="D283" s="367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</row>
    <row r="284" spans="1:25" outlineLevel="1">
      <c r="A284" s="385"/>
      <c r="B284" s="469"/>
      <c r="C284" s="469"/>
      <c r="D284" s="367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</row>
    <row r="285" spans="1:25" outlineLevel="1">
      <c r="A285" s="367"/>
      <c r="B285" s="367"/>
      <c r="C285" s="367"/>
      <c r="D285" s="367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</row>
    <row r="286" spans="1:25" outlineLevel="1">
      <c r="A286" s="371"/>
      <c r="B286" s="373"/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</row>
    <row r="287" spans="1:25" outlineLevel="1">
      <c r="A287" s="385"/>
      <c r="B287" s="385"/>
      <c r="C287" s="385"/>
      <c r="D287" s="385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</row>
    <row r="288" spans="1:25" outlineLevel="1">
      <c r="A288" s="88"/>
      <c r="B288" s="385"/>
      <c r="C288" s="385"/>
      <c r="D288" s="385"/>
      <c r="E288" s="66"/>
      <c r="F288" s="66"/>
      <c r="G288" s="66"/>
      <c r="H288" s="66"/>
      <c r="I288" s="66"/>
      <c r="J288" s="66"/>
      <c r="K288" s="66"/>
      <c r="L288" s="66"/>
      <c r="M288" s="367"/>
      <c r="N288" s="66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</row>
    <row r="289" spans="1:25" outlineLevel="1">
      <c r="A289" s="88"/>
      <c r="B289" s="385"/>
      <c r="C289" s="385"/>
      <c r="D289" s="385"/>
      <c r="E289" s="66"/>
      <c r="F289" s="66"/>
      <c r="G289" s="66"/>
      <c r="H289" s="66"/>
      <c r="I289" s="66"/>
      <c r="J289" s="66"/>
      <c r="K289" s="66"/>
      <c r="L289" s="66"/>
      <c r="M289" s="367"/>
      <c r="N289" s="66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</row>
    <row r="290" spans="1:25" outlineLevel="1">
      <c r="A290" s="88"/>
      <c r="B290" s="88"/>
      <c r="C290" s="88"/>
      <c r="D290" s="88"/>
      <c r="E290" s="66"/>
      <c r="F290" s="66"/>
      <c r="G290" s="66"/>
      <c r="H290" s="66"/>
      <c r="I290" s="66"/>
      <c r="J290" s="66"/>
      <c r="K290" s="66"/>
      <c r="L290" s="66"/>
      <c r="M290" s="367"/>
      <c r="N290" s="66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</row>
    <row r="291" spans="1:25" outlineLevel="1">
      <c r="A291" s="88"/>
      <c r="B291" s="88"/>
      <c r="C291" s="88"/>
      <c r="D291" s="88"/>
      <c r="E291" s="66"/>
      <c r="F291" s="66"/>
      <c r="G291" s="66"/>
      <c r="H291" s="66"/>
      <c r="I291" s="66"/>
      <c r="J291" s="66"/>
      <c r="K291" s="66"/>
      <c r="L291" s="66"/>
      <c r="M291" s="367"/>
      <c r="N291" s="66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</row>
    <row r="292" spans="1:25" outlineLevel="1">
      <c r="A292" s="88"/>
      <c r="B292" s="371"/>
      <c r="C292" s="371"/>
      <c r="D292" s="371"/>
      <c r="E292" s="66"/>
      <c r="F292" s="66"/>
      <c r="G292" s="66"/>
      <c r="H292" s="66"/>
      <c r="I292" s="66"/>
      <c r="J292" s="66"/>
      <c r="K292" s="66"/>
      <c r="L292" s="66"/>
      <c r="M292" s="367"/>
      <c r="N292" s="66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</row>
    <row r="293" spans="1:25" outlineLevel="1">
      <c r="A293" s="367"/>
      <c r="B293" s="367"/>
      <c r="C293" s="367"/>
      <c r="D293" s="367"/>
      <c r="E293" s="66"/>
      <c r="F293" s="66"/>
      <c r="G293" s="66"/>
      <c r="H293" s="66"/>
      <c r="I293" s="66"/>
      <c r="J293" s="66"/>
      <c r="K293" s="66"/>
      <c r="L293" s="66"/>
      <c r="M293" s="367"/>
      <c r="N293" s="66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</row>
    <row r="294" spans="1:25" outlineLevel="1">
      <c r="A294" s="385"/>
      <c r="B294" s="385"/>
      <c r="C294" s="385"/>
      <c r="D294" s="385"/>
      <c r="E294" s="66"/>
      <c r="F294" s="66"/>
      <c r="G294" s="66"/>
      <c r="H294" s="66"/>
      <c r="I294" s="66"/>
      <c r="J294" s="66"/>
      <c r="K294" s="66"/>
      <c r="L294" s="66"/>
      <c r="M294" s="367"/>
      <c r="N294" s="66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</row>
    <row r="295" spans="1:25" outlineLevel="1">
      <c r="A295" s="88"/>
      <c r="B295" s="385"/>
      <c r="C295" s="385"/>
      <c r="D295" s="385"/>
      <c r="E295" s="66"/>
      <c r="F295" s="66"/>
      <c r="G295" s="66"/>
      <c r="H295" s="66"/>
      <c r="I295" s="66"/>
      <c r="J295" s="66"/>
      <c r="K295" s="66"/>
      <c r="L295" s="66"/>
      <c r="M295" s="367"/>
      <c r="N295" s="66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</row>
    <row r="296" spans="1:25" outlineLevel="1">
      <c r="A296" s="88"/>
      <c r="B296" s="385"/>
      <c r="C296" s="385"/>
      <c r="D296" s="385"/>
      <c r="E296" s="66"/>
      <c r="F296" s="66"/>
      <c r="G296" s="66"/>
      <c r="H296" s="66"/>
      <c r="I296" s="66"/>
      <c r="J296" s="66"/>
      <c r="K296" s="66"/>
      <c r="L296" s="66"/>
      <c r="M296" s="367"/>
      <c r="N296" s="66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</row>
    <row r="297" spans="1:25" outlineLevel="1">
      <c r="A297" s="88"/>
      <c r="B297" s="385"/>
      <c r="C297" s="385"/>
      <c r="D297" s="385"/>
      <c r="E297" s="66"/>
      <c r="F297" s="66"/>
      <c r="G297" s="66"/>
      <c r="H297" s="66"/>
      <c r="I297" s="66"/>
      <c r="J297" s="66"/>
      <c r="K297" s="66"/>
      <c r="L297" s="66"/>
      <c r="M297" s="367"/>
      <c r="N297" s="66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</row>
    <row r="298" spans="1:25" outlineLevel="1">
      <c r="A298" s="88"/>
      <c r="B298" s="385"/>
      <c r="C298" s="385"/>
      <c r="D298" s="385"/>
      <c r="E298" s="66"/>
      <c r="F298" s="66"/>
      <c r="G298" s="66"/>
      <c r="H298" s="66"/>
      <c r="I298" s="66"/>
      <c r="J298" s="66"/>
      <c r="K298" s="66"/>
      <c r="L298" s="66"/>
      <c r="M298" s="367"/>
      <c r="N298" s="66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</row>
    <row r="299" spans="1:25" outlineLevel="1">
      <c r="A299" s="88"/>
      <c r="B299" s="385"/>
      <c r="C299" s="385"/>
      <c r="D299" s="385"/>
      <c r="E299" s="66"/>
      <c r="F299" s="66"/>
      <c r="G299" s="66"/>
      <c r="H299" s="66"/>
      <c r="I299" s="66"/>
      <c r="J299" s="66"/>
      <c r="K299" s="66"/>
      <c r="L299" s="66"/>
      <c r="M299" s="367"/>
      <c r="N299" s="66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</row>
    <row r="300" spans="1:25" outlineLevel="1">
      <c r="A300" s="88"/>
      <c r="B300" s="385"/>
      <c r="C300" s="385"/>
      <c r="D300" s="385"/>
      <c r="E300" s="66"/>
      <c r="F300" s="66"/>
      <c r="G300" s="66"/>
      <c r="H300" s="66"/>
      <c r="I300" s="66"/>
      <c r="J300" s="66"/>
      <c r="K300" s="66"/>
      <c r="L300" s="66"/>
      <c r="M300" s="367"/>
      <c r="N300" s="66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</row>
    <row r="301" spans="1:25" outlineLevel="1">
      <c r="A301" s="88"/>
      <c r="B301" s="385"/>
      <c r="C301" s="385"/>
      <c r="D301" s="385"/>
      <c r="E301" s="66"/>
      <c r="F301" s="66"/>
      <c r="G301" s="66"/>
      <c r="H301" s="66"/>
      <c r="I301" s="66"/>
      <c r="J301" s="66"/>
      <c r="K301" s="66"/>
      <c r="L301" s="66"/>
      <c r="M301" s="367"/>
      <c r="N301" s="66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</row>
    <row r="302" spans="1:25" outlineLevel="1">
      <c r="A302" s="88"/>
      <c r="B302" s="385"/>
      <c r="C302" s="385"/>
      <c r="D302" s="385"/>
      <c r="E302" s="66"/>
      <c r="F302" s="66"/>
      <c r="G302" s="66"/>
      <c r="H302" s="66"/>
      <c r="I302" s="66"/>
      <c r="J302" s="66"/>
      <c r="K302" s="66"/>
      <c r="L302" s="66"/>
      <c r="M302" s="367"/>
      <c r="N302" s="66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</row>
    <row r="303" spans="1:25" outlineLevel="1">
      <c r="A303" s="88"/>
      <c r="B303" s="385"/>
      <c r="C303" s="385"/>
      <c r="D303" s="385"/>
      <c r="E303" s="66"/>
      <c r="F303" s="66"/>
      <c r="G303" s="66"/>
      <c r="H303" s="66"/>
      <c r="I303" s="66"/>
      <c r="J303" s="66"/>
      <c r="K303" s="66"/>
      <c r="L303" s="66"/>
      <c r="M303" s="367"/>
      <c r="N303" s="66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</row>
    <row r="304" spans="1:25" outlineLevel="1">
      <c r="A304" s="88"/>
      <c r="B304" s="88"/>
      <c r="C304" s="88"/>
      <c r="D304" s="88"/>
      <c r="E304" s="66"/>
      <c r="F304" s="66"/>
      <c r="G304" s="66"/>
      <c r="H304" s="66"/>
      <c r="I304" s="66"/>
      <c r="J304" s="66"/>
      <c r="K304" s="66"/>
      <c r="L304" s="66"/>
      <c r="M304" s="367"/>
      <c r="N304" s="66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</row>
    <row r="305" spans="1:25" outlineLevel="1">
      <c r="A305" s="88"/>
      <c r="B305" s="88"/>
      <c r="C305" s="88"/>
      <c r="D305" s="88"/>
      <c r="E305" s="66"/>
      <c r="F305" s="66"/>
      <c r="G305" s="66"/>
      <c r="H305" s="66"/>
      <c r="I305" s="66"/>
      <c r="J305" s="66"/>
      <c r="K305" s="66"/>
      <c r="L305" s="66"/>
      <c r="M305" s="367"/>
      <c r="N305" s="66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</row>
    <row r="306" spans="1:25" outlineLevel="1">
      <c r="A306" s="385"/>
      <c r="B306" s="385"/>
      <c r="C306" s="385"/>
      <c r="D306" s="385"/>
      <c r="E306" s="66"/>
      <c r="F306" s="66"/>
      <c r="G306" s="66"/>
      <c r="H306" s="66"/>
      <c r="I306" s="66"/>
      <c r="J306" s="66"/>
      <c r="K306" s="66"/>
      <c r="L306" s="66"/>
      <c r="M306" s="367"/>
      <c r="N306" s="66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</row>
    <row r="307" spans="1:25" outlineLevel="1">
      <c r="A307" s="88"/>
      <c r="B307" s="88"/>
      <c r="C307" s="88"/>
      <c r="D307" s="88"/>
      <c r="E307" s="66"/>
      <c r="F307" s="66"/>
      <c r="G307" s="66"/>
      <c r="H307" s="66"/>
      <c r="I307" s="66"/>
      <c r="J307" s="66"/>
      <c r="K307" s="66"/>
      <c r="L307" s="66"/>
      <c r="M307" s="367"/>
      <c r="N307" s="66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</row>
    <row r="308" spans="1:25" outlineLevel="1">
      <c r="A308" s="88"/>
      <c r="B308" s="88"/>
      <c r="C308" s="88"/>
      <c r="D308" s="88"/>
      <c r="E308" s="66"/>
      <c r="F308" s="66"/>
      <c r="G308" s="66"/>
      <c r="H308" s="66"/>
      <c r="I308" s="66"/>
      <c r="J308" s="66"/>
      <c r="K308" s="66"/>
      <c r="L308" s="66"/>
      <c r="M308" s="367"/>
      <c r="N308" s="66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</row>
    <row r="309" spans="1:25" outlineLevel="1">
      <c r="A309" s="385"/>
      <c r="B309" s="385"/>
      <c r="C309" s="385"/>
      <c r="D309" s="385"/>
      <c r="E309" s="66"/>
      <c r="F309" s="66"/>
      <c r="G309" s="66"/>
      <c r="H309" s="66"/>
      <c r="I309" s="66"/>
      <c r="J309" s="66"/>
      <c r="K309" s="66"/>
      <c r="L309" s="66"/>
      <c r="M309" s="367"/>
      <c r="N309" s="66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</row>
    <row r="310" spans="1:25" outlineLevel="1">
      <c r="A310" s="385"/>
      <c r="B310" s="385"/>
      <c r="C310" s="385"/>
      <c r="D310" s="385"/>
      <c r="E310" s="66"/>
      <c r="F310" s="66"/>
      <c r="G310" s="66"/>
      <c r="H310" s="66"/>
      <c r="I310" s="66"/>
      <c r="J310" s="66"/>
      <c r="K310" s="66"/>
      <c r="L310" s="66"/>
      <c r="M310" s="367"/>
      <c r="N310" s="66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</row>
    <row r="311" spans="1:25" outlineLevel="1">
      <c r="A311" s="367"/>
      <c r="B311" s="385"/>
      <c r="C311" s="385"/>
      <c r="D311" s="385"/>
      <c r="E311" s="66"/>
      <c r="F311" s="66"/>
      <c r="G311" s="66"/>
      <c r="H311" s="66"/>
      <c r="I311" s="66"/>
      <c r="J311" s="66"/>
      <c r="K311" s="66"/>
      <c r="L311" s="66"/>
      <c r="M311" s="367"/>
      <c r="N311" s="66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</row>
    <row r="312" spans="1:25" outlineLevel="1">
      <c r="A312" s="367"/>
      <c r="B312" s="470"/>
      <c r="C312" s="470"/>
      <c r="D312" s="470"/>
      <c r="E312" s="66"/>
      <c r="F312" s="66"/>
      <c r="G312" s="66"/>
      <c r="H312" s="66"/>
      <c r="I312" s="66"/>
      <c r="J312" s="66"/>
      <c r="K312" s="66"/>
      <c r="L312" s="66"/>
      <c r="M312" s="367"/>
      <c r="N312" s="66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</row>
    <row r="313" spans="1:25" outlineLevel="1">
      <c r="A313" s="385"/>
      <c r="B313" s="470"/>
      <c r="C313" s="470"/>
      <c r="D313" s="470"/>
      <c r="E313" s="66"/>
      <c r="F313" s="66"/>
      <c r="G313" s="66"/>
      <c r="H313" s="66"/>
      <c r="I313" s="66"/>
      <c r="J313" s="66"/>
      <c r="K313" s="66"/>
      <c r="L313" s="66"/>
      <c r="M313" s="367"/>
      <c r="N313" s="66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</row>
    <row r="314" spans="1:25" outlineLevel="1">
      <c r="A314" s="88"/>
      <c r="B314" s="470"/>
      <c r="C314" s="470"/>
      <c r="D314" s="470"/>
      <c r="E314" s="66"/>
      <c r="F314" s="66"/>
      <c r="G314" s="66"/>
      <c r="H314" s="66"/>
      <c r="I314" s="66"/>
      <c r="J314" s="66"/>
      <c r="K314" s="66"/>
      <c r="L314" s="66"/>
      <c r="M314" s="367"/>
      <c r="N314" s="66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</row>
    <row r="315" spans="1:25" outlineLevel="1">
      <c r="A315" s="385"/>
      <c r="B315" s="385"/>
      <c r="C315" s="385"/>
      <c r="D315" s="385"/>
      <c r="E315" s="66"/>
      <c r="F315" s="66"/>
      <c r="G315" s="66"/>
      <c r="H315" s="66"/>
      <c r="I315" s="66"/>
      <c r="J315" s="66"/>
      <c r="K315" s="66"/>
      <c r="L315" s="66"/>
      <c r="M315" s="367"/>
      <c r="N315" s="66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</row>
    <row r="316" spans="1:25" outlineLevel="1">
      <c r="A316" s="367"/>
      <c r="B316" s="367"/>
      <c r="C316" s="367"/>
      <c r="D316" s="367"/>
      <c r="E316" s="66"/>
      <c r="F316" s="66"/>
      <c r="G316" s="66"/>
      <c r="H316" s="66"/>
      <c r="I316" s="66"/>
      <c r="J316" s="66"/>
      <c r="K316" s="66"/>
      <c r="L316" s="66"/>
      <c r="M316" s="367"/>
      <c r="N316" s="66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</row>
    <row r="317" spans="1:25" outlineLevel="1">
      <c r="A317" s="385"/>
      <c r="B317" s="385"/>
      <c r="C317" s="385"/>
      <c r="D317" s="385"/>
      <c r="E317" s="66"/>
      <c r="F317" s="66"/>
      <c r="G317" s="66"/>
      <c r="H317" s="66"/>
      <c r="I317" s="66"/>
      <c r="J317" s="66"/>
      <c r="K317" s="66"/>
      <c r="L317" s="66"/>
      <c r="M317" s="367"/>
      <c r="N317" s="66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</row>
    <row r="318" spans="1:25" outlineLevel="1">
      <c r="A318" s="88"/>
      <c r="B318" s="88"/>
      <c r="C318" s="88"/>
      <c r="D318" s="88"/>
      <c r="E318" s="66"/>
      <c r="F318" s="66"/>
      <c r="G318" s="66"/>
      <c r="H318" s="66"/>
      <c r="I318" s="66"/>
      <c r="J318" s="66"/>
      <c r="K318" s="66"/>
      <c r="L318" s="66"/>
      <c r="M318" s="367"/>
      <c r="N318" s="66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</row>
    <row r="319" spans="1:25" outlineLevel="1">
      <c r="A319" s="88"/>
      <c r="B319" s="88"/>
      <c r="C319" s="88"/>
      <c r="D319" s="88"/>
      <c r="E319" s="66"/>
      <c r="F319" s="66"/>
      <c r="G319" s="66"/>
      <c r="H319" s="66"/>
      <c r="I319" s="66"/>
      <c r="J319" s="66"/>
      <c r="K319" s="66"/>
      <c r="L319" s="66"/>
      <c r="M319" s="367"/>
      <c r="N319" s="66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</row>
    <row r="320" spans="1:25" outlineLevel="1">
      <c r="A320" s="88"/>
      <c r="B320" s="88"/>
      <c r="C320" s="88"/>
      <c r="D320" s="88"/>
      <c r="E320" s="66"/>
      <c r="F320" s="66"/>
      <c r="G320" s="66"/>
      <c r="H320" s="66"/>
      <c r="I320" s="66"/>
      <c r="J320" s="66"/>
      <c r="K320" s="66"/>
      <c r="L320" s="66"/>
      <c r="M320" s="367"/>
      <c r="N320" s="66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</row>
    <row r="321" spans="1:25" outlineLevel="1">
      <c r="A321" s="88"/>
      <c r="B321" s="88"/>
      <c r="C321" s="88"/>
      <c r="D321" s="88"/>
      <c r="E321" s="66"/>
      <c r="F321" s="66"/>
      <c r="G321" s="66"/>
      <c r="H321" s="66"/>
      <c r="I321" s="66"/>
      <c r="J321" s="66"/>
      <c r="K321" s="66"/>
      <c r="L321" s="66"/>
      <c r="M321" s="367"/>
      <c r="N321" s="66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</row>
    <row r="322" spans="1:25" outlineLevel="1">
      <c r="A322" s="88"/>
      <c r="B322" s="88"/>
      <c r="C322" s="88"/>
      <c r="D322" s="88"/>
      <c r="E322" s="66"/>
      <c r="F322" s="66"/>
      <c r="G322" s="66"/>
      <c r="H322" s="66"/>
      <c r="I322" s="66"/>
      <c r="J322" s="66"/>
      <c r="K322" s="66"/>
      <c r="L322" s="66"/>
      <c r="M322" s="367"/>
      <c r="N322" s="66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</row>
    <row r="323" spans="1:25" outlineLevel="1">
      <c r="A323" s="88"/>
      <c r="B323" s="367"/>
      <c r="C323" s="367"/>
      <c r="D323" s="367"/>
      <c r="E323" s="66"/>
      <c r="F323" s="66"/>
      <c r="G323" s="66"/>
      <c r="H323" s="66"/>
      <c r="I323" s="66"/>
      <c r="J323" s="66"/>
      <c r="K323" s="66"/>
      <c r="L323" s="66"/>
      <c r="M323" s="367"/>
      <c r="N323" s="66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</row>
    <row r="324" spans="1:25" outlineLevel="1">
      <c r="A324" s="385"/>
      <c r="B324" s="385"/>
      <c r="C324" s="385"/>
      <c r="D324" s="385"/>
      <c r="E324" s="66"/>
      <c r="F324" s="66"/>
      <c r="G324" s="66"/>
      <c r="H324" s="66"/>
      <c r="I324" s="66"/>
      <c r="J324" s="66"/>
      <c r="K324" s="66"/>
      <c r="L324" s="66"/>
      <c r="M324" s="367"/>
      <c r="N324" s="66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</row>
    <row r="325" spans="1:25" outlineLevel="1">
      <c r="A325" s="385"/>
      <c r="B325" s="385"/>
      <c r="C325" s="385"/>
      <c r="D325" s="385"/>
      <c r="E325" s="66"/>
      <c r="F325" s="66"/>
      <c r="G325" s="66"/>
      <c r="H325" s="66"/>
      <c r="I325" s="66"/>
      <c r="J325" s="66"/>
      <c r="K325" s="66"/>
      <c r="L325" s="66"/>
      <c r="M325" s="367"/>
      <c r="N325" s="66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</row>
    <row r="326" spans="1:25" outlineLevel="1">
      <c r="A326" s="367"/>
      <c r="B326" s="367"/>
      <c r="C326" s="367"/>
      <c r="D326" s="367"/>
      <c r="E326" s="66"/>
      <c r="F326" s="66"/>
      <c r="G326" s="66"/>
      <c r="H326" s="66"/>
      <c r="I326" s="66"/>
      <c r="J326" s="66"/>
      <c r="K326" s="66"/>
      <c r="L326" s="66"/>
      <c r="M326" s="367"/>
      <c r="N326" s="66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</row>
    <row r="327" spans="1:25" outlineLevel="1">
      <c r="A327" s="385"/>
      <c r="B327" s="471"/>
      <c r="C327" s="471"/>
      <c r="D327" s="367"/>
      <c r="E327" s="66"/>
      <c r="F327" s="66"/>
      <c r="G327" s="66"/>
      <c r="H327" s="66"/>
      <c r="I327" s="66"/>
      <c r="J327" s="66"/>
      <c r="K327" s="66"/>
      <c r="L327" s="66"/>
      <c r="M327" s="367"/>
      <c r="N327" s="66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</row>
    <row r="328" spans="1:25" outlineLevel="1">
      <c r="A328" s="385"/>
      <c r="B328" s="469"/>
      <c r="C328" s="469"/>
      <c r="D328" s="469"/>
      <c r="E328" s="66"/>
      <c r="F328" s="66"/>
      <c r="G328" s="66"/>
      <c r="H328" s="66"/>
      <c r="I328" s="66"/>
      <c r="J328" s="66"/>
      <c r="K328" s="66"/>
      <c r="L328" s="66"/>
      <c r="M328" s="367"/>
      <c r="N328" s="66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</row>
    <row r="329" spans="1:25" outlineLevel="1">
      <c r="A329" s="367"/>
      <c r="B329" s="367"/>
      <c r="C329" s="367"/>
      <c r="D329" s="367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</row>
    <row r="330" spans="1:25" outlineLevel="1">
      <c r="A330" s="385"/>
      <c r="B330" s="472"/>
      <c r="C330" s="472"/>
      <c r="D330" s="367"/>
      <c r="E330" s="367"/>
      <c r="F330" s="367"/>
      <c r="G330" s="23"/>
      <c r="H330" s="23"/>
      <c r="I330" s="23"/>
      <c r="J330" s="23"/>
      <c r="K330" s="23"/>
      <c r="L330" s="23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</row>
    <row r="331" spans="1:25" outlineLevel="1">
      <c r="A331" s="385"/>
      <c r="B331" s="367"/>
      <c r="C331" s="367"/>
      <c r="D331" s="367"/>
      <c r="E331" s="367"/>
      <c r="F331" s="367"/>
      <c r="G331" s="23"/>
      <c r="H331" s="23"/>
      <c r="I331" s="23"/>
      <c r="J331" s="23"/>
      <c r="K331" s="23"/>
      <c r="L331" s="23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</row>
    <row r="332" spans="1:25" outlineLevel="1">
      <c r="A332" s="385"/>
      <c r="B332" s="367"/>
      <c r="C332" s="367"/>
      <c r="D332" s="367"/>
      <c r="E332" s="367"/>
      <c r="F332" s="367"/>
      <c r="G332" s="23"/>
      <c r="H332" s="23"/>
      <c r="I332" s="23"/>
      <c r="J332" s="23"/>
      <c r="K332" s="23"/>
      <c r="L332" s="23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</row>
    <row r="333" spans="1:25" outlineLevel="1">
      <c r="A333" s="385"/>
      <c r="B333" s="367"/>
      <c r="C333" s="367"/>
      <c r="D333" s="367"/>
      <c r="E333" s="367"/>
      <c r="F333" s="367"/>
      <c r="G333" s="23"/>
      <c r="H333" s="23"/>
      <c r="I333" s="23"/>
      <c r="J333" s="23"/>
      <c r="K333" s="23"/>
      <c r="L333" s="23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</row>
    <row r="334" spans="1:25" outlineLevel="1">
      <c r="A334" s="367"/>
      <c r="B334" s="367"/>
      <c r="C334" s="367"/>
      <c r="D334" s="367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</row>
    <row r="335" spans="1:25" outlineLevel="1">
      <c r="A335" s="385"/>
      <c r="B335" s="367"/>
      <c r="C335" s="367"/>
      <c r="D335" s="367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</row>
    <row r="336" spans="1:25" outlineLevel="1">
      <c r="A336" s="385"/>
      <c r="B336" s="367"/>
      <c r="C336" s="367"/>
      <c r="D336" s="367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</row>
    <row r="337" spans="1:25" outlineLevel="1">
      <c r="A337" s="367"/>
      <c r="B337" s="367"/>
      <c r="C337" s="367"/>
      <c r="D337" s="367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</row>
    <row r="338" spans="1:25" outlineLevel="1">
      <c r="A338" s="367"/>
      <c r="B338" s="367"/>
      <c r="C338" s="367"/>
      <c r="D338" s="367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</row>
    <row r="339" spans="1:25" s="54" customFormat="1" outlineLevel="1">
      <c r="A339" s="53"/>
    </row>
    <row r="340" spans="1:25" outlineLevel="1">
      <c r="A340" s="385"/>
      <c r="B340" s="367"/>
      <c r="C340" s="367"/>
      <c r="D340" s="367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</row>
    <row r="341" spans="1:25" outlineLevel="1">
      <c r="A341" s="385"/>
      <c r="B341" s="367"/>
      <c r="C341" s="367"/>
      <c r="D341" s="367"/>
      <c r="E341" s="367"/>
      <c r="F341" s="367"/>
      <c r="G341" s="387"/>
      <c r="H341" s="387"/>
      <c r="I341" s="387"/>
      <c r="J341" s="387"/>
      <c r="K341" s="387"/>
      <c r="L341" s="38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</row>
    <row r="342" spans="1:25" outlineLevel="1">
      <c r="A342" s="385"/>
      <c r="B342" s="367"/>
      <c r="C342" s="367"/>
      <c r="D342" s="367"/>
      <c r="E342" s="367"/>
      <c r="F342" s="367"/>
      <c r="G342" s="387"/>
      <c r="H342" s="387"/>
      <c r="I342" s="387"/>
      <c r="J342" s="387"/>
      <c r="K342" s="387"/>
      <c r="L342" s="38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</row>
    <row r="343" spans="1:25" outlineLevel="1">
      <c r="A343" s="367"/>
      <c r="B343" s="473"/>
      <c r="C343" s="473"/>
      <c r="D343" s="473"/>
      <c r="E343" s="367"/>
      <c r="F343" s="367"/>
      <c r="G343" s="474"/>
      <c r="H343" s="474"/>
      <c r="I343" s="474"/>
      <c r="J343" s="474"/>
      <c r="K343" s="474"/>
      <c r="L343" s="474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</row>
    <row r="344" spans="1:25" outlineLevel="1">
      <c r="A344" s="385"/>
      <c r="B344" s="475"/>
      <c r="C344" s="475"/>
      <c r="D344" s="475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</row>
    <row r="345" spans="1:25" outlineLevel="1">
      <c r="A345" s="53"/>
      <c r="B345" s="367"/>
      <c r="C345" s="367"/>
      <c r="D345" s="367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</row>
    <row r="346" spans="1:25" outlineLevel="1">
      <c r="A346" s="59"/>
      <c r="B346" s="367"/>
      <c r="C346" s="367"/>
      <c r="D346" s="367"/>
      <c r="E346" s="367"/>
      <c r="F346" s="367"/>
      <c r="G346" s="23"/>
      <c r="H346" s="23"/>
      <c r="I346" s="23"/>
      <c r="J346" s="23"/>
      <c r="K346" s="23"/>
      <c r="L346" s="23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</row>
    <row r="347" spans="1:25" outlineLevel="1">
      <c r="A347" s="59"/>
      <c r="B347" s="367"/>
      <c r="C347" s="367"/>
      <c r="D347" s="367"/>
      <c r="E347" s="367"/>
      <c r="F347" s="367"/>
      <c r="G347" s="23"/>
      <c r="H347" s="23"/>
      <c r="I347" s="23"/>
      <c r="J347" s="23"/>
      <c r="K347" s="23"/>
      <c r="L347" s="23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</row>
    <row r="348" spans="1:25" outlineLevel="1">
      <c r="A348" s="59"/>
      <c r="B348" s="367"/>
      <c r="C348" s="367"/>
      <c r="D348" s="367"/>
      <c r="E348" s="367"/>
      <c r="F348" s="367"/>
      <c r="G348" s="23"/>
      <c r="H348" s="23"/>
      <c r="I348" s="23"/>
      <c r="J348" s="23"/>
      <c r="K348" s="23"/>
      <c r="L348" s="23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</row>
    <row r="349" spans="1:25" outlineLevel="1">
      <c r="A349" s="59"/>
      <c r="B349" s="367"/>
      <c r="C349" s="367"/>
      <c r="D349" s="367"/>
      <c r="E349" s="367"/>
      <c r="F349" s="367"/>
      <c r="G349" s="23"/>
      <c r="H349" s="23"/>
      <c r="I349" s="23"/>
      <c r="J349" s="23"/>
      <c r="K349" s="23"/>
      <c r="L349" s="23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</row>
    <row r="350" spans="1:25" outlineLevel="1">
      <c r="A350" s="59"/>
      <c r="B350" s="367"/>
      <c r="C350" s="367"/>
      <c r="D350" s="367"/>
      <c r="E350" s="367"/>
      <c r="F350" s="367"/>
      <c r="G350" s="387"/>
      <c r="H350" s="387"/>
      <c r="I350" s="387"/>
      <c r="J350" s="387"/>
      <c r="K350" s="387"/>
      <c r="L350" s="38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</row>
    <row r="351" spans="1:25" outlineLevel="1">
      <c r="A351" s="385"/>
      <c r="B351" s="367"/>
      <c r="C351" s="367"/>
      <c r="D351" s="367"/>
      <c r="E351" s="367"/>
      <c r="F351" s="367"/>
      <c r="G351" s="475"/>
      <c r="H351" s="475"/>
      <c r="I351" s="475"/>
      <c r="J351" s="475"/>
      <c r="K351" s="475"/>
      <c r="L351" s="475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</row>
    <row r="352" spans="1:25" outlineLevel="1">
      <c r="A352" s="59"/>
      <c r="B352" s="476"/>
      <c r="C352" s="476"/>
      <c r="D352" s="476"/>
      <c r="E352" s="367"/>
      <c r="F352" s="367"/>
      <c r="G352" s="61"/>
      <c r="H352" s="61"/>
      <c r="I352" s="61"/>
      <c r="J352" s="61"/>
      <c r="K352" s="61"/>
      <c r="L352" s="61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</row>
    <row r="353" spans="1:25" outlineLevel="1">
      <c r="A353" s="59"/>
      <c r="B353" s="367"/>
      <c r="C353" s="367"/>
      <c r="D353" s="367"/>
      <c r="E353" s="367"/>
      <c r="F353" s="367"/>
      <c r="G353" s="61"/>
      <c r="H353" s="61"/>
      <c r="I353" s="61"/>
      <c r="J353" s="61"/>
      <c r="K353" s="61"/>
      <c r="L353" s="61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</row>
    <row r="354" spans="1:25" outlineLevel="1">
      <c r="A354" s="59"/>
      <c r="B354" s="367"/>
      <c r="C354" s="367"/>
      <c r="D354" s="367"/>
      <c r="E354" s="367"/>
      <c r="F354" s="367"/>
      <c r="G354" s="61"/>
      <c r="H354" s="61"/>
      <c r="I354" s="61"/>
      <c r="J354" s="61"/>
      <c r="K354" s="61"/>
      <c r="L354" s="61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</row>
    <row r="355" spans="1:25" outlineLevel="1">
      <c r="A355" s="59"/>
      <c r="B355" s="367"/>
      <c r="C355" s="367"/>
      <c r="D355" s="367"/>
      <c r="E355" s="367"/>
      <c r="F355" s="367"/>
      <c r="G355" s="61"/>
      <c r="H355" s="61"/>
      <c r="I355" s="61"/>
      <c r="J355" s="61"/>
      <c r="K355" s="61"/>
      <c r="L355" s="61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</row>
    <row r="356" spans="1:25" outlineLevel="1">
      <c r="A356" s="59"/>
      <c r="B356" s="367"/>
      <c r="C356" s="367"/>
      <c r="D356" s="367"/>
      <c r="E356" s="367"/>
      <c r="F356" s="367"/>
      <c r="G356" s="475"/>
      <c r="H356" s="475"/>
      <c r="I356" s="475"/>
      <c r="J356" s="475"/>
      <c r="K356" s="475"/>
      <c r="L356" s="475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</row>
    <row r="357" spans="1:25" outlineLevel="1">
      <c r="A357" s="385"/>
      <c r="B357" s="367"/>
      <c r="C357" s="367"/>
      <c r="D357" s="367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</row>
    <row r="358" spans="1:25" outlineLevel="1">
      <c r="A358" s="367"/>
      <c r="B358" s="367"/>
      <c r="C358" s="367"/>
      <c r="D358" s="367"/>
      <c r="E358" s="367"/>
      <c r="F358" s="367"/>
      <c r="G358" s="23"/>
      <c r="H358" s="23"/>
      <c r="I358" s="23"/>
      <c r="J358" s="23"/>
      <c r="K358" s="23"/>
      <c r="L358" s="23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</row>
    <row r="359" spans="1:25" outlineLevel="1">
      <c r="A359" s="367"/>
      <c r="B359" s="367"/>
      <c r="C359" s="367"/>
      <c r="D359" s="367"/>
      <c r="E359" s="367"/>
      <c r="F359" s="367"/>
      <c r="G359" s="23"/>
      <c r="H359" s="23"/>
      <c r="I359" s="23"/>
      <c r="J359" s="23"/>
      <c r="K359" s="23"/>
      <c r="L359" s="23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</row>
    <row r="360" spans="1:25" outlineLevel="1">
      <c r="A360" s="367"/>
      <c r="B360" s="367"/>
      <c r="C360" s="367"/>
      <c r="D360" s="367"/>
      <c r="E360" s="367"/>
      <c r="F360" s="367"/>
      <c r="G360" s="23"/>
      <c r="H360" s="23"/>
      <c r="I360" s="23"/>
      <c r="J360" s="23"/>
      <c r="K360" s="23"/>
      <c r="L360" s="23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</row>
    <row r="361" spans="1:25" outlineLevel="1">
      <c r="A361" s="367"/>
      <c r="B361" s="367"/>
      <c r="C361" s="367"/>
      <c r="D361" s="367"/>
      <c r="E361" s="23"/>
      <c r="F361" s="23"/>
      <c r="G361" s="23"/>
      <c r="H361" s="23"/>
      <c r="I361" s="23"/>
      <c r="J361" s="23"/>
      <c r="K361" s="23"/>
      <c r="L361" s="23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</row>
    <row r="362" spans="1:25" outlineLevel="1">
      <c r="A362" s="367"/>
      <c r="B362" s="367"/>
      <c r="C362" s="367"/>
      <c r="D362" s="367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</row>
    <row r="363" spans="1:25" outlineLevel="1">
      <c r="A363" s="385"/>
      <c r="B363" s="367"/>
      <c r="C363" s="367"/>
      <c r="D363" s="367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</row>
    <row r="364" spans="1:25" outlineLevel="1">
      <c r="A364" s="367"/>
      <c r="B364" s="367"/>
      <c r="C364" s="367"/>
      <c r="D364" s="367"/>
      <c r="E364" s="367"/>
      <c r="F364" s="367"/>
      <c r="G364" s="387"/>
      <c r="H364" s="387"/>
      <c r="I364" s="387"/>
      <c r="J364" s="387"/>
      <c r="K364" s="387"/>
      <c r="L364" s="38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</row>
    <row r="365" spans="1:25" outlineLevel="1">
      <c r="A365" s="59"/>
      <c r="B365" s="367"/>
      <c r="C365" s="367"/>
      <c r="D365" s="367"/>
      <c r="E365" s="367"/>
      <c r="F365" s="367"/>
      <c r="G365" s="387"/>
      <c r="H365" s="387"/>
      <c r="I365" s="387"/>
      <c r="J365" s="387"/>
      <c r="K365" s="387"/>
      <c r="L365" s="38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</row>
    <row r="366" spans="1:25" outlineLevel="1">
      <c r="A366" s="59"/>
      <c r="B366" s="367"/>
      <c r="C366" s="367"/>
      <c r="D366" s="367"/>
      <c r="E366" s="367"/>
      <c r="F366" s="367"/>
      <c r="G366" s="387"/>
      <c r="H366" s="387"/>
      <c r="I366" s="387"/>
      <c r="J366" s="387"/>
      <c r="K366" s="387"/>
      <c r="L366" s="38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</row>
    <row r="367" spans="1:25" outlineLevel="1">
      <c r="A367" s="59"/>
      <c r="B367" s="367"/>
      <c r="C367" s="367"/>
      <c r="D367" s="367"/>
      <c r="E367" s="23"/>
      <c r="F367" s="23"/>
      <c r="G367" s="387"/>
      <c r="H367" s="387"/>
      <c r="I367" s="387"/>
      <c r="J367" s="387"/>
      <c r="K367" s="387"/>
      <c r="L367" s="38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</row>
    <row r="368" spans="1:25" outlineLevel="1">
      <c r="A368" s="367"/>
      <c r="B368" s="367"/>
      <c r="C368" s="367"/>
      <c r="D368" s="367"/>
      <c r="E368" s="367"/>
      <c r="F368" s="367"/>
      <c r="G368" s="387"/>
      <c r="H368" s="387"/>
      <c r="I368" s="387"/>
      <c r="J368" s="387"/>
      <c r="K368" s="387"/>
      <c r="L368" s="38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</row>
    <row r="369" spans="1:25" outlineLevel="1">
      <c r="A369" s="367"/>
      <c r="B369" s="367"/>
      <c r="C369" s="367"/>
      <c r="D369" s="367"/>
      <c r="E369" s="367"/>
      <c r="F369" s="367"/>
      <c r="G369" s="387"/>
      <c r="H369" s="387"/>
      <c r="I369" s="387"/>
      <c r="J369" s="387"/>
      <c r="K369" s="387"/>
      <c r="L369" s="38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</row>
    <row r="370" spans="1:25" outlineLevel="1">
      <c r="A370" s="367"/>
      <c r="B370" s="367"/>
      <c r="C370" s="367"/>
      <c r="D370" s="367"/>
      <c r="E370" s="367"/>
      <c r="F370" s="367"/>
      <c r="G370" s="387"/>
      <c r="H370" s="387"/>
      <c r="I370" s="387"/>
      <c r="J370" s="387"/>
      <c r="K370" s="387"/>
      <c r="L370" s="38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</row>
    <row r="371" spans="1:25" outlineLevel="1">
      <c r="A371" s="367"/>
      <c r="B371" s="367"/>
      <c r="C371" s="367"/>
      <c r="D371" s="367"/>
      <c r="E371" s="367"/>
      <c r="F371" s="367"/>
      <c r="G371" s="387"/>
      <c r="H371" s="387"/>
      <c r="I371" s="387"/>
      <c r="J371" s="387"/>
      <c r="K371" s="387"/>
      <c r="L371" s="38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</row>
    <row r="372" spans="1:25" outlineLevel="1">
      <c r="A372" s="367"/>
      <c r="B372" s="367"/>
      <c r="C372" s="367"/>
      <c r="D372" s="367"/>
      <c r="E372" s="367"/>
      <c r="F372" s="367"/>
      <c r="G372" s="387"/>
      <c r="H372" s="387"/>
      <c r="I372" s="387"/>
      <c r="J372" s="387"/>
      <c r="K372" s="387"/>
      <c r="L372" s="38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</row>
    <row r="373" spans="1:25" outlineLevel="1">
      <c r="A373" s="367"/>
      <c r="B373" s="367"/>
      <c r="C373" s="367"/>
      <c r="D373" s="367"/>
      <c r="E373" s="367"/>
      <c r="F373" s="367"/>
      <c r="G373" s="387"/>
      <c r="H373" s="387"/>
      <c r="I373" s="387"/>
      <c r="J373" s="387"/>
      <c r="K373" s="387"/>
      <c r="L373" s="38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</row>
    <row r="374" spans="1:25" outlineLevel="1">
      <c r="A374" s="367"/>
      <c r="B374" s="367"/>
      <c r="C374" s="367"/>
      <c r="D374" s="367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</row>
    <row r="375" spans="1:25" outlineLevel="1">
      <c r="A375" s="385"/>
      <c r="B375" s="367"/>
      <c r="C375" s="367"/>
      <c r="D375" s="367"/>
      <c r="E375" s="477"/>
      <c r="F375" s="477"/>
      <c r="G375" s="477"/>
      <c r="H375" s="477"/>
      <c r="I375" s="477"/>
      <c r="J375" s="477"/>
      <c r="K375" s="477"/>
      <c r="L375" s="47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</row>
    <row r="376" spans="1:25" outlineLevel="1">
      <c r="A376" s="385"/>
      <c r="B376" s="367"/>
      <c r="C376" s="367"/>
      <c r="D376" s="476"/>
      <c r="E376" s="23"/>
      <c r="F376" s="23"/>
      <c r="G376" s="477"/>
      <c r="H376" s="477"/>
      <c r="I376" s="477"/>
      <c r="J376" s="477"/>
      <c r="K376" s="477"/>
      <c r="L376" s="47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</row>
    <row r="377" spans="1:25" outlineLevel="1">
      <c r="A377" s="385"/>
      <c r="B377" s="367"/>
      <c r="C377" s="367"/>
      <c r="D377" s="367"/>
      <c r="E377" s="477"/>
      <c r="F377" s="477"/>
      <c r="G377" s="477"/>
      <c r="H377" s="477"/>
      <c r="I377" s="477"/>
      <c r="J377" s="477"/>
      <c r="K377" s="477"/>
      <c r="L377" s="47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</row>
    <row r="378" spans="1:25" outlineLevel="1">
      <c r="A378" s="385"/>
      <c r="B378" s="367"/>
      <c r="C378" s="367"/>
      <c r="D378" s="367"/>
      <c r="E378" s="367"/>
      <c r="F378" s="367"/>
      <c r="G378" s="477"/>
      <c r="H378" s="477"/>
      <c r="I378" s="477"/>
      <c r="J378" s="477"/>
      <c r="K378" s="477"/>
      <c r="L378" s="47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</row>
    <row r="379" spans="1:25" outlineLevel="1">
      <c r="A379" s="367"/>
      <c r="B379" s="367"/>
      <c r="C379" s="367"/>
      <c r="D379" s="367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</row>
    <row r="380" spans="1:25" outlineLevel="1">
      <c r="A380" s="385"/>
      <c r="B380" s="367"/>
      <c r="C380" s="367"/>
      <c r="D380" s="367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</row>
    <row r="381" spans="1:25" outlineLevel="1">
      <c r="A381" s="385"/>
      <c r="B381" s="367"/>
      <c r="C381" s="367"/>
      <c r="D381" s="367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</row>
    <row r="382" spans="1:25" outlineLevel="1">
      <c r="A382" s="367"/>
      <c r="B382" s="367"/>
      <c r="C382" s="367"/>
      <c r="D382" s="367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</row>
    <row r="383" spans="1:25" outlineLevel="1">
      <c r="A383" s="367"/>
      <c r="B383" s="367"/>
      <c r="C383" s="367"/>
      <c r="D383" s="367"/>
      <c r="E383" s="367"/>
      <c r="F383" s="367"/>
      <c r="G383" s="66"/>
      <c r="H383" s="66"/>
      <c r="I383" s="66"/>
      <c r="J383" s="66"/>
      <c r="K383" s="66"/>
      <c r="L383" s="66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</row>
    <row r="384" spans="1:25" outlineLevel="1">
      <c r="A384" s="367"/>
      <c r="B384" s="367"/>
      <c r="C384" s="367"/>
      <c r="D384" s="367"/>
      <c r="E384" s="367"/>
      <c r="F384" s="367"/>
      <c r="G384" s="477"/>
      <c r="H384" s="477"/>
      <c r="I384" s="477"/>
      <c r="J384" s="477"/>
      <c r="K384" s="477"/>
      <c r="L384" s="47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</row>
    <row r="385" spans="1:30" outlineLevel="1">
      <c r="A385" s="367"/>
      <c r="B385" s="367"/>
      <c r="C385" s="367"/>
      <c r="D385" s="367"/>
      <c r="E385" s="367"/>
      <c r="F385" s="367"/>
      <c r="G385" s="66"/>
      <c r="H385" s="66"/>
      <c r="I385" s="66"/>
      <c r="J385" s="66"/>
      <c r="K385" s="66"/>
      <c r="L385" s="66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</row>
    <row r="386" spans="1:30" outlineLevel="1">
      <c r="A386" s="367"/>
      <c r="B386" s="367"/>
      <c r="C386" s="367"/>
      <c r="D386" s="367"/>
      <c r="E386" s="367"/>
      <c r="F386" s="367"/>
      <c r="G386" s="66"/>
      <c r="H386" s="66"/>
      <c r="I386" s="66"/>
      <c r="J386" s="66"/>
      <c r="K386" s="66"/>
      <c r="L386" s="66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</row>
    <row r="387" spans="1:30" outlineLevel="1">
      <c r="A387" s="367"/>
      <c r="B387" s="367"/>
      <c r="C387" s="367"/>
      <c r="D387" s="367"/>
      <c r="E387" s="367"/>
      <c r="F387" s="367"/>
      <c r="G387" s="66"/>
      <c r="H387" s="66"/>
      <c r="I387" s="66"/>
      <c r="J387" s="66"/>
      <c r="K387" s="66"/>
      <c r="L387" s="66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</row>
    <row r="388" spans="1:30" outlineLevel="1">
      <c r="A388" s="367"/>
      <c r="B388" s="367"/>
      <c r="C388" s="367"/>
      <c r="D388" s="367"/>
      <c r="E388" s="367"/>
      <c r="F388" s="367"/>
      <c r="G388" s="478"/>
      <c r="H388" s="478"/>
      <c r="I388" s="478"/>
      <c r="J388" s="478"/>
      <c r="K388" s="478"/>
      <c r="L388" s="478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</row>
    <row r="389" spans="1:30" outlineLevel="1">
      <c r="A389" s="367"/>
      <c r="B389" s="367"/>
      <c r="C389" s="367"/>
      <c r="D389" s="367"/>
      <c r="E389" s="367"/>
      <c r="F389" s="367"/>
      <c r="G389" s="478"/>
      <c r="H389" s="478"/>
      <c r="I389" s="478"/>
      <c r="J389" s="478"/>
      <c r="K389" s="478"/>
      <c r="L389" s="478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</row>
    <row r="390" spans="1:30" hidden="1" outlineLevel="2">
      <c r="A390" s="385"/>
      <c r="B390" s="367"/>
      <c r="C390" s="367"/>
      <c r="D390" s="367"/>
      <c r="E390" s="367"/>
      <c r="F390" s="367"/>
      <c r="G390" s="478"/>
      <c r="H390" s="478"/>
      <c r="I390" s="478"/>
      <c r="J390" s="478"/>
      <c r="K390" s="478"/>
      <c r="L390" s="478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</row>
    <row r="391" spans="1:30" hidden="1" outlineLevel="2">
      <c r="A391" s="385"/>
      <c r="B391" s="367"/>
      <c r="C391" s="367"/>
      <c r="D391" s="367"/>
      <c r="E391" s="367"/>
      <c r="F391" s="367"/>
      <c r="G391" s="478"/>
      <c r="H391" s="478"/>
      <c r="I391" s="478"/>
      <c r="J391" s="478"/>
      <c r="K391" s="478"/>
      <c r="L391" s="478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</row>
    <row r="392" spans="1:30" hidden="1" outlineLevel="2">
      <c r="A392" s="367"/>
      <c r="B392" s="367"/>
      <c r="C392" s="367"/>
      <c r="D392" s="367"/>
      <c r="E392" s="367"/>
      <c r="F392" s="367"/>
      <c r="G392" s="478"/>
      <c r="H392" s="478"/>
      <c r="I392" s="478"/>
      <c r="J392" s="478"/>
      <c r="K392" s="478"/>
      <c r="L392" s="478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</row>
    <row r="393" spans="1:30" hidden="1" outlineLevel="2">
      <c r="A393" s="385"/>
      <c r="B393" s="374"/>
      <c r="C393" s="374"/>
      <c r="D393" s="374"/>
      <c r="E393" s="375"/>
      <c r="F393" s="375"/>
      <c r="G393" s="375"/>
      <c r="H393" s="374"/>
      <c r="I393" s="374"/>
      <c r="J393" s="375"/>
      <c r="K393" s="375"/>
      <c r="L393" s="374"/>
      <c r="M393" s="375"/>
      <c r="N393" s="375"/>
      <c r="O393" s="375"/>
      <c r="P393" s="374"/>
      <c r="Q393" s="375"/>
      <c r="R393" s="375"/>
      <c r="S393" s="367"/>
      <c r="T393" s="367"/>
      <c r="U393" s="367"/>
      <c r="V393" s="367"/>
      <c r="W393" s="367"/>
      <c r="X393" s="375"/>
      <c r="Y393" s="367"/>
    </row>
    <row r="394" spans="1:30" hidden="1" outlineLevel="2">
      <c r="A394" s="385"/>
      <c r="B394" s="367"/>
      <c r="C394" s="367"/>
      <c r="D394" s="367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</row>
    <row r="395" spans="1:30" hidden="1" outlineLevel="2">
      <c r="A395" s="367"/>
      <c r="B395" s="367"/>
      <c r="C395" s="367"/>
      <c r="D395" s="367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</row>
    <row r="396" spans="1:30" hidden="1" outlineLevel="2">
      <c r="A396" s="367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367"/>
      <c r="T396" s="367"/>
      <c r="U396" s="367"/>
      <c r="V396" s="367"/>
      <c r="W396" s="367"/>
      <c r="X396" s="66"/>
      <c r="Y396" s="367"/>
    </row>
    <row r="397" spans="1:30" hidden="1" outlineLevel="2">
      <c r="A397" s="367"/>
      <c r="B397" s="367"/>
      <c r="C397" s="367"/>
      <c r="D397" s="367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</row>
    <row r="398" spans="1:30" hidden="1" outlineLevel="2">
      <c r="A398" s="367"/>
      <c r="B398" s="477"/>
      <c r="C398" s="477"/>
      <c r="D398" s="477"/>
      <c r="E398" s="477"/>
      <c r="F398" s="477"/>
      <c r="G398" s="477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367"/>
      <c r="T398" s="367"/>
      <c r="U398" s="367"/>
      <c r="V398" s="367"/>
      <c r="W398" s="367"/>
      <c r="X398" s="66"/>
      <c r="Y398" s="367"/>
    </row>
    <row r="399" spans="1:30" hidden="1" outlineLevel="2">
      <c r="A399" s="367"/>
      <c r="B399" s="367"/>
      <c r="C399" s="367"/>
      <c r="D399" s="367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</row>
    <row r="400" spans="1:30" hidden="1" outlineLevel="2">
      <c r="A400" s="367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367"/>
      <c r="T400" s="367"/>
      <c r="U400" s="367"/>
      <c r="V400" s="367"/>
      <c r="W400" s="367"/>
      <c r="X400" s="66"/>
      <c r="Y400" s="66"/>
      <c r="Z400" s="66"/>
      <c r="AA400" s="66"/>
      <c r="AB400" s="66"/>
      <c r="AC400" s="66"/>
      <c r="AD400" s="66"/>
    </row>
    <row r="401" spans="1:25" hidden="1" outlineLevel="2">
      <c r="A401" s="367"/>
      <c r="B401" s="367"/>
      <c r="C401" s="367"/>
      <c r="D401" s="367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</row>
    <row r="402" spans="1:25" hidden="1" outlineLevel="2">
      <c r="A402" s="367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367"/>
      <c r="T402" s="367"/>
      <c r="U402" s="367"/>
      <c r="V402" s="367"/>
      <c r="W402" s="367"/>
      <c r="X402" s="66"/>
      <c r="Y402" s="367"/>
    </row>
    <row r="403" spans="1:25" hidden="1" outlineLevel="2">
      <c r="A403" s="367"/>
      <c r="B403" s="367"/>
      <c r="C403" s="367"/>
      <c r="D403" s="367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</row>
    <row r="404" spans="1:25" hidden="1" outlineLevel="2">
      <c r="A404" s="367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367"/>
      <c r="T404" s="367"/>
      <c r="U404" s="367"/>
      <c r="V404" s="367"/>
      <c r="W404" s="367"/>
      <c r="X404" s="66"/>
      <c r="Y404" s="66"/>
    </row>
    <row r="405" spans="1:25" hidden="1" outlineLevel="2">
      <c r="A405" s="367"/>
      <c r="B405" s="367"/>
      <c r="C405" s="367"/>
      <c r="D405" s="367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</row>
    <row r="406" spans="1:25" hidden="1" outlineLevel="2">
      <c r="A406" s="367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367"/>
      <c r="T406" s="367"/>
      <c r="U406" s="367"/>
      <c r="V406" s="367"/>
      <c r="W406" s="367"/>
      <c r="X406" s="66"/>
      <c r="Y406" s="66"/>
    </row>
    <row r="407" spans="1:25" hidden="1" outlineLevel="2">
      <c r="A407" s="367"/>
      <c r="B407" s="367"/>
      <c r="C407" s="367"/>
      <c r="D407" s="367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</row>
    <row r="408" spans="1:25" outlineLevel="1" collapsed="1">
      <c r="A408" s="367"/>
      <c r="B408" s="367"/>
      <c r="C408" s="367"/>
      <c r="D408" s="367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</row>
    <row r="409" spans="1:25" outlineLevel="1">
      <c r="A409" s="367"/>
      <c r="B409" s="367"/>
      <c r="C409" s="367"/>
      <c r="D409" s="367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</row>
    <row r="410" spans="1:25" outlineLevel="1">
      <c r="A410" s="367"/>
      <c r="B410" s="367"/>
      <c r="C410" s="367"/>
      <c r="D410" s="367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</row>
    <row r="411" spans="1:25" outlineLevel="1">
      <c r="A411" s="371"/>
      <c r="B411" s="371"/>
      <c r="C411" s="371"/>
      <c r="D411" s="367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</row>
    <row r="412" spans="1:25" outlineLevel="1">
      <c r="A412" s="385"/>
      <c r="B412" s="385"/>
      <c r="C412" s="385"/>
      <c r="D412" s="367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</row>
    <row r="413" spans="1:25" outlineLevel="1">
      <c r="A413" s="385"/>
      <c r="B413" s="469"/>
      <c r="C413" s="469"/>
      <c r="D413" s="367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</row>
    <row r="414" spans="1:25" outlineLevel="1">
      <c r="A414" s="367"/>
      <c r="B414" s="367"/>
      <c r="C414" s="367"/>
      <c r="D414" s="367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</row>
    <row r="415" spans="1:25" outlineLevel="1">
      <c r="A415" s="371"/>
      <c r="B415" s="373"/>
      <c r="C415" s="373"/>
      <c r="D415" s="373"/>
      <c r="E415" s="373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</row>
    <row r="416" spans="1:25" outlineLevel="1">
      <c r="A416" s="385"/>
      <c r="B416" s="385"/>
      <c r="C416" s="385"/>
      <c r="D416" s="367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</row>
    <row r="417" spans="1:25" outlineLevel="1">
      <c r="A417" s="88"/>
      <c r="B417" s="385"/>
      <c r="C417" s="385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</row>
    <row r="418" spans="1:25" outlineLevel="1">
      <c r="A418" s="88"/>
      <c r="B418" s="385"/>
      <c r="C418" s="385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</row>
    <row r="419" spans="1:25" outlineLevel="1">
      <c r="A419" s="88"/>
      <c r="B419" s="88"/>
      <c r="C419" s="88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</row>
    <row r="420" spans="1:25" outlineLevel="1">
      <c r="A420" s="88"/>
      <c r="B420" s="88"/>
      <c r="C420" s="88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8"/>
      <c r="B421" s="371"/>
      <c r="C421" s="37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367"/>
      <c r="B422" s="367"/>
      <c r="C422" s="367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385"/>
      <c r="B423" s="385"/>
      <c r="C423" s="385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8"/>
      <c r="B424" s="385"/>
      <c r="C424" s="385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8"/>
      <c r="B425" s="385"/>
      <c r="C425" s="385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8"/>
      <c r="B426" s="385"/>
      <c r="C426" s="385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8"/>
      <c r="B427" s="385"/>
      <c r="C427" s="385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8"/>
      <c r="B428" s="385"/>
      <c r="C428" s="385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8"/>
      <c r="B429" s="385"/>
      <c r="C429" s="385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88"/>
      <c r="B430" s="385"/>
      <c r="C430" s="385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8"/>
      <c r="B431" s="385"/>
      <c r="C431" s="385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8"/>
      <c r="B432" s="385"/>
      <c r="C432" s="385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8"/>
      <c r="B433" s="88"/>
      <c r="C433" s="88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8"/>
      <c r="B434" s="88"/>
      <c r="C434" s="88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385"/>
      <c r="B435" s="385"/>
      <c r="C435" s="385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8"/>
      <c r="B436" s="88"/>
      <c r="C436" s="88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385"/>
      <c r="B437" s="385"/>
      <c r="C437" s="385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8"/>
      <c r="B438" s="470"/>
      <c r="C438" s="470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385"/>
      <c r="B439" s="385"/>
      <c r="C439" s="385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</row>
    <row r="440" spans="1:25" outlineLevel="1">
      <c r="A440" s="367"/>
      <c r="B440" s="367"/>
      <c r="C440" s="367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</row>
    <row r="441" spans="1:25" outlineLevel="1">
      <c r="A441" s="385"/>
      <c r="B441" s="385"/>
      <c r="C441" s="385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</row>
    <row r="442" spans="1:25" outlineLevel="1">
      <c r="A442" s="88"/>
      <c r="B442" s="88"/>
      <c r="C442" s="88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</row>
    <row r="443" spans="1:25" outlineLevel="1">
      <c r="A443" s="88"/>
      <c r="B443" s="88"/>
      <c r="C443" s="88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</row>
    <row r="444" spans="1:25" outlineLevel="1">
      <c r="A444" s="88"/>
      <c r="B444" s="88"/>
      <c r="C444" s="88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</row>
    <row r="445" spans="1:25" outlineLevel="1">
      <c r="A445" s="88"/>
      <c r="B445" s="367"/>
      <c r="C445" s="367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</row>
    <row r="446" spans="1:25" outlineLevel="1">
      <c r="A446" s="385"/>
      <c r="B446" s="385"/>
      <c r="C446" s="385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</row>
    <row r="447" spans="1:25" outlineLevel="1">
      <c r="A447" s="385"/>
      <c r="B447" s="385"/>
      <c r="C447" s="385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</row>
    <row r="448" spans="1:25" outlineLevel="1">
      <c r="A448" s="88"/>
      <c r="B448" s="385"/>
      <c r="C448" s="385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</row>
    <row r="449" spans="1:25" outlineLevel="1">
      <c r="A449" s="88"/>
      <c r="B449" s="385"/>
      <c r="C449" s="385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</row>
    <row r="450" spans="1:25" outlineLevel="1">
      <c r="A450" s="88"/>
      <c r="B450" s="385"/>
      <c r="C450" s="385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</row>
    <row r="451" spans="1:25" outlineLevel="1">
      <c r="A451" s="88"/>
      <c r="B451" s="385"/>
      <c r="C451" s="385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</row>
    <row r="452" spans="1:25" outlineLevel="1">
      <c r="A452" s="88"/>
      <c r="B452" s="385"/>
      <c r="C452" s="385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</row>
    <row r="453" spans="1:25" outlineLevel="1">
      <c r="A453" s="371"/>
      <c r="B453" s="470"/>
      <c r="C453" s="470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</row>
    <row r="454" spans="1:25" outlineLevel="1">
      <c r="A454" s="385"/>
      <c r="B454" s="385"/>
      <c r="C454" s="385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</row>
    <row r="455" spans="1:25" outlineLevel="1">
      <c r="A455" s="367"/>
      <c r="B455" s="367"/>
      <c r="C455" s="367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</row>
    <row r="456" spans="1:25" outlineLevel="1">
      <c r="A456" s="385"/>
      <c r="B456" s="469"/>
      <c r="C456" s="469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</row>
    <row r="457" spans="1:25" outlineLevel="1">
      <c r="A457" s="385"/>
      <c r="B457" s="469"/>
      <c r="C457" s="469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</row>
    <row r="458" spans="1:25" outlineLevel="1">
      <c r="A458" s="385"/>
      <c r="B458" s="469"/>
      <c r="C458" s="469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</row>
    <row r="459" spans="1:25" outlineLevel="1">
      <c r="A459" s="367"/>
      <c r="B459" s="367"/>
      <c r="C459" s="367"/>
      <c r="D459" s="367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</row>
    <row r="460" spans="1:25" outlineLevel="1">
      <c r="A460" s="367"/>
      <c r="B460" s="367"/>
      <c r="C460" s="367"/>
      <c r="D460" s="367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</row>
    <row r="461" spans="1:25" outlineLevel="1">
      <c r="A461" s="371"/>
      <c r="B461" s="371"/>
      <c r="C461" s="371"/>
      <c r="D461" s="367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</row>
    <row r="462" spans="1:25" outlineLevel="1">
      <c r="A462" s="385"/>
      <c r="B462" s="385"/>
      <c r="C462" s="385"/>
      <c r="D462" s="367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</row>
    <row r="463" spans="1:25" outlineLevel="1">
      <c r="A463" s="385"/>
      <c r="B463" s="469"/>
      <c r="C463" s="469"/>
      <c r="D463" s="367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</row>
    <row r="464" spans="1:25" outlineLevel="1">
      <c r="A464" s="367"/>
      <c r="B464" s="367"/>
      <c r="C464" s="367"/>
      <c r="D464" s="367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</row>
    <row r="465" spans="1:25" outlineLevel="1">
      <c r="A465" s="371"/>
      <c r="B465" s="373"/>
      <c r="C465" s="373"/>
      <c r="D465" s="373"/>
      <c r="E465" s="373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67"/>
      <c r="T465" s="367"/>
      <c r="U465" s="367"/>
      <c r="V465" s="367"/>
      <c r="W465" s="367"/>
      <c r="X465" s="367"/>
      <c r="Y465" s="367"/>
    </row>
    <row r="466" spans="1:25" outlineLevel="1">
      <c r="A466" s="385"/>
      <c r="B466" s="385"/>
      <c r="C466" s="385"/>
      <c r="D466" s="385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</row>
    <row r="467" spans="1:25" outlineLevel="1">
      <c r="A467" s="88"/>
      <c r="B467" s="385"/>
      <c r="C467" s="385"/>
      <c r="D467" s="385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367"/>
      <c r="T467" s="367"/>
      <c r="U467" s="367"/>
      <c r="V467" s="367"/>
      <c r="W467" s="367"/>
      <c r="X467" s="367"/>
      <c r="Y467" s="367"/>
    </row>
    <row r="468" spans="1:25" outlineLevel="1">
      <c r="A468" s="88"/>
      <c r="B468" s="385"/>
      <c r="C468" s="385"/>
      <c r="D468" s="385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367"/>
      <c r="T468" s="367"/>
      <c r="U468" s="367"/>
      <c r="V468" s="367"/>
      <c r="W468" s="367"/>
      <c r="X468" s="367"/>
      <c r="Y468" s="367"/>
    </row>
    <row r="469" spans="1:25" outlineLevel="1">
      <c r="A469" s="88"/>
      <c r="B469" s="88"/>
      <c r="C469" s="88"/>
      <c r="D469" s="8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367"/>
      <c r="T469" s="367"/>
      <c r="U469" s="367"/>
      <c r="V469" s="367"/>
      <c r="W469" s="367"/>
      <c r="X469" s="367"/>
      <c r="Y469" s="367"/>
    </row>
    <row r="470" spans="1:25" outlineLevel="1">
      <c r="A470" s="88"/>
      <c r="B470" s="88"/>
      <c r="C470" s="88"/>
      <c r="D470" s="8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367"/>
      <c r="T470" s="367"/>
      <c r="U470" s="367"/>
      <c r="V470" s="367"/>
      <c r="W470" s="367"/>
      <c r="X470" s="367"/>
      <c r="Y470" s="367"/>
    </row>
    <row r="471" spans="1:25" outlineLevel="1">
      <c r="A471" s="88"/>
      <c r="B471" s="371"/>
      <c r="C471" s="371"/>
      <c r="D471" s="371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367"/>
      <c r="T471" s="367"/>
      <c r="U471" s="367"/>
      <c r="V471" s="367"/>
      <c r="W471" s="367"/>
      <c r="X471" s="367"/>
      <c r="Y471" s="367"/>
    </row>
    <row r="472" spans="1:25" outlineLevel="1">
      <c r="A472" s="88"/>
      <c r="B472" s="371"/>
      <c r="C472" s="371"/>
      <c r="D472" s="37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367"/>
      <c r="T472" s="367"/>
      <c r="U472" s="367"/>
      <c r="V472" s="367"/>
      <c r="W472" s="367"/>
      <c r="X472" s="367"/>
      <c r="Y472" s="367"/>
    </row>
    <row r="473" spans="1:25" outlineLevel="1">
      <c r="A473" s="385"/>
      <c r="B473" s="385"/>
      <c r="C473" s="385"/>
      <c r="D473" s="385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367"/>
      <c r="T473" s="367"/>
      <c r="U473" s="367"/>
      <c r="V473" s="367"/>
      <c r="W473" s="367"/>
      <c r="X473" s="367"/>
      <c r="Y473" s="367"/>
    </row>
    <row r="474" spans="1:25" outlineLevel="1">
      <c r="A474" s="88"/>
      <c r="B474" s="385"/>
      <c r="C474" s="385"/>
      <c r="D474" s="385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367"/>
      <c r="T474" s="367"/>
      <c r="U474" s="367"/>
      <c r="V474" s="367"/>
      <c r="W474" s="367"/>
      <c r="X474" s="367"/>
      <c r="Y474" s="367"/>
    </row>
    <row r="475" spans="1:25" outlineLevel="1">
      <c r="A475" s="88"/>
      <c r="B475" s="385"/>
      <c r="C475" s="385"/>
      <c r="D475" s="385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367"/>
      <c r="T475" s="367"/>
      <c r="U475" s="367"/>
      <c r="V475" s="367"/>
      <c r="W475" s="367"/>
      <c r="X475" s="367"/>
      <c r="Y475" s="367"/>
    </row>
    <row r="476" spans="1:25" outlineLevel="1">
      <c r="A476" s="88"/>
      <c r="B476" s="385"/>
      <c r="C476" s="385"/>
      <c r="D476" s="385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367"/>
      <c r="T476" s="367"/>
      <c r="U476" s="367"/>
      <c r="V476" s="367"/>
      <c r="W476" s="367"/>
      <c r="X476" s="367"/>
      <c r="Y476" s="367"/>
    </row>
    <row r="477" spans="1:25" outlineLevel="1">
      <c r="A477" s="88"/>
      <c r="B477" s="385"/>
      <c r="C477" s="385"/>
      <c r="D477" s="385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367"/>
      <c r="T477" s="367"/>
      <c r="U477" s="367"/>
      <c r="V477" s="367"/>
      <c r="W477" s="367"/>
      <c r="X477" s="367"/>
      <c r="Y477" s="367"/>
    </row>
    <row r="478" spans="1:25" outlineLevel="1">
      <c r="A478" s="88"/>
      <c r="B478" s="385"/>
      <c r="C478" s="385"/>
      <c r="D478" s="385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367"/>
      <c r="T478" s="367"/>
      <c r="U478" s="367"/>
      <c r="V478" s="367"/>
      <c r="W478" s="367"/>
      <c r="X478" s="367"/>
      <c r="Y478" s="367"/>
    </row>
    <row r="479" spans="1:25" outlineLevel="1">
      <c r="A479" s="88"/>
      <c r="B479" s="385"/>
      <c r="C479" s="385"/>
      <c r="D479" s="385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367"/>
      <c r="T479" s="367"/>
      <c r="U479" s="367"/>
      <c r="V479" s="367"/>
      <c r="W479" s="367"/>
      <c r="X479" s="367"/>
      <c r="Y479" s="367"/>
    </row>
    <row r="480" spans="1:25" outlineLevel="1">
      <c r="A480" s="88"/>
      <c r="B480" s="385"/>
      <c r="C480" s="385"/>
      <c r="D480" s="385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367"/>
      <c r="T480" s="367"/>
      <c r="U480" s="367"/>
      <c r="V480" s="367"/>
      <c r="W480" s="367"/>
      <c r="X480" s="367"/>
      <c r="Y480" s="367"/>
    </row>
    <row r="481" spans="1:25" outlineLevel="1">
      <c r="A481" s="88"/>
      <c r="B481" s="385"/>
      <c r="C481" s="385"/>
      <c r="D481" s="385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367"/>
      <c r="T481" s="367"/>
      <c r="U481" s="367"/>
      <c r="V481" s="367"/>
      <c r="W481" s="367"/>
      <c r="X481" s="367"/>
      <c r="Y481" s="367"/>
    </row>
    <row r="482" spans="1:25" outlineLevel="1">
      <c r="A482" s="88"/>
      <c r="B482" s="385"/>
      <c r="C482" s="385"/>
      <c r="D482" s="385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367"/>
      <c r="T482" s="367"/>
      <c r="U482" s="367"/>
      <c r="V482" s="367"/>
      <c r="W482" s="367"/>
      <c r="X482" s="367"/>
      <c r="Y482" s="367"/>
    </row>
    <row r="483" spans="1:25" outlineLevel="1">
      <c r="A483" s="88"/>
      <c r="B483" s="385"/>
      <c r="C483" s="385"/>
      <c r="D483" s="385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367"/>
      <c r="T483" s="367"/>
      <c r="U483" s="367"/>
      <c r="V483" s="367"/>
      <c r="W483" s="367"/>
      <c r="X483" s="367"/>
      <c r="Y483" s="367"/>
    </row>
    <row r="484" spans="1:25" outlineLevel="1">
      <c r="A484" s="88"/>
      <c r="B484" s="88"/>
      <c r="C484" s="88"/>
      <c r="D484" s="8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367"/>
      <c r="T484" s="367"/>
      <c r="U484" s="367"/>
      <c r="V484" s="367"/>
      <c r="W484" s="367"/>
      <c r="X484" s="367"/>
      <c r="Y484" s="367"/>
    </row>
    <row r="485" spans="1:25" outlineLevel="1">
      <c r="A485" s="88"/>
      <c r="B485" s="88"/>
      <c r="C485" s="88"/>
      <c r="D485" s="8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367"/>
      <c r="T485" s="367"/>
      <c r="U485" s="367"/>
      <c r="V485" s="367"/>
      <c r="W485" s="367"/>
      <c r="X485" s="367"/>
      <c r="Y485" s="367"/>
    </row>
    <row r="486" spans="1:25" outlineLevel="1">
      <c r="A486" s="385"/>
      <c r="B486" s="385"/>
      <c r="C486" s="385"/>
      <c r="D486" s="385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367"/>
      <c r="T486" s="367"/>
      <c r="U486" s="367"/>
      <c r="V486" s="367"/>
      <c r="W486" s="367"/>
      <c r="X486" s="367"/>
      <c r="Y486" s="367"/>
    </row>
    <row r="487" spans="1:25" outlineLevel="1">
      <c r="A487" s="367"/>
      <c r="B487" s="385"/>
      <c r="C487" s="385"/>
      <c r="D487" s="385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367"/>
      <c r="T487" s="367"/>
      <c r="U487" s="367"/>
      <c r="V487" s="367"/>
      <c r="W487" s="367"/>
      <c r="X487" s="367"/>
      <c r="Y487" s="367"/>
    </row>
    <row r="488" spans="1:25" outlineLevel="1">
      <c r="A488" s="88"/>
      <c r="B488" s="88"/>
      <c r="C488" s="88"/>
      <c r="D488" s="8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367"/>
      <c r="T488" s="367"/>
      <c r="U488" s="367"/>
      <c r="V488" s="367"/>
      <c r="W488" s="367"/>
      <c r="X488" s="367"/>
      <c r="Y488" s="367"/>
    </row>
    <row r="489" spans="1:25" outlineLevel="1">
      <c r="A489" s="385"/>
      <c r="B489" s="385"/>
      <c r="C489" s="385"/>
      <c r="D489" s="385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367"/>
      <c r="T489" s="367"/>
      <c r="U489" s="367"/>
      <c r="V489" s="367"/>
      <c r="W489" s="367"/>
      <c r="X489" s="367"/>
      <c r="Y489" s="367"/>
    </row>
    <row r="490" spans="1:25" outlineLevel="1">
      <c r="A490" s="88"/>
      <c r="B490" s="470"/>
      <c r="C490" s="470"/>
      <c r="D490" s="47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367"/>
      <c r="T490" s="367"/>
      <c r="U490" s="367"/>
      <c r="V490" s="367"/>
      <c r="W490" s="367"/>
      <c r="X490" s="367"/>
      <c r="Y490" s="367"/>
    </row>
    <row r="491" spans="1:25" outlineLevel="1">
      <c r="A491" s="385"/>
      <c r="B491" s="385"/>
      <c r="C491" s="385"/>
      <c r="D491" s="385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367"/>
      <c r="T491" s="367"/>
      <c r="U491" s="367"/>
      <c r="V491" s="367"/>
      <c r="W491" s="367"/>
      <c r="X491" s="367"/>
      <c r="Y491" s="367"/>
    </row>
    <row r="492" spans="1:25" outlineLevel="1">
      <c r="A492" s="385"/>
      <c r="B492" s="385"/>
      <c r="C492" s="385"/>
      <c r="D492" s="385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367"/>
      <c r="T492" s="367"/>
      <c r="U492" s="367"/>
      <c r="V492" s="367"/>
      <c r="W492" s="367"/>
      <c r="X492" s="367"/>
      <c r="Y492" s="367"/>
    </row>
    <row r="493" spans="1:25" outlineLevel="1">
      <c r="A493" s="385"/>
      <c r="B493" s="385"/>
      <c r="C493" s="385"/>
      <c r="D493" s="385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367"/>
      <c r="T493" s="367"/>
      <c r="U493" s="367"/>
      <c r="V493" s="367"/>
      <c r="W493" s="367"/>
      <c r="X493" s="367"/>
      <c r="Y493" s="367"/>
    </row>
    <row r="494" spans="1:25" outlineLevel="1">
      <c r="A494" s="385"/>
      <c r="B494" s="469"/>
      <c r="C494" s="469"/>
      <c r="D494" s="469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367"/>
      <c r="T494" s="367"/>
      <c r="U494" s="367"/>
      <c r="V494" s="367"/>
      <c r="W494" s="367"/>
      <c r="X494" s="367"/>
      <c r="Y494" s="367"/>
    </row>
    <row r="495" spans="1:25" outlineLevel="1">
      <c r="A495" s="385"/>
      <c r="B495" s="469"/>
      <c r="C495" s="469"/>
      <c r="D495" s="469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367"/>
      <c r="T495" s="367"/>
      <c r="U495" s="367"/>
      <c r="V495" s="367"/>
      <c r="W495" s="367"/>
      <c r="X495" s="367"/>
      <c r="Y495" s="367"/>
    </row>
    <row r="496" spans="1:25" outlineLevel="1">
      <c r="A496" s="385"/>
      <c r="B496" s="469"/>
      <c r="C496" s="469"/>
      <c r="D496" s="469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367"/>
      <c r="T496" s="367"/>
      <c r="U496" s="367"/>
      <c r="V496" s="367"/>
      <c r="W496" s="367"/>
      <c r="X496" s="367"/>
      <c r="Y496" s="367"/>
    </row>
    <row r="497" spans="1:25" outlineLevel="1">
      <c r="A497" s="385"/>
      <c r="B497" s="469"/>
      <c r="C497" s="469"/>
      <c r="D497" s="469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367"/>
      <c r="T497" s="367"/>
      <c r="U497" s="367"/>
      <c r="V497" s="367"/>
      <c r="W497" s="367"/>
      <c r="X497" s="367"/>
      <c r="Y497" s="367"/>
    </row>
    <row r="498" spans="1:25" outlineLevel="1">
      <c r="A498" s="385"/>
      <c r="B498" s="469"/>
      <c r="C498" s="469"/>
      <c r="D498" s="469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367"/>
      <c r="T498" s="367"/>
      <c r="U498" s="367"/>
      <c r="V498" s="367"/>
      <c r="W498" s="367"/>
      <c r="X498" s="367"/>
      <c r="Y498" s="367"/>
    </row>
    <row r="499" spans="1:25" outlineLevel="1">
      <c r="A499" s="367"/>
      <c r="B499" s="469"/>
      <c r="C499" s="469"/>
      <c r="D499" s="469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367"/>
      <c r="B500" s="66"/>
      <c r="C500" s="66"/>
      <c r="D500" s="469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367"/>
      <c r="B501" s="469"/>
      <c r="C501" s="469"/>
      <c r="D501" s="469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367"/>
      <c r="B502" s="469"/>
      <c r="C502" s="469"/>
      <c r="D502" s="469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367"/>
      <c r="B503" s="469"/>
      <c r="C503" s="469"/>
      <c r="D503" s="469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367"/>
      <c r="B504" s="469"/>
      <c r="C504" s="469"/>
      <c r="D504" s="469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385"/>
      <c r="B505" s="469"/>
      <c r="C505" s="469"/>
      <c r="D505" s="469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367"/>
      <c r="B506" s="469"/>
      <c r="C506" s="469"/>
      <c r="D506" s="469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367"/>
      <c r="B507" s="469"/>
      <c r="C507" s="469"/>
      <c r="D507" s="469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385"/>
      <c r="B508" s="469"/>
      <c r="C508" s="469"/>
      <c r="D508" s="469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385"/>
      <c r="B509" s="469"/>
      <c r="C509" s="469"/>
      <c r="D509" s="469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367"/>
      <c r="B510" s="469"/>
      <c r="C510" s="469"/>
      <c r="D510" s="469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367"/>
      <c r="B511" s="469"/>
      <c r="C511" s="469"/>
      <c r="D511" s="469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367"/>
      <c r="B512" s="469"/>
      <c r="C512" s="469"/>
      <c r="D512" s="469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367"/>
      <c r="B513" s="469"/>
      <c r="C513" s="469"/>
      <c r="D513" s="469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367"/>
      <c r="B514" s="469"/>
      <c r="C514" s="469"/>
      <c r="D514" s="469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367"/>
      <c r="B515" s="469"/>
      <c r="C515" s="469"/>
      <c r="D515" s="469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367"/>
      <c r="B516" s="469"/>
      <c r="C516" s="469"/>
      <c r="D516" s="469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367"/>
      <c r="B517" s="469"/>
      <c r="C517" s="469"/>
      <c r="D517" s="469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367"/>
      <c r="T517" s="367"/>
      <c r="U517" s="367"/>
      <c r="V517" s="367"/>
      <c r="W517" s="367"/>
      <c r="X517" s="367"/>
      <c r="Y517" s="367"/>
    </row>
    <row r="518" spans="1:25" outlineLevel="1">
      <c r="A518" s="385"/>
      <c r="B518" s="469"/>
      <c r="C518" s="469"/>
      <c r="D518" s="469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367"/>
      <c r="T518" s="367"/>
      <c r="U518" s="367"/>
      <c r="V518" s="367"/>
      <c r="W518" s="367"/>
      <c r="X518" s="367"/>
      <c r="Y518" s="367"/>
    </row>
    <row r="519" spans="1:25" outlineLevel="1">
      <c r="A519" s="385"/>
      <c r="B519" s="469"/>
      <c r="C519" s="469"/>
      <c r="D519" s="469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367"/>
      <c r="T519" s="367"/>
      <c r="U519" s="367"/>
      <c r="V519" s="367"/>
      <c r="W519" s="367"/>
      <c r="X519" s="367"/>
      <c r="Y519" s="367"/>
    </row>
    <row r="520" spans="1:25" outlineLevel="1">
      <c r="A520" s="385"/>
      <c r="B520" s="469"/>
      <c r="C520" s="469"/>
      <c r="D520" s="469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367"/>
      <c r="T520" s="367"/>
      <c r="U520" s="367"/>
      <c r="V520" s="367"/>
      <c r="W520" s="367"/>
      <c r="X520" s="367"/>
      <c r="Y520" s="367"/>
    </row>
    <row r="521" spans="1:25" outlineLevel="1">
      <c r="A521" s="385"/>
      <c r="B521" s="469"/>
      <c r="C521" s="469"/>
      <c r="D521" s="469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367"/>
      <c r="T521" s="367"/>
      <c r="U521" s="367"/>
      <c r="V521" s="367"/>
      <c r="W521" s="367"/>
      <c r="X521" s="367"/>
      <c r="Y521" s="367"/>
    </row>
    <row r="522" spans="1:25" outlineLevel="1">
      <c r="A522" s="385"/>
      <c r="B522" s="469"/>
      <c r="C522" s="469"/>
      <c r="D522" s="469"/>
      <c r="E522" s="367"/>
      <c r="F522" s="367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367"/>
      <c r="T522" s="367"/>
      <c r="U522" s="367"/>
      <c r="V522" s="367"/>
      <c r="W522" s="367"/>
      <c r="X522" s="367"/>
      <c r="Y522" s="367"/>
    </row>
    <row r="523" spans="1:25" outlineLevel="1">
      <c r="A523" s="367"/>
      <c r="B523" s="367"/>
      <c r="C523" s="367"/>
      <c r="D523" s="367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</row>
    <row r="524" spans="1:25" outlineLevel="1">
      <c r="A524" s="385"/>
      <c r="B524" s="367"/>
      <c r="C524" s="367"/>
      <c r="D524" s="367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</row>
    <row r="525" spans="1:25" outlineLevel="1">
      <c r="A525" s="385"/>
      <c r="B525" s="367"/>
      <c r="C525" s="367"/>
      <c r="D525" s="367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</row>
    <row r="526" spans="1:25" outlineLevel="1">
      <c r="A526" s="367"/>
      <c r="B526" s="367"/>
      <c r="C526" s="367"/>
      <c r="D526" s="367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</row>
    <row r="527" spans="1:25" outlineLevel="1">
      <c r="A527" s="367"/>
      <c r="B527" s="367"/>
      <c r="C527" s="367"/>
      <c r="D527" s="367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</row>
    <row r="528" spans="1:25" outlineLevel="1">
      <c r="A528" s="371"/>
      <c r="B528" s="373"/>
      <c r="C528" s="373"/>
      <c r="D528" s="373"/>
      <c r="E528" s="373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</row>
    <row r="529" spans="1:25" outlineLevel="1">
      <c r="A529" s="367"/>
      <c r="B529" s="367"/>
      <c r="C529" s="367"/>
      <c r="D529" s="367"/>
      <c r="E529" s="367"/>
      <c r="F529" s="367"/>
      <c r="G529" s="410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</row>
    <row r="530" spans="1:25" outlineLevel="1">
      <c r="A530" s="385"/>
      <c r="B530" s="367"/>
      <c r="C530" s="367"/>
      <c r="D530" s="367"/>
      <c r="E530" s="367"/>
      <c r="F530" s="367"/>
      <c r="G530" s="410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367"/>
      <c r="T530" s="367"/>
      <c r="U530" s="367"/>
      <c r="V530" s="367"/>
      <c r="W530" s="367"/>
      <c r="X530" s="367"/>
      <c r="Y530" s="367"/>
    </row>
    <row r="531" spans="1:25" outlineLevel="1">
      <c r="A531" s="367"/>
      <c r="B531" s="367"/>
      <c r="C531" s="367"/>
      <c r="D531" s="367"/>
      <c r="E531" s="367"/>
      <c r="F531" s="367"/>
      <c r="G531" s="410"/>
      <c r="H531" s="410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367"/>
      <c r="T531" s="367"/>
      <c r="U531" s="367"/>
      <c r="V531" s="367"/>
      <c r="W531" s="367"/>
      <c r="X531" s="367"/>
      <c r="Y531" s="367"/>
    </row>
    <row r="532" spans="1:25" outlineLevel="1">
      <c r="A532" s="367"/>
      <c r="B532" s="367"/>
      <c r="C532" s="367"/>
      <c r="D532" s="367"/>
      <c r="E532" s="367"/>
      <c r="F532" s="367"/>
      <c r="G532" s="410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367"/>
      <c r="T532" s="367"/>
      <c r="U532" s="367"/>
      <c r="V532" s="367"/>
      <c r="W532" s="367"/>
      <c r="X532" s="367"/>
      <c r="Y532" s="367"/>
    </row>
    <row r="533" spans="1:25" outlineLevel="1">
      <c r="A533" s="367"/>
      <c r="B533" s="367"/>
      <c r="C533" s="367"/>
      <c r="D533" s="367"/>
      <c r="E533" s="367"/>
      <c r="F533" s="367"/>
      <c r="G533" s="410"/>
      <c r="H533" s="410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367"/>
      <c r="T533" s="367"/>
      <c r="U533" s="367"/>
      <c r="V533" s="367"/>
      <c r="W533" s="367"/>
      <c r="X533" s="367"/>
      <c r="Y533" s="367"/>
    </row>
    <row r="534" spans="1:25" outlineLevel="1">
      <c r="A534" s="367"/>
      <c r="B534" s="367"/>
      <c r="C534" s="367"/>
      <c r="D534" s="367"/>
      <c r="E534" s="367"/>
      <c r="F534" s="367"/>
      <c r="G534" s="410"/>
      <c r="H534" s="410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367"/>
      <c r="T534" s="367"/>
      <c r="U534" s="367"/>
      <c r="V534" s="367"/>
      <c r="W534" s="367"/>
      <c r="X534" s="367"/>
      <c r="Y534" s="367"/>
    </row>
    <row r="535" spans="1:25" outlineLevel="1">
      <c r="A535" s="59"/>
      <c r="B535" s="367"/>
      <c r="C535" s="367"/>
      <c r="D535" s="367"/>
      <c r="E535" s="367"/>
      <c r="F535" s="367"/>
      <c r="G535" s="410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367"/>
      <c r="T535" s="367"/>
      <c r="U535" s="367"/>
      <c r="V535" s="367"/>
      <c r="W535" s="367"/>
      <c r="X535" s="367"/>
      <c r="Y535" s="367"/>
    </row>
    <row r="536" spans="1:25" outlineLevel="1">
      <c r="A536" s="59"/>
      <c r="B536" s="367"/>
      <c r="C536" s="367"/>
      <c r="D536" s="367"/>
      <c r="E536" s="367"/>
      <c r="F536" s="367"/>
      <c r="G536" s="410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367"/>
      <c r="T536" s="367"/>
      <c r="U536" s="367"/>
      <c r="V536" s="367"/>
      <c r="W536" s="367"/>
      <c r="X536" s="367"/>
      <c r="Y536" s="367"/>
    </row>
    <row r="537" spans="1:25" outlineLevel="1">
      <c r="A537" s="385"/>
      <c r="B537" s="367"/>
      <c r="C537" s="367"/>
      <c r="D537" s="367"/>
      <c r="E537" s="367"/>
      <c r="F537" s="367"/>
      <c r="G537" s="410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</row>
    <row r="538" spans="1:25" outlineLevel="1">
      <c r="A538" s="367"/>
      <c r="B538" s="367"/>
      <c r="C538" s="367"/>
      <c r="D538" s="367"/>
      <c r="E538" s="367"/>
      <c r="F538" s="367"/>
      <c r="G538" s="410"/>
      <c r="H538" s="410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367"/>
      <c r="T538" s="367"/>
      <c r="U538" s="367"/>
      <c r="V538" s="367"/>
      <c r="W538" s="367"/>
      <c r="X538" s="367"/>
      <c r="Y538" s="367"/>
    </row>
    <row r="539" spans="1:25" outlineLevel="1">
      <c r="A539" s="367"/>
      <c r="B539" s="367"/>
      <c r="C539" s="367"/>
      <c r="D539" s="367"/>
      <c r="E539" s="367"/>
      <c r="F539" s="367"/>
      <c r="G539" s="410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</row>
    <row r="540" spans="1:25" outlineLevel="1">
      <c r="A540" s="385"/>
      <c r="B540" s="367"/>
      <c r="C540" s="367"/>
      <c r="D540" s="367"/>
      <c r="E540" s="367"/>
      <c r="F540" s="367"/>
      <c r="G540" s="410"/>
      <c r="H540" s="477"/>
      <c r="I540" s="477"/>
      <c r="J540" s="477"/>
      <c r="K540" s="477"/>
      <c r="L540" s="477"/>
      <c r="M540" s="477"/>
      <c r="N540" s="477"/>
      <c r="O540" s="477"/>
      <c r="P540" s="477"/>
      <c r="Q540" s="477"/>
      <c r="R540" s="477"/>
      <c r="S540" s="367"/>
      <c r="T540" s="367"/>
      <c r="U540" s="367"/>
      <c r="V540" s="367"/>
      <c r="W540" s="367"/>
      <c r="X540" s="367"/>
      <c r="Y540" s="367"/>
    </row>
    <row r="541" spans="1:25" outlineLevel="1">
      <c r="A541" s="367"/>
      <c r="B541" s="476"/>
      <c r="C541" s="476"/>
      <c r="D541" s="367"/>
      <c r="E541" s="367"/>
      <c r="F541" s="367"/>
      <c r="G541" s="410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367"/>
      <c r="T541" s="367"/>
      <c r="U541" s="367"/>
      <c r="V541" s="367"/>
      <c r="W541" s="367"/>
      <c r="X541" s="367"/>
      <c r="Y541" s="367"/>
    </row>
    <row r="542" spans="1:25" outlineLevel="1">
      <c r="A542" s="385"/>
      <c r="B542" s="367"/>
      <c r="C542" s="367"/>
      <c r="D542" s="367"/>
      <c r="E542" s="367"/>
      <c r="F542" s="367"/>
      <c r="G542" s="410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367"/>
      <c r="T542" s="367"/>
      <c r="U542" s="367"/>
      <c r="V542" s="367"/>
      <c r="W542" s="367"/>
      <c r="X542" s="367"/>
      <c r="Y542" s="367"/>
    </row>
    <row r="543" spans="1:25" outlineLevel="1">
      <c r="A543" s="367"/>
      <c r="B543" s="367"/>
      <c r="C543" s="367"/>
      <c r="D543" s="367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</row>
    <row r="544" spans="1:25" outlineLevel="1">
      <c r="A544" s="367"/>
      <c r="B544" s="367"/>
      <c r="C544" s="367"/>
      <c r="D544" s="367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</row>
    <row r="545" spans="1:25" s="480" customFormat="1" outlineLevel="1">
      <c r="A545" s="479"/>
      <c r="B545" s="479"/>
      <c r="C545" s="479"/>
      <c r="D545" s="479"/>
      <c r="E545" s="479"/>
      <c r="F545" s="479"/>
      <c r="G545" s="479"/>
    </row>
    <row r="546" spans="1:25" s="480" customFormat="1" outlineLevel="1">
      <c r="A546" s="479"/>
      <c r="B546" s="479"/>
      <c r="C546" s="479"/>
      <c r="D546" s="479"/>
      <c r="E546" s="479"/>
      <c r="F546" s="481"/>
      <c r="G546" s="482"/>
      <c r="H546" s="479"/>
      <c r="I546" s="483"/>
    </row>
    <row r="547" spans="1:25" s="480" customFormat="1" outlineLevel="1">
      <c r="A547" s="479"/>
      <c r="B547" s="482"/>
      <c r="C547" s="482"/>
      <c r="D547" s="482"/>
      <c r="E547" s="482"/>
      <c r="F547" s="484"/>
      <c r="G547" s="471"/>
      <c r="H547" s="471"/>
      <c r="I547" s="483"/>
    </row>
    <row r="548" spans="1:25" s="480" customFormat="1" outlineLevel="1">
      <c r="A548" s="479"/>
      <c r="B548" s="471"/>
      <c r="C548" s="471"/>
      <c r="D548" s="471"/>
      <c r="E548" s="471"/>
      <c r="F548" s="471"/>
      <c r="G548" s="483"/>
      <c r="H548" s="471"/>
      <c r="I548" s="484"/>
    </row>
    <row r="549" spans="1:25" s="480" customFormat="1" outlineLevel="1">
      <c r="A549" s="485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</row>
    <row r="550" spans="1:25" s="480" customFormat="1" outlineLevel="1">
      <c r="A550" s="467"/>
      <c r="B550" s="479"/>
      <c r="C550" s="479"/>
      <c r="D550" s="479"/>
      <c r="E550" s="479"/>
      <c r="F550" s="479"/>
      <c r="G550" s="486"/>
      <c r="H550" s="486"/>
      <c r="I550" s="486"/>
      <c r="J550" s="486"/>
      <c r="K550" s="486"/>
      <c r="L550" s="486"/>
      <c r="M550" s="486"/>
      <c r="N550" s="486"/>
      <c r="O550" s="486"/>
      <c r="P550" s="486"/>
      <c r="Q550" s="486"/>
      <c r="R550" s="486"/>
      <c r="S550" s="486"/>
      <c r="T550" s="486"/>
      <c r="U550" s="486"/>
      <c r="V550" s="486"/>
      <c r="W550" s="486"/>
      <c r="X550" s="486"/>
      <c r="Y550" s="486"/>
    </row>
    <row r="551" spans="1:25" s="480" customFormat="1" outlineLevel="1">
      <c r="A551" s="45"/>
      <c r="B551" s="479"/>
      <c r="C551" s="479"/>
      <c r="D551" s="486"/>
      <c r="E551" s="486"/>
      <c r="F551" s="486"/>
      <c r="G551" s="486"/>
      <c r="H551" s="486"/>
      <c r="I551" s="486"/>
      <c r="J551" s="486"/>
      <c r="K551" s="486"/>
      <c r="L551" s="486"/>
      <c r="M551" s="486"/>
      <c r="N551" s="486"/>
      <c r="O551" s="486"/>
      <c r="P551" s="486"/>
      <c r="Q551" s="486"/>
      <c r="R551" s="486"/>
      <c r="S551" s="486"/>
      <c r="T551" s="486"/>
      <c r="U551" s="486"/>
      <c r="V551" s="486"/>
      <c r="W551" s="486"/>
      <c r="X551" s="486"/>
      <c r="Y551" s="486"/>
    </row>
    <row r="552" spans="1:25" s="480" customFormat="1" outlineLevel="1">
      <c r="A552" s="45"/>
      <c r="B552" s="85"/>
      <c r="C552" s="85"/>
      <c r="D552" s="486"/>
      <c r="E552" s="486"/>
      <c r="F552" s="486"/>
      <c r="G552" s="486"/>
      <c r="H552" s="486"/>
      <c r="I552" s="486"/>
      <c r="J552" s="486"/>
      <c r="K552" s="486"/>
      <c r="L552" s="486"/>
      <c r="M552" s="486"/>
      <c r="N552" s="486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</row>
    <row r="553" spans="1:25" s="480" customFormat="1" outlineLevel="1">
      <c r="A553" s="45"/>
      <c r="B553" s="487"/>
      <c r="C553" s="487"/>
      <c r="D553" s="486"/>
      <c r="E553" s="486"/>
      <c r="F553" s="486"/>
      <c r="G553" s="486"/>
      <c r="H553" s="486"/>
      <c r="I553" s="486"/>
      <c r="J553" s="486"/>
      <c r="K553" s="486"/>
      <c r="L553" s="486"/>
      <c r="M553" s="486"/>
      <c r="N553" s="486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</row>
    <row r="554" spans="1:25" s="480" customFormat="1" outlineLevel="1">
      <c r="A554" s="466"/>
      <c r="B554" s="485"/>
      <c r="C554" s="485"/>
      <c r="D554" s="486"/>
      <c r="E554" s="486"/>
      <c r="F554" s="486"/>
      <c r="G554" s="486"/>
      <c r="H554" s="486"/>
      <c r="I554" s="486"/>
      <c r="J554" s="486"/>
      <c r="K554" s="486"/>
      <c r="L554" s="486"/>
      <c r="M554" s="486"/>
      <c r="N554" s="486"/>
      <c r="O554" s="486"/>
      <c r="P554" s="486"/>
      <c r="Q554" s="486"/>
      <c r="R554" s="486"/>
      <c r="S554" s="486"/>
      <c r="T554" s="486"/>
      <c r="U554" s="486"/>
      <c r="V554" s="486"/>
      <c r="W554" s="486"/>
      <c r="X554" s="486"/>
      <c r="Y554" s="486"/>
    </row>
    <row r="555" spans="1:25" s="480" customFormat="1" outlineLevel="1">
      <c r="A555" s="405"/>
      <c r="D555" s="486"/>
      <c r="E555" s="486"/>
      <c r="F555" s="486"/>
      <c r="G555" s="486"/>
      <c r="H555" s="486"/>
      <c r="I555" s="486"/>
      <c r="J555" s="486"/>
      <c r="K555" s="486"/>
      <c r="L555" s="486"/>
      <c r="M555" s="486"/>
      <c r="N555" s="486"/>
      <c r="O555" s="486"/>
      <c r="P555" s="486"/>
      <c r="Q555" s="486"/>
      <c r="R555" s="486"/>
      <c r="S555" s="486"/>
      <c r="T555" s="486"/>
      <c r="U555" s="486"/>
      <c r="V555" s="486"/>
      <c r="W555" s="486"/>
      <c r="X555" s="486"/>
      <c r="Y555" s="486"/>
    </row>
    <row r="556" spans="1:25" s="480" customFormat="1" outlineLevel="1">
      <c r="A556" s="467"/>
      <c r="B556" s="479"/>
      <c r="C556" s="479"/>
      <c r="D556" s="486"/>
      <c r="E556" s="486"/>
      <c r="F556" s="486"/>
      <c r="G556" s="486"/>
      <c r="H556" s="486"/>
      <c r="I556" s="486"/>
      <c r="J556" s="486"/>
      <c r="K556" s="486"/>
      <c r="L556" s="486"/>
      <c r="M556" s="486"/>
      <c r="N556" s="486"/>
      <c r="O556" s="486"/>
      <c r="P556" s="486"/>
      <c r="Q556" s="486"/>
      <c r="R556" s="486"/>
      <c r="S556" s="486"/>
      <c r="T556" s="486"/>
      <c r="U556" s="486"/>
      <c r="V556" s="486"/>
      <c r="W556" s="486"/>
      <c r="X556" s="486"/>
      <c r="Y556" s="486"/>
    </row>
    <row r="557" spans="1:25" s="480" customFormat="1" outlineLevel="1">
      <c r="A557" s="488"/>
      <c r="B557" s="489"/>
      <c r="C557" s="489"/>
      <c r="D557" s="486"/>
      <c r="E557" s="486"/>
      <c r="F557" s="486"/>
      <c r="G557" s="486"/>
      <c r="H557" s="486"/>
      <c r="I557" s="486"/>
      <c r="J557" s="486"/>
      <c r="K557" s="486"/>
      <c r="L557" s="486"/>
      <c r="M557" s="486"/>
      <c r="N557" s="486"/>
      <c r="O557" s="486"/>
      <c r="P557" s="486"/>
      <c r="Q557" s="486"/>
      <c r="R557" s="486"/>
      <c r="S557" s="486"/>
      <c r="T557" s="486"/>
      <c r="U557" s="486"/>
      <c r="V557" s="486"/>
      <c r="W557" s="486"/>
      <c r="X557" s="486"/>
      <c r="Y557" s="486"/>
    </row>
    <row r="558" spans="1:25" s="480" customFormat="1" outlineLevel="1">
      <c r="A558" s="488"/>
      <c r="B558" s="489"/>
      <c r="C558" s="489"/>
      <c r="D558" s="486"/>
      <c r="E558" s="486"/>
      <c r="F558" s="486"/>
      <c r="G558" s="486"/>
      <c r="H558" s="486"/>
      <c r="I558" s="486"/>
      <c r="J558" s="486"/>
      <c r="K558" s="486"/>
      <c r="L558" s="486"/>
      <c r="M558" s="486"/>
      <c r="N558" s="486"/>
      <c r="O558" s="486"/>
      <c r="P558" s="486"/>
      <c r="Q558" s="486"/>
      <c r="R558" s="486"/>
      <c r="S558" s="486"/>
      <c r="T558" s="486"/>
      <c r="U558" s="486"/>
      <c r="V558" s="486"/>
      <c r="W558" s="486"/>
      <c r="X558" s="486"/>
      <c r="Y558" s="486"/>
    </row>
    <row r="559" spans="1:25" s="480" customFormat="1" outlineLevel="1">
      <c r="A559" s="488"/>
      <c r="B559" s="489"/>
      <c r="C559" s="489"/>
      <c r="D559" s="486"/>
      <c r="E559" s="486"/>
      <c r="F559" s="486"/>
      <c r="G559" s="486"/>
      <c r="H559" s="486"/>
      <c r="I559" s="486"/>
      <c r="J559" s="486"/>
      <c r="K559" s="486"/>
      <c r="L559" s="486"/>
      <c r="M559" s="486"/>
      <c r="N559" s="486"/>
      <c r="O559" s="486"/>
      <c r="P559" s="486"/>
      <c r="Q559" s="486"/>
      <c r="R559" s="486"/>
      <c r="S559" s="486"/>
      <c r="T559" s="486"/>
      <c r="U559" s="486"/>
      <c r="V559" s="486"/>
      <c r="W559" s="486"/>
      <c r="X559" s="486"/>
      <c r="Y559" s="486"/>
    </row>
    <row r="560" spans="1:25" s="480" customFormat="1" outlineLevel="1">
      <c r="A560" s="488"/>
      <c r="B560" s="489"/>
      <c r="C560" s="489"/>
      <c r="D560" s="486"/>
      <c r="E560" s="486"/>
      <c r="F560" s="486"/>
      <c r="G560" s="486"/>
      <c r="H560" s="486"/>
      <c r="I560" s="486"/>
      <c r="J560" s="486"/>
      <c r="K560" s="486"/>
      <c r="L560" s="486"/>
      <c r="M560" s="486"/>
      <c r="N560" s="486"/>
      <c r="O560" s="486"/>
      <c r="P560" s="486"/>
      <c r="Q560" s="486"/>
      <c r="R560" s="486"/>
      <c r="S560" s="486"/>
      <c r="T560" s="486"/>
      <c r="U560" s="486"/>
      <c r="V560" s="486"/>
      <c r="W560" s="486"/>
      <c r="X560" s="486"/>
      <c r="Y560" s="486"/>
    </row>
    <row r="561" spans="1:25" s="480" customFormat="1" outlineLevel="1">
      <c r="A561" s="488"/>
      <c r="B561" s="489"/>
      <c r="C561" s="489"/>
      <c r="D561" s="486"/>
      <c r="E561" s="486"/>
      <c r="F561" s="486"/>
      <c r="G561" s="486"/>
      <c r="H561" s="486"/>
      <c r="I561" s="486"/>
      <c r="J561" s="486"/>
      <c r="K561" s="486"/>
      <c r="L561" s="486"/>
      <c r="M561" s="486"/>
      <c r="N561" s="486"/>
      <c r="O561" s="486"/>
      <c r="P561" s="486"/>
      <c r="Q561" s="486"/>
      <c r="R561" s="486"/>
      <c r="S561" s="486"/>
      <c r="T561" s="486"/>
      <c r="U561" s="486"/>
      <c r="V561" s="486"/>
      <c r="W561" s="486"/>
      <c r="X561" s="486"/>
      <c r="Y561" s="486"/>
    </row>
    <row r="562" spans="1:25" s="480" customFormat="1" outlineLevel="1">
      <c r="A562" s="468"/>
      <c r="B562" s="489"/>
      <c r="C562" s="489"/>
      <c r="D562" s="486"/>
      <c r="E562" s="486"/>
      <c r="F562" s="486"/>
      <c r="G562" s="486"/>
      <c r="H562" s="486"/>
      <c r="I562" s="486"/>
      <c r="J562" s="486"/>
      <c r="K562" s="486"/>
      <c r="L562" s="486"/>
      <c r="M562" s="486"/>
      <c r="N562" s="486"/>
      <c r="O562" s="486"/>
      <c r="P562" s="486"/>
      <c r="Q562" s="486"/>
      <c r="R562" s="486"/>
      <c r="S562" s="486"/>
      <c r="T562" s="486"/>
      <c r="U562" s="486"/>
      <c r="V562" s="486"/>
      <c r="W562" s="486"/>
      <c r="X562" s="486"/>
      <c r="Y562" s="486"/>
    </row>
    <row r="563" spans="1:25" s="480" customFormat="1" outlineLevel="1">
      <c r="A563" s="488"/>
      <c r="B563" s="489"/>
      <c r="C563" s="489"/>
      <c r="D563" s="486"/>
      <c r="E563" s="486"/>
      <c r="F563" s="486"/>
      <c r="G563" s="486"/>
      <c r="H563" s="486"/>
      <c r="I563" s="486"/>
      <c r="J563" s="486"/>
      <c r="K563" s="486"/>
      <c r="L563" s="486"/>
      <c r="M563" s="486"/>
      <c r="N563" s="486"/>
      <c r="O563" s="486"/>
      <c r="P563" s="486"/>
      <c r="Q563" s="486"/>
      <c r="R563" s="486"/>
      <c r="S563" s="486"/>
      <c r="T563" s="486"/>
      <c r="U563" s="486"/>
      <c r="V563" s="486"/>
      <c r="W563" s="486"/>
      <c r="X563" s="486"/>
      <c r="Y563" s="486"/>
    </row>
    <row r="564" spans="1:25" s="480" customFormat="1" outlineLevel="1">
      <c r="A564" s="488"/>
      <c r="B564" s="489"/>
      <c r="C564" s="489"/>
      <c r="D564" s="486"/>
      <c r="E564" s="486"/>
      <c r="F564" s="486"/>
      <c r="G564" s="486"/>
      <c r="H564" s="486"/>
      <c r="I564" s="486"/>
      <c r="J564" s="486"/>
      <c r="K564" s="486"/>
      <c r="L564" s="486"/>
      <c r="M564" s="486"/>
      <c r="N564" s="486"/>
      <c r="O564" s="486"/>
      <c r="P564" s="486"/>
      <c r="Q564" s="486"/>
      <c r="R564" s="486"/>
      <c r="S564" s="486"/>
      <c r="T564" s="486"/>
      <c r="U564" s="486"/>
      <c r="V564" s="486"/>
      <c r="W564" s="486"/>
      <c r="X564" s="486"/>
      <c r="Y564" s="486"/>
    </row>
    <row r="565" spans="1:25" s="480" customFormat="1" outlineLevel="1">
      <c r="A565" s="488"/>
      <c r="B565" s="489"/>
      <c r="C565" s="489"/>
      <c r="D565" s="486"/>
      <c r="E565" s="486"/>
      <c r="F565" s="486"/>
      <c r="G565" s="486"/>
      <c r="H565" s="486"/>
      <c r="I565" s="486"/>
      <c r="J565" s="486"/>
      <c r="K565" s="486"/>
      <c r="L565" s="486"/>
      <c r="M565" s="486"/>
      <c r="N565" s="486"/>
      <c r="O565" s="486"/>
      <c r="P565" s="486"/>
      <c r="Q565" s="486"/>
      <c r="R565" s="486"/>
      <c r="S565" s="486"/>
      <c r="T565" s="486"/>
      <c r="U565" s="486"/>
      <c r="V565" s="486"/>
      <c r="W565" s="486"/>
      <c r="X565" s="486"/>
      <c r="Y565" s="486"/>
    </row>
    <row r="566" spans="1:25" s="480" customFormat="1" outlineLevel="1">
      <c r="A566" s="488"/>
      <c r="B566" s="489"/>
      <c r="C566" s="489"/>
      <c r="D566" s="486"/>
      <c r="E566" s="486"/>
      <c r="F566" s="486"/>
      <c r="G566" s="486"/>
      <c r="H566" s="486"/>
      <c r="I566" s="486"/>
      <c r="J566" s="486"/>
      <c r="K566" s="486"/>
      <c r="L566" s="486"/>
      <c r="M566" s="486"/>
      <c r="N566" s="486"/>
      <c r="O566" s="486"/>
      <c r="P566" s="486"/>
      <c r="Q566" s="486"/>
      <c r="R566" s="486"/>
      <c r="S566" s="486"/>
      <c r="T566" s="486"/>
      <c r="U566" s="486"/>
      <c r="V566" s="486"/>
      <c r="W566" s="486"/>
      <c r="X566" s="486"/>
      <c r="Y566" s="486"/>
    </row>
    <row r="567" spans="1:25" s="480" customFormat="1" outlineLevel="1">
      <c r="A567" s="488"/>
      <c r="B567" s="489"/>
      <c r="C567" s="489"/>
      <c r="D567" s="486"/>
      <c r="E567" s="486"/>
      <c r="F567" s="486"/>
      <c r="G567" s="486"/>
      <c r="H567" s="486"/>
      <c r="I567" s="486"/>
      <c r="J567" s="486"/>
      <c r="K567" s="486"/>
      <c r="L567" s="486"/>
      <c r="M567" s="486"/>
      <c r="N567" s="486"/>
      <c r="O567" s="486"/>
      <c r="P567" s="486"/>
      <c r="Q567" s="486"/>
      <c r="R567" s="486"/>
      <c r="S567" s="486"/>
      <c r="T567" s="486"/>
      <c r="U567" s="486"/>
      <c r="V567" s="486"/>
      <c r="W567" s="486"/>
      <c r="X567" s="486"/>
      <c r="Y567" s="486"/>
    </row>
    <row r="568" spans="1:25" s="480" customFormat="1" outlineLevel="1">
      <c r="A568" s="467"/>
      <c r="B568" s="489"/>
      <c r="C568" s="489"/>
      <c r="D568" s="486"/>
      <c r="E568" s="486"/>
      <c r="F568" s="486"/>
      <c r="G568" s="486"/>
      <c r="H568" s="486"/>
      <c r="I568" s="486"/>
      <c r="J568" s="486"/>
      <c r="K568" s="486"/>
      <c r="L568" s="486"/>
      <c r="M568" s="486"/>
      <c r="N568" s="486"/>
      <c r="O568" s="486"/>
      <c r="P568" s="486"/>
      <c r="Q568" s="486"/>
      <c r="R568" s="486"/>
      <c r="S568" s="486"/>
      <c r="T568" s="486"/>
      <c r="U568" s="486"/>
      <c r="V568" s="486"/>
      <c r="W568" s="486"/>
      <c r="X568" s="486"/>
      <c r="Y568" s="486"/>
    </row>
    <row r="569" spans="1:25" s="480" customFormat="1" outlineLevel="1">
      <c r="A569" s="467"/>
      <c r="B569" s="489"/>
      <c r="C569" s="489"/>
      <c r="D569" s="486"/>
      <c r="E569" s="486"/>
      <c r="F569" s="486"/>
      <c r="G569" s="486"/>
      <c r="H569" s="486"/>
      <c r="I569" s="486"/>
      <c r="J569" s="486"/>
      <c r="K569" s="486"/>
      <c r="L569" s="486"/>
      <c r="M569" s="486"/>
      <c r="N569" s="486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</row>
    <row r="570" spans="1:25" s="480" customFormat="1" outlineLevel="1">
      <c r="A570" s="467"/>
      <c r="B570" s="489"/>
      <c r="C570" s="489"/>
      <c r="D570" s="486"/>
      <c r="E570" s="486"/>
      <c r="F570" s="486"/>
      <c r="G570" s="486"/>
      <c r="H570" s="486"/>
      <c r="I570" s="486"/>
      <c r="J570" s="486"/>
      <c r="K570" s="486"/>
      <c r="L570" s="486"/>
      <c r="M570" s="486"/>
      <c r="N570" s="486"/>
      <c r="O570" s="486"/>
      <c r="P570" s="486"/>
      <c r="Q570" s="486"/>
      <c r="R570" s="486"/>
      <c r="S570" s="486"/>
      <c r="T570" s="486"/>
      <c r="U570" s="486"/>
      <c r="V570" s="486"/>
      <c r="W570" s="486"/>
      <c r="X570" s="486"/>
      <c r="Y570" s="486"/>
    </row>
    <row r="571" spans="1:25" s="480" customFormat="1" outlineLevel="1">
      <c r="A571" s="467"/>
      <c r="B571" s="489"/>
      <c r="C571" s="489"/>
      <c r="D571" s="486"/>
      <c r="E571" s="486"/>
      <c r="F571" s="486"/>
      <c r="G571" s="486"/>
      <c r="H571" s="486"/>
      <c r="I571" s="486"/>
      <c r="J571" s="486"/>
      <c r="K571" s="486"/>
      <c r="L571" s="486"/>
      <c r="M571" s="486"/>
      <c r="N571" s="486"/>
      <c r="O571" s="486"/>
      <c r="P571" s="486"/>
      <c r="Q571" s="486"/>
      <c r="R571" s="486"/>
      <c r="S571" s="486"/>
      <c r="T571" s="486"/>
      <c r="U571" s="486"/>
      <c r="V571" s="486"/>
      <c r="W571" s="486"/>
      <c r="X571" s="486"/>
      <c r="Y571" s="486"/>
    </row>
    <row r="572" spans="1:25" s="480" customFormat="1" outlineLevel="1">
      <c r="A572" s="45"/>
      <c r="B572" s="489"/>
      <c r="C572" s="489"/>
      <c r="D572" s="486"/>
      <c r="E572" s="486"/>
      <c r="F572" s="486"/>
      <c r="G572" s="486"/>
      <c r="H572" s="486"/>
      <c r="I572" s="486"/>
      <c r="J572" s="486"/>
      <c r="K572" s="486"/>
      <c r="L572" s="486"/>
      <c r="M572" s="486"/>
      <c r="N572" s="486"/>
      <c r="O572" s="486"/>
      <c r="P572" s="486"/>
      <c r="Q572" s="486"/>
      <c r="R572" s="486"/>
      <c r="S572" s="486"/>
      <c r="T572" s="486"/>
      <c r="U572" s="486"/>
      <c r="V572" s="486"/>
      <c r="W572" s="486"/>
      <c r="X572" s="486"/>
      <c r="Y572" s="486"/>
    </row>
    <row r="573" spans="1:25" s="480" customFormat="1" outlineLevel="1">
      <c r="A573" s="45"/>
      <c r="B573" s="489"/>
      <c r="C573" s="489"/>
      <c r="D573" s="486"/>
      <c r="E573" s="486"/>
      <c r="F573" s="486"/>
      <c r="G573" s="486"/>
      <c r="H573" s="486"/>
      <c r="I573" s="486"/>
      <c r="J573" s="486"/>
      <c r="K573" s="486"/>
      <c r="L573" s="486"/>
      <c r="M573" s="486"/>
      <c r="N573" s="486"/>
      <c r="O573" s="486"/>
      <c r="P573" s="486"/>
      <c r="Q573" s="486"/>
      <c r="R573" s="486"/>
      <c r="S573" s="486"/>
      <c r="T573" s="486"/>
      <c r="U573" s="486"/>
      <c r="V573" s="486"/>
      <c r="W573" s="486"/>
      <c r="X573" s="486"/>
      <c r="Y573" s="486"/>
    </row>
    <row r="574" spans="1:25" s="480" customFormat="1" outlineLevel="1">
      <c r="A574" s="467"/>
      <c r="B574" s="489"/>
      <c r="C574" s="489"/>
      <c r="D574" s="486"/>
      <c r="E574" s="486"/>
      <c r="F574" s="486"/>
      <c r="G574" s="486"/>
      <c r="H574" s="486"/>
      <c r="I574" s="486"/>
      <c r="J574" s="486"/>
      <c r="K574" s="486"/>
      <c r="L574" s="486"/>
      <c r="M574" s="486"/>
      <c r="N574" s="486"/>
      <c r="O574" s="486"/>
      <c r="P574" s="486"/>
      <c r="Q574" s="486"/>
      <c r="R574" s="486"/>
      <c r="S574" s="486"/>
      <c r="T574" s="486"/>
      <c r="U574" s="486"/>
      <c r="V574" s="486"/>
      <c r="W574" s="486"/>
      <c r="X574" s="486"/>
      <c r="Y574" s="486"/>
    </row>
    <row r="575" spans="1:25" s="480" customFormat="1" outlineLevel="1">
      <c r="A575" s="45"/>
      <c r="B575" s="489"/>
      <c r="C575" s="489"/>
      <c r="D575" s="490"/>
      <c r="E575" s="490"/>
      <c r="F575" s="490"/>
      <c r="G575" s="490"/>
      <c r="H575" s="490"/>
      <c r="I575" s="490"/>
      <c r="J575" s="490"/>
      <c r="K575" s="490"/>
      <c r="L575" s="490"/>
      <c r="M575" s="490"/>
      <c r="N575" s="490"/>
      <c r="O575" s="490"/>
      <c r="P575" s="490"/>
      <c r="Q575" s="490"/>
      <c r="R575" s="490"/>
      <c r="S575" s="490"/>
      <c r="T575" s="490"/>
      <c r="U575" s="490"/>
      <c r="V575" s="490"/>
      <c r="W575" s="490"/>
      <c r="X575" s="490"/>
      <c r="Y575" s="490"/>
    </row>
    <row r="576" spans="1:25" s="480" customFormat="1" outlineLevel="1">
      <c r="A576" s="45"/>
      <c r="B576" s="491"/>
      <c r="C576" s="491"/>
      <c r="D576" s="486"/>
      <c r="E576" s="486"/>
      <c r="F576" s="486"/>
      <c r="G576" s="486"/>
      <c r="H576" s="486"/>
      <c r="I576" s="486"/>
      <c r="J576" s="486"/>
      <c r="K576" s="486"/>
      <c r="L576" s="486"/>
      <c r="M576" s="486"/>
      <c r="N576" s="486"/>
      <c r="O576" s="486"/>
      <c r="P576" s="486"/>
      <c r="Q576" s="486"/>
      <c r="R576" s="486"/>
      <c r="S576" s="486"/>
      <c r="T576" s="486"/>
      <c r="U576" s="486"/>
      <c r="V576" s="486"/>
      <c r="W576" s="486"/>
      <c r="X576" s="486"/>
      <c r="Y576" s="486"/>
    </row>
    <row r="577" spans="1:25" s="480" customFormat="1" ht="13.9" customHeight="1" outlineLevel="1">
      <c r="A577" s="466"/>
      <c r="B577" s="491"/>
      <c r="C577" s="491"/>
      <c r="D577" s="486"/>
      <c r="E577" s="486"/>
      <c r="F577" s="486"/>
      <c r="G577" s="486"/>
      <c r="H577" s="486"/>
      <c r="I577" s="486"/>
      <c r="J577" s="486"/>
      <c r="K577" s="486"/>
      <c r="L577" s="486"/>
      <c r="M577" s="486"/>
      <c r="N577" s="486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</row>
    <row r="578" spans="1:25" s="480" customFormat="1" outlineLevel="1">
      <c r="A578" s="45"/>
      <c r="B578" s="85"/>
      <c r="C578" s="85"/>
      <c r="D578" s="486"/>
      <c r="E578" s="486"/>
      <c r="F578" s="486"/>
      <c r="G578" s="486"/>
      <c r="H578" s="486"/>
      <c r="I578" s="486"/>
      <c r="J578" s="486"/>
      <c r="K578" s="486"/>
      <c r="L578" s="486"/>
      <c r="M578" s="486"/>
      <c r="N578" s="486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</row>
    <row r="579" spans="1:25" s="480" customFormat="1" outlineLevel="1">
      <c r="A579" s="466"/>
      <c r="B579" s="85"/>
      <c r="C579" s="85"/>
      <c r="D579" s="486"/>
      <c r="E579" s="486"/>
      <c r="F579" s="486"/>
      <c r="G579" s="486"/>
      <c r="H579" s="486"/>
      <c r="I579" s="486"/>
      <c r="J579" s="486"/>
      <c r="K579" s="486"/>
      <c r="L579" s="486"/>
      <c r="M579" s="486"/>
      <c r="N579" s="486"/>
      <c r="O579" s="486"/>
      <c r="P579" s="486"/>
      <c r="Q579" s="486"/>
      <c r="R579" s="486"/>
      <c r="S579" s="486"/>
      <c r="T579" s="486"/>
      <c r="U579" s="486"/>
      <c r="V579" s="486"/>
      <c r="W579" s="486"/>
      <c r="X579" s="486"/>
      <c r="Y579" s="486"/>
    </row>
    <row r="580" spans="1:25" s="480" customFormat="1" outlineLevel="1">
      <c r="A580" s="45"/>
      <c r="B580" s="85"/>
      <c r="C580" s="85"/>
      <c r="D580" s="486"/>
      <c r="E580" s="486"/>
      <c r="F580" s="486"/>
      <c r="G580" s="486"/>
      <c r="H580" s="486"/>
      <c r="I580" s="486"/>
      <c r="J580" s="486"/>
      <c r="K580" s="486"/>
      <c r="L580" s="486"/>
      <c r="M580" s="486"/>
      <c r="N580" s="486"/>
      <c r="O580" s="486"/>
      <c r="P580" s="486"/>
      <c r="Q580" s="486"/>
      <c r="R580" s="486"/>
      <c r="S580" s="486"/>
      <c r="T580" s="486"/>
      <c r="U580" s="486"/>
      <c r="V580" s="486"/>
      <c r="W580" s="486"/>
      <c r="X580" s="486"/>
      <c r="Y580" s="486"/>
    </row>
    <row r="581" spans="1:25" s="480" customFormat="1" outlineLevel="1">
      <c r="A581" s="45"/>
      <c r="B581" s="85"/>
      <c r="C581" s="85"/>
      <c r="D581" s="486"/>
      <c r="E581" s="486"/>
      <c r="F581" s="486"/>
      <c r="G581" s="486"/>
      <c r="H581" s="486"/>
      <c r="I581" s="486"/>
      <c r="J581" s="486"/>
      <c r="K581" s="486"/>
      <c r="L581" s="486"/>
      <c r="M581" s="486"/>
      <c r="N581" s="486"/>
      <c r="O581" s="486"/>
      <c r="P581" s="486"/>
      <c r="Q581" s="486"/>
      <c r="R581" s="486"/>
      <c r="S581" s="486"/>
      <c r="T581" s="486"/>
      <c r="U581" s="486"/>
      <c r="V581" s="486"/>
      <c r="W581" s="486"/>
      <c r="X581" s="486"/>
      <c r="Y581" s="486"/>
    </row>
    <row r="582" spans="1:25" s="480" customFormat="1" outlineLevel="1">
      <c r="A582" s="45"/>
      <c r="B582" s="85"/>
      <c r="C582" s="85"/>
      <c r="D582" s="486"/>
      <c r="E582" s="486"/>
      <c r="F582" s="486"/>
      <c r="G582" s="486"/>
      <c r="H582" s="486"/>
      <c r="I582" s="486"/>
      <c r="J582" s="486"/>
      <c r="K582" s="486"/>
      <c r="L582" s="486"/>
      <c r="M582" s="486"/>
      <c r="N582" s="486"/>
      <c r="O582" s="486"/>
      <c r="P582" s="486"/>
      <c r="Q582" s="486"/>
      <c r="R582" s="486"/>
      <c r="S582" s="486"/>
      <c r="T582" s="486"/>
      <c r="U582" s="486"/>
      <c r="V582" s="486"/>
      <c r="W582" s="486"/>
      <c r="X582" s="486"/>
      <c r="Y582" s="486"/>
    </row>
    <row r="583" spans="1:25" s="480" customFormat="1" outlineLevel="1">
      <c r="A583" s="45"/>
      <c r="B583" s="85"/>
      <c r="C583" s="85"/>
      <c r="D583" s="486"/>
      <c r="E583" s="486"/>
      <c r="F583" s="486"/>
      <c r="G583" s="486"/>
      <c r="H583" s="486"/>
      <c r="I583" s="486"/>
      <c r="J583" s="486"/>
      <c r="K583" s="486"/>
      <c r="L583" s="486"/>
      <c r="M583" s="486"/>
      <c r="N583" s="486"/>
      <c r="O583" s="486"/>
      <c r="P583" s="486"/>
      <c r="Q583" s="486"/>
      <c r="R583" s="486"/>
      <c r="S583" s="486"/>
      <c r="T583" s="486"/>
      <c r="U583" s="486"/>
      <c r="V583" s="486"/>
      <c r="W583" s="486"/>
      <c r="X583" s="486"/>
      <c r="Y583" s="486"/>
    </row>
    <row r="584" spans="1:25" s="480" customFormat="1" outlineLevel="1">
      <c r="A584" s="467"/>
      <c r="D584" s="486"/>
      <c r="E584" s="486"/>
      <c r="F584" s="486"/>
      <c r="G584" s="486"/>
      <c r="H584" s="486"/>
      <c r="I584" s="486"/>
      <c r="J584" s="486"/>
      <c r="K584" s="486"/>
      <c r="L584" s="486"/>
      <c r="M584" s="486"/>
      <c r="N584" s="486"/>
      <c r="O584" s="486"/>
      <c r="P584" s="486"/>
      <c r="Q584" s="486"/>
      <c r="R584" s="486"/>
      <c r="S584" s="486"/>
      <c r="T584" s="486"/>
      <c r="U584" s="486"/>
      <c r="V584" s="486"/>
      <c r="W584" s="486"/>
      <c r="X584" s="486"/>
      <c r="Y584" s="486"/>
    </row>
    <row r="585" spans="1:25" s="480" customFormat="1" outlineLevel="1">
      <c r="A585" s="467"/>
      <c r="B585" s="479"/>
      <c r="C585" s="479"/>
      <c r="D585" s="486"/>
      <c r="E585" s="486"/>
      <c r="F585" s="486"/>
      <c r="G585" s="486"/>
      <c r="H585" s="486"/>
      <c r="I585" s="486"/>
      <c r="J585" s="486"/>
      <c r="K585" s="486"/>
      <c r="L585" s="486"/>
      <c r="M585" s="486"/>
      <c r="N585" s="486"/>
      <c r="O585" s="486"/>
      <c r="P585" s="486"/>
      <c r="Q585" s="486"/>
      <c r="R585" s="486"/>
      <c r="S585" s="486"/>
      <c r="T585" s="486"/>
      <c r="U585" s="486"/>
      <c r="V585" s="486"/>
      <c r="W585" s="486"/>
      <c r="X585" s="486"/>
      <c r="Y585" s="486"/>
    </row>
    <row r="586" spans="1:25" s="480" customFormat="1" outlineLevel="1">
      <c r="A586" s="45"/>
      <c r="B586" s="479"/>
      <c r="C586" s="479"/>
      <c r="D586" s="486"/>
      <c r="E586" s="486"/>
      <c r="F586" s="486"/>
      <c r="G586" s="486"/>
      <c r="H586" s="486"/>
      <c r="I586" s="486"/>
      <c r="J586" s="486"/>
      <c r="K586" s="486"/>
      <c r="L586" s="486"/>
      <c r="M586" s="486"/>
      <c r="N586" s="486"/>
      <c r="O586" s="486"/>
      <c r="P586" s="486"/>
      <c r="Q586" s="486"/>
      <c r="R586" s="486"/>
      <c r="S586" s="486"/>
      <c r="T586" s="486"/>
      <c r="U586" s="486"/>
      <c r="V586" s="486"/>
      <c r="W586" s="486"/>
      <c r="X586" s="486"/>
      <c r="Y586" s="486"/>
    </row>
    <row r="587" spans="1:25" s="480" customFormat="1" outlineLevel="1">
      <c r="A587" s="45"/>
      <c r="B587" s="479"/>
      <c r="C587" s="479"/>
      <c r="D587" s="486"/>
      <c r="E587" s="486"/>
      <c r="F587" s="486"/>
      <c r="G587" s="486"/>
      <c r="H587" s="486"/>
      <c r="I587" s="486"/>
      <c r="J587" s="486"/>
      <c r="K587" s="486"/>
      <c r="L587" s="486"/>
      <c r="M587" s="486"/>
      <c r="N587" s="486"/>
      <c r="O587" s="486"/>
      <c r="P587" s="486"/>
      <c r="Q587" s="486"/>
      <c r="R587" s="486"/>
      <c r="S587" s="486"/>
      <c r="T587" s="486"/>
      <c r="U587" s="486"/>
      <c r="V587" s="486"/>
      <c r="W587" s="486"/>
      <c r="X587" s="486"/>
      <c r="Y587" s="486"/>
    </row>
    <row r="588" spans="1:25" s="480" customFormat="1" outlineLevel="1">
      <c r="A588" s="45"/>
      <c r="B588" s="479"/>
      <c r="C588" s="479"/>
      <c r="D588" s="486"/>
      <c r="E588" s="486"/>
      <c r="F588" s="486"/>
      <c r="G588" s="486"/>
      <c r="H588" s="486"/>
      <c r="I588" s="486"/>
      <c r="J588" s="486"/>
      <c r="K588" s="486"/>
      <c r="L588" s="486"/>
      <c r="M588" s="486"/>
      <c r="N588" s="486"/>
      <c r="O588" s="486"/>
      <c r="P588" s="486"/>
      <c r="Q588" s="486"/>
      <c r="R588" s="486"/>
      <c r="S588" s="486"/>
      <c r="T588" s="486"/>
      <c r="U588" s="486"/>
      <c r="V588" s="486"/>
      <c r="W588" s="486"/>
      <c r="X588" s="486"/>
      <c r="Y588" s="486"/>
    </row>
    <row r="589" spans="1:25" s="480" customFormat="1" outlineLevel="1">
      <c r="A589" s="45"/>
      <c r="B589" s="479"/>
      <c r="C589" s="479"/>
      <c r="D589" s="486"/>
      <c r="E589" s="486"/>
      <c r="F589" s="486"/>
      <c r="G589" s="486"/>
      <c r="H589" s="486"/>
      <c r="I589" s="486"/>
      <c r="J589" s="486"/>
      <c r="K589" s="486"/>
      <c r="L589" s="486"/>
      <c r="M589" s="486"/>
      <c r="N589" s="486"/>
      <c r="O589" s="486"/>
      <c r="P589" s="486"/>
      <c r="Q589" s="486"/>
      <c r="R589" s="486"/>
      <c r="S589" s="486"/>
      <c r="T589" s="486"/>
      <c r="U589" s="486"/>
      <c r="V589" s="486"/>
      <c r="W589" s="486"/>
      <c r="X589" s="486"/>
      <c r="Y589" s="486"/>
    </row>
    <row r="590" spans="1:25" s="480" customFormat="1" outlineLevel="1">
      <c r="A590" s="45"/>
      <c r="B590" s="479"/>
      <c r="C590" s="479"/>
      <c r="D590" s="486"/>
      <c r="E590" s="486"/>
      <c r="F590" s="486"/>
      <c r="G590" s="486"/>
      <c r="H590" s="486"/>
      <c r="I590" s="486"/>
      <c r="J590" s="486"/>
      <c r="K590" s="486"/>
      <c r="L590" s="486"/>
      <c r="M590" s="486"/>
      <c r="N590" s="486"/>
      <c r="O590" s="486"/>
      <c r="P590" s="486"/>
      <c r="Q590" s="486"/>
      <c r="R590" s="486"/>
      <c r="S590" s="486"/>
      <c r="T590" s="486"/>
      <c r="U590" s="486"/>
      <c r="V590" s="486"/>
      <c r="W590" s="486"/>
      <c r="X590" s="486"/>
      <c r="Y590" s="486"/>
    </row>
    <row r="591" spans="1:25" s="480" customFormat="1" outlineLevel="1">
      <c r="A591" s="45"/>
      <c r="B591" s="479"/>
      <c r="C591" s="479"/>
      <c r="D591" s="486"/>
      <c r="E591" s="486"/>
      <c r="F591" s="486"/>
      <c r="G591" s="486"/>
      <c r="H591" s="486"/>
      <c r="I591" s="486"/>
      <c r="J591" s="486"/>
      <c r="K591" s="486"/>
      <c r="L591" s="486"/>
      <c r="M591" s="486"/>
      <c r="N591" s="486"/>
      <c r="O591" s="486"/>
      <c r="P591" s="486"/>
      <c r="Q591" s="486"/>
      <c r="R591" s="486"/>
      <c r="S591" s="486"/>
      <c r="T591" s="486"/>
      <c r="U591" s="486"/>
      <c r="V591" s="486"/>
      <c r="W591" s="486"/>
      <c r="X591" s="486"/>
      <c r="Y591" s="486"/>
    </row>
    <row r="592" spans="1:25" s="480" customFormat="1" outlineLevel="1">
      <c r="A592" s="45"/>
      <c r="B592" s="492"/>
      <c r="C592" s="492"/>
      <c r="D592" s="486"/>
      <c r="E592" s="486"/>
      <c r="F592" s="486"/>
      <c r="G592" s="486"/>
      <c r="H592" s="486"/>
      <c r="I592" s="486"/>
      <c r="J592" s="486"/>
      <c r="K592" s="486"/>
      <c r="L592" s="486"/>
      <c r="M592" s="486"/>
      <c r="N592" s="486"/>
      <c r="O592" s="486"/>
      <c r="P592" s="486"/>
      <c r="Q592" s="486"/>
      <c r="R592" s="486"/>
      <c r="S592" s="486"/>
      <c r="T592" s="486"/>
      <c r="U592" s="486"/>
      <c r="V592" s="486"/>
      <c r="W592" s="486"/>
      <c r="X592" s="486"/>
      <c r="Y592" s="486"/>
    </row>
    <row r="593" spans="1:25" s="480" customFormat="1" outlineLevel="1">
      <c r="A593" s="45"/>
      <c r="B593" s="492"/>
      <c r="C593" s="492"/>
      <c r="D593" s="486"/>
      <c r="E593" s="486"/>
      <c r="F593" s="486"/>
      <c r="G593" s="486"/>
      <c r="H593" s="486"/>
      <c r="I593" s="486"/>
      <c r="J593" s="486"/>
      <c r="K593" s="486"/>
      <c r="L593" s="486"/>
      <c r="M593" s="486"/>
      <c r="N593" s="486"/>
      <c r="O593" s="486"/>
      <c r="P593" s="486"/>
      <c r="Q593" s="486"/>
      <c r="R593" s="486"/>
      <c r="S593" s="486"/>
      <c r="T593" s="486"/>
      <c r="U593" s="486"/>
      <c r="V593" s="486"/>
      <c r="W593" s="486"/>
      <c r="X593" s="486"/>
      <c r="Y593" s="486"/>
    </row>
    <row r="594" spans="1:25" s="480" customFormat="1" outlineLevel="1">
      <c r="A594" s="466"/>
      <c r="B594" s="491"/>
      <c r="C594" s="491"/>
      <c r="D594" s="486"/>
      <c r="E594" s="486"/>
      <c r="F594" s="486"/>
      <c r="G594" s="486"/>
      <c r="H594" s="486"/>
      <c r="I594" s="486"/>
      <c r="J594" s="486"/>
      <c r="K594" s="486"/>
      <c r="L594" s="486"/>
      <c r="M594" s="486"/>
      <c r="N594" s="486"/>
      <c r="O594" s="486"/>
      <c r="P594" s="486"/>
      <c r="Q594" s="486"/>
      <c r="R594" s="486"/>
      <c r="S594" s="486"/>
      <c r="T594" s="486"/>
      <c r="U594" s="486"/>
      <c r="V594" s="486"/>
      <c r="W594" s="486"/>
      <c r="X594" s="486"/>
      <c r="Y594" s="486"/>
    </row>
    <row r="595" spans="1:25" s="480" customFormat="1" outlineLevel="1">
      <c r="A595" s="467"/>
      <c r="B595" s="479"/>
      <c r="C595" s="479"/>
      <c r="D595" s="486"/>
      <c r="E595" s="486"/>
      <c r="F595" s="486"/>
      <c r="G595" s="486"/>
      <c r="H595" s="486"/>
      <c r="I595" s="486"/>
      <c r="J595" s="486"/>
      <c r="K595" s="486"/>
      <c r="L595" s="486"/>
      <c r="M595" s="486"/>
      <c r="N595" s="486"/>
      <c r="O595" s="486"/>
      <c r="P595" s="486"/>
      <c r="Q595" s="486"/>
      <c r="R595" s="486"/>
      <c r="S595" s="486"/>
      <c r="T595" s="486"/>
      <c r="U595" s="486"/>
      <c r="V595" s="486"/>
      <c r="W595" s="486"/>
      <c r="X595" s="486"/>
      <c r="Y595" s="486"/>
    </row>
    <row r="596" spans="1:25" s="480" customFormat="1" outlineLevel="1">
      <c r="A596" s="467"/>
      <c r="B596" s="479"/>
      <c r="C596" s="479"/>
      <c r="D596" s="486"/>
      <c r="E596" s="486"/>
      <c r="F596" s="486"/>
      <c r="G596" s="486"/>
      <c r="H596" s="486"/>
      <c r="I596" s="486"/>
      <c r="J596" s="486"/>
      <c r="K596" s="486"/>
      <c r="L596" s="486"/>
      <c r="M596" s="486"/>
      <c r="N596" s="486"/>
      <c r="O596" s="486"/>
      <c r="P596" s="486"/>
      <c r="Q596" s="486"/>
      <c r="R596" s="486"/>
      <c r="S596" s="486"/>
      <c r="T596" s="486"/>
      <c r="U596" s="486"/>
      <c r="V596" s="486"/>
      <c r="W596" s="486"/>
      <c r="X596" s="486"/>
      <c r="Y596" s="486"/>
    </row>
    <row r="597" spans="1:25" s="480" customFormat="1" outlineLevel="1">
      <c r="A597" s="467"/>
      <c r="B597" s="479"/>
      <c r="C597" s="479"/>
      <c r="D597" s="486"/>
      <c r="E597" s="486"/>
      <c r="F597" s="486"/>
      <c r="G597" s="486"/>
      <c r="H597" s="486"/>
      <c r="I597" s="486"/>
      <c r="J597" s="486"/>
      <c r="K597" s="486"/>
      <c r="L597" s="486"/>
      <c r="M597" s="486"/>
      <c r="N597" s="486"/>
      <c r="O597" s="486"/>
      <c r="P597" s="486"/>
      <c r="Q597" s="486"/>
      <c r="R597" s="486"/>
      <c r="S597" s="486"/>
      <c r="T597" s="486"/>
      <c r="U597" s="486"/>
      <c r="V597" s="486"/>
      <c r="W597" s="486"/>
      <c r="X597" s="486"/>
      <c r="Y597" s="486"/>
    </row>
    <row r="598" spans="1:25" s="480" customFormat="1" outlineLevel="1">
      <c r="A598" s="467"/>
      <c r="B598" s="491"/>
      <c r="C598" s="491"/>
      <c r="D598" s="486"/>
      <c r="E598" s="486"/>
      <c r="F598" s="486"/>
      <c r="G598" s="486"/>
      <c r="H598" s="486"/>
      <c r="I598" s="486"/>
      <c r="J598" s="486"/>
      <c r="K598" s="486"/>
      <c r="L598" s="486"/>
      <c r="M598" s="486"/>
      <c r="N598" s="486"/>
      <c r="O598" s="486"/>
      <c r="P598" s="486"/>
      <c r="Q598" s="486"/>
      <c r="R598" s="486"/>
      <c r="S598" s="486"/>
      <c r="T598" s="486"/>
      <c r="U598" s="486"/>
      <c r="V598" s="486"/>
      <c r="W598" s="486"/>
      <c r="X598" s="486"/>
      <c r="Y598" s="486"/>
    </row>
    <row r="599" spans="1:25" s="480" customFormat="1" outlineLevel="1">
      <c r="A599" s="467"/>
      <c r="B599" s="491"/>
      <c r="C599" s="491"/>
      <c r="D599" s="486"/>
      <c r="E599" s="486"/>
      <c r="F599" s="486"/>
      <c r="G599" s="486"/>
      <c r="H599" s="486"/>
      <c r="I599" s="486"/>
      <c r="J599" s="486"/>
      <c r="K599" s="486"/>
      <c r="L599" s="486"/>
      <c r="M599" s="486"/>
      <c r="N599" s="486"/>
      <c r="O599" s="486"/>
      <c r="P599" s="486"/>
      <c r="Q599" s="486"/>
      <c r="R599" s="486"/>
      <c r="S599" s="486"/>
      <c r="T599" s="486"/>
      <c r="U599" s="486"/>
      <c r="V599" s="486"/>
      <c r="W599" s="486"/>
      <c r="X599" s="486"/>
      <c r="Y599" s="486"/>
    </row>
    <row r="600" spans="1:25" s="480" customFormat="1" outlineLevel="1">
      <c r="A600" s="467"/>
      <c r="B600" s="491"/>
      <c r="C600" s="491"/>
      <c r="D600" s="486"/>
      <c r="E600" s="486"/>
      <c r="F600" s="486"/>
      <c r="G600" s="486"/>
      <c r="H600" s="486"/>
      <c r="I600" s="486"/>
      <c r="J600" s="486"/>
      <c r="K600" s="486"/>
      <c r="L600" s="486"/>
      <c r="M600" s="486"/>
      <c r="N600" s="486"/>
      <c r="O600" s="486"/>
      <c r="P600" s="486"/>
      <c r="Q600" s="486"/>
      <c r="R600" s="486"/>
      <c r="S600" s="486"/>
      <c r="T600" s="486"/>
      <c r="U600" s="486"/>
      <c r="V600" s="486"/>
      <c r="W600" s="486"/>
      <c r="X600" s="486"/>
      <c r="Y600" s="486"/>
    </row>
    <row r="601" spans="1:25" outlineLevel="1">
      <c r="A601" s="367"/>
      <c r="B601" s="367"/>
      <c r="C601" s="367"/>
      <c r="D601" s="367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</row>
    <row r="602" spans="1:25" outlineLevel="1">
      <c r="A602" s="367"/>
      <c r="B602" s="367"/>
      <c r="C602" s="367"/>
      <c r="D602" s="367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</row>
    <row r="603" spans="1:25" outlineLevel="1">
      <c r="A603" s="367"/>
      <c r="B603" s="367"/>
      <c r="C603" s="367"/>
      <c r="D603" s="367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</row>
    <row r="604" spans="1:25" outlineLevel="1">
      <c r="A604" s="371"/>
      <c r="B604" s="367"/>
      <c r="C604" s="367"/>
      <c r="D604" s="367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</row>
    <row r="605" spans="1:25" outlineLevel="1">
      <c r="A605" s="385"/>
      <c r="B605" s="367"/>
      <c r="C605" s="367"/>
      <c r="D605" s="367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</row>
    <row r="606" spans="1:25" outlineLevel="1">
      <c r="A606" s="493"/>
      <c r="B606" s="367"/>
      <c r="C606" s="367"/>
      <c r="D606" s="367"/>
      <c r="E606" s="473"/>
      <c r="F606" s="473"/>
      <c r="G606" s="473"/>
      <c r="H606" s="473"/>
      <c r="I606" s="473"/>
      <c r="J606" s="473"/>
      <c r="K606" s="473"/>
      <c r="L606" s="473"/>
      <c r="M606" s="473"/>
      <c r="N606" s="473"/>
      <c r="O606" s="473"/>
      <c r="P606" s="473"/>
      <c r="Q606" s="367"/>
      <c r="R606" s="367"/>
      <c r="S606" s="367"/>
      <c r="T606" s="367"/>
      <c r="U606" s="367"/>
      <c r="V606" s="367"/>
      <c r="W606" s="367"/>
      <c r="X606" s="367"/>
      <c r="Y606" s="367"/>
    </row>
    <row r="607" spans="1:25" outlineLevel="1">
      <c r="A607" s="367"/>
      <c r="B607" s="367"/>
      <c r="C607" s="367"/>
      <c r="D607" s="367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</row>
    <row r="608" spans="1:25" outlineLevel="1">
      <c r="A608" s="371"/>
      <c r="B608" s="371"/>
      <c r="C608" s="371"/>
      <c r="D608" s="373"/>
      <c r="E608" s="373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67"/>
      <c r="R608" s="367"/>
      <c r="S608" s="367"/>
      <c r="T608" s="367"/>
      <c r="U608" s="367"/>
      <c r="V608" s="367"/>
      <c r="W608" s="367"/>
      <c r="X608" s="367"/>
      <c r="Y608" s="367"/>
    </row>
    <row r="609" spans="1:25" hidden="1" outlineLevel="2">
      <c r="A609" s="385"/>
      <c r="B609" s="367"/>
      <c r="C609" s="367"/>
      <c r="D609" s="367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</row>
    <row r="610" spans="1:25" hidden="1" outlineLevel="2">
      <c r="A610" s="88"/>
      <c r="B610" s="367"/>
      <c r="C610" s="367"/>
      <c r="D610" s="367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367"/>
      <c r="R610" s="367"/>
      <c r="S610" s="367"/>
      <c r="T610" s="367"/>
      <c r="U610" s="367"/>
      <c r="V610" s="367"/>
      <c r="W610" s="367"/>
      <c r="X610" s="367"/>
      <c r="Y610" s="367"/>
    </row>
    <row r="611" spans="1:25" hidden="1" outlineLevel="2">
      <c r="A611" s="88"/>
      <c r="B611" s="367"/>
      <c r="C611" s="367"/>
      <c r="D611" s="367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367"/>
      <c r="R611" s="367"/>
      <c r="S611" s="367"/>
      <c r="T611" s="367"/>
      <c r="U611" s="367"/>
      <c r="V611" s="367"/>
      <c r="W611" s="367"/>
      <c r="X611" s="367"/>
      <c r="Y611" s="367"/>
    </row>
    <row r="612" spans="1:25" hidden="1" outlineLevel="2">
      <c r="A612" s="88"/>
      <c r="B612" s="367"/>
      <c r="C612" s="367"/>
      <c r="D612" s="367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367"/>
      <c r="R612" s="367"/>
      <c r="S612" s="367"/>
      <c r="T612" s="367"/>
      <c r="U612" s="367"/>
      <c r="V612" s="367"/>
      <c r="W612" s="367"/>
      <c r="X612" s="367"/>
      <c r="Y612" s="367"/>
    </row>
    <row r="613" spans="1:25" hidden="1" outlineLevel="2">
      <c r="A613" s="88"/>
      <c r="B613" s="367"/>
      <c r="C613" s="367"/>
      <c r="D613" s="367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367"/>
      <c r="R613" s="367"/>
      <c r="S613" s="367"/>
      <c r="T613" s="367"/>
      <c r="U613" s="367"/>
      <c r="V613" s="367"/>
      <c r="W613" s="367"/>
      <c r="X613" s="367"/>
      <c r="Y613" s="367"/>
    </row>
    <row r="614" spans="1:25" hidden="1" outlineLevel="2">
      <c r="A614" s="367"/>
      <c r="B614" s="367"/>
      <c r="C614" s="367"/>
      <c r="D614" s="367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367"/>
      <c r="R614" s="367"/>
      <c r="S614" s="367"/>
      <c r="T614" s="367"/>
      <c r="U614" s="367"/>
      <c r="V614" s="367"/>
      <c r="W614" s="367"/>
      <c r="X614" s="367"/>
      <c r="Y614" s="367"/>
    </row>
    <row r="615" spans="1:25" hidden="1" outlineLevel="2">
      <c r="A615" s="385"/>
      <c r="B615" s="367"/>
      <c r="C615" s="367"/>
      <c r="D615" s="367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367"/>
      <c r="R615" s="367"/>
      <c r="S615" s="367"/>
      <c r="T615" s="367"/>
      <c r="U615" s="367"/>
      <c r="V615" s="367"/>
      <c r="W615" s="367"/>
      <c r="X615" s="367"/>
      <c r="Y615" s="367"/>
    </row>
    <row r="616" spans="1:25" hidden="1" outlineLevel="2">
      <c r="A616" s="88"/>
      <c r="B616" s="367"/>
      <c r="C616" s="367"/>
      <c r="D616" s="367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367"/>
      <c r="R616" s="367"/>
      <c r="S616" s="367"/>
      <c r="T616" s="367"/>
      <c r="U616" s="367"/>
      <c r="V616" s="367"/>
      <c r="W616" s="367"/>
      <c r="X616" s="367"/>
      <c r="Y616" s="367"/>
    </row>
    <row r="617" spans="1:25" hidden="1" outlineLevel="2">
      <c r="A617" s="88"/>
      <c r="B617" s="367"/>
      <c r="C617" s="367"/>
      <c r="D617" s="367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367"/>
      <c r="R617" s="367"/>
      <c r="S617" s="367"/>
      <c r="T617" s="367"/>
      <c r="U617" s="367"/>
      <c r="V617" s="367"/>
      <c r="W617" s="367"/>
      <c r="X617" s="367"/>
      <c r="Y617" s="367"/>
    </row>
    <row r="618" spans="1:25" hidden="1" outlineLevel="2">
      <c r="A618" s="88"/>
      <c r="B618" s="367"/>
      <c r="C618" s="367"/>
      <c r="D618" s="367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367"/>
      <c r="R618" s="367"/>
      <c r="S618" s="367"/>
      <c r="T618" s="367"/>
      <c r="U618" s="367"/>
      <c r="V618" s="367"/>
      <c r="W618" s="367"/>
      <c r="X618" s="367"/>
      <c r="Y618" s="367"/>
    </row>
    <row r="619" spans="1:25" hidden="1" outlineLevel="2">
      <c r="A619" s="88"/>
      <c r="B619" s="367"/>
      <c r="C619" s="367"/>
      <c r="D619" s="367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367"/>
      <c r="R619" s="367"/>
      <c r="S619" s="367"/>
      <c r="T619" s="367"/>
      <c r="U619" s="367"/>
      <c r="V619" s="367"/>
      <c r="W619" s="367"/>
      <c r="X619" s="367"/>
      <c r="Y619" s="367"/>
    </row>
    <row r="620" spans="1:25" hidden="1" outlineLevel="2">
      <c r="A620" s="88"/>
      <c r="B620" s="367"/>
      <c r="C620" s="367"/>
      <c r="D620" s="367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367"/>
      <c r="R620" s="367"/>
      <c r="S620" s="367"/>
      <c r="T620" s="367"/>
      <c r="U620" s="367"/>
      <c r="V620" s="367"/>
      <c r="W620" s="367"/>
      <c r="X620" s="367"/>
      <c r="Y620" s="367"/>
    </row>
    <row r="621" spans="1:25" hidden="1" outlineLevel="2">
      <c r="A621" s="88"/>
      <c r="B621" s="367"/>
      <c r="C621" s="367"/>
      <c r="D621" s="367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367"/>
      <c r="R621" s="367"/>
      <c r="S621" s="367"/>
      <c r="T621" s="367"/>
      <c r="U621" s="367"/>
      <c r="V621" s="367"/>
      <c r="W621" s="367"/>
      <c r="X621" s="367"/>
      <c r="Y621" s="367"/>
    </row>
    <row r="622" spans="1:25" hidden="1" outlineLevel="2">
      <c r="A622" s="88"/>
      <c r="B622" s="367"/>
      <c r="C622" s="367"/>
      <c r="D622" s="367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367"/>
      <c r="R622" s="367"/>
      <c r="S622" s="367"/>
      <c r="T622" s="367"/>
      <c r="U622" s="367"/>
      <c r="V622" s="367"/>
      <c r="W622" s="367"/>
      <c r="X622" s="367"/>
      <c r="Y622" s="367"/>
    </row>
    <row r="623" spans="1:25" hidden="1" outlineLevel="2">
      <c r="A623" s="88"/>
      <c r="B623" s="367"/>
      <c r="C623" s="367"/>
      <c r="D623" s="367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367"/>
      <c r="R623" s="367"/>
      <c r="S623" s="367"/>
      <c r="T623" s="367"/>
      <c r="U623" s="367"/>
      <c r="V623" s="367"/>
      <c r="W623" s="367"/>
      <c r="X623" s="367"/>
      <c r="Y623" s="367"/>
    </row>
    <row r="624" spans="1:25" hidden="1" outlineLevel="2">
      <c r="A624" s="88"/>
      <c r="B624" s="367"/>
      <c r="C624" s="367"/>
      <c r="D624" s="367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367"/>
      <c r="R624" s="367"/>
      <c r="S624" s="367"/>
      <c r="T624" s="367"/>
      <c r="U624" s="367"/>
      <c r="V624" s="367"/>
      <c r="W624" s="367"/>
      <c r="X624" s="367"/>
      <c r="Y624" s="367"/>
    </row>
    <row r="625" spans="1:25" hidden="1" outlineLevel="2">
      <c r="A625" s="88"/>
      <c r="B625" s="367"/>
      <c r="C625" s="367"/>
      <c r="D625" s="367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367"/>
      <c r="R625" s="367"/>
      <c r="S625" s="367"/>
      <c r="T625" s="367"/>
      <c r="U625" s="367"/>
      <c r="V625" s="367"/>
      <c r="W625" s="367"/>
      <c r="X625" s="367"/>
      <c r="Y625" s="367"/>
    </row>
    <row r="626" spans="1:25" hidden="1" outlineLevel="2">
      <c r="A626" s="367"/>
      <c r="B626" s="367"/>
      <c r="C626" s="367"/>
      <c r="D626" s="367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367"/>
      <c r="R626" s="367"/>
      <c r="S626" s="367"/>
      <c r="T626" s="367"/>
      <c r="U626" s="367"/>
      <c r="V626" s="367"/>
      <c r="W626" s="367"/>
      <c r="X626" s="367"/>
      <c r="Y626" s="367"/>
    </row>
    <row r="627" spans="1:25" hidden="1" outlineLevel="2">
      <c r="A627" s="367"/>
      <c r="B627" s="367"/>
      <c r="C627" s="367"/>
      <c r="D627" s="367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367"/>
      <c r="R627" s="367"/>
      <c r="S627" s="367"/>
      <c r="T627" s="367"/>
      <c r="U627" s="367"/>
      <c r="V627" s="367"/>
      <c r="W627" s="367"/>
      <c r="X627" s="367"/>
      <c r="Y627" s="367"/>
    </row>
    <row r="628" spans="1:25" hidden="1" outlineLevel="2">
      <c r="A628" s="367"/>
      <c r="B628" s="367"/>
      <c r="C628" s="367"/>
      <c r="D628" s="367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367"/>
      <c r="R628" s="367"/>
      <c r="S628" s="367"/>
      <c r="T628" s="367"/>
      <c r="U628" s="367"/>
      <c r="V628" s="367"/>
      <c r="W628" s="367"/>
      <c r="X628" s="367"/>
      <c r="Y628" s="367"/>
    </row>
    <row r="629" spans="1:25" hidden="1" outlineLevel="2">
      <c r="A629" s="88"/>
      <c r="B629" s="367"/>
      <c r="C629" s="367"/>
      <c r="D629" s="367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367"/>
      <c r="R629" s="367"/>
      <c r="S629" s="367"/>
      <c r="T629" s="367"/>
      <c r="U629" s="367"/>
      <c r="V629" s="367"/>
      <c r="W629" s="367"/>
      <c r="X629" s="367"/>
      <c r="Y629" s="367"/>
    </row>
    <row r="630" spans="1:25" hidden="1" outlineLevel="2">
      <c r="A630" s="367"/>
      <c r="B630" s="367"/>
      <c r="C630" s="367"/>
      <c r="D630" s="367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367"/>
      <c r="R630" s="367"/>
      <c r="S630" s="367"/>
      <c r="T630" s="367"/>
      <c r="U630" s="367"/>
      <c r="V630" s="367"/>
      <c r="W630" s="367"/>
      <c r="X630" s="367"/>
      <c r="Y630" s="367"/>
    </row>
    <row r="631" spans="1:25" hidden="1" outlineLevel="2">
      <c r="A631" s="367"/>
      <c r="B631" s="367"/>
      <c r="C631" s="367"/>
      <c r="D631" s="367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367"/>
      <c r="R631" s="367"/>
      <c r="S631" s="367"/>
      <c r="T631" s="367"/>
      <c r="U631" s="367"/>
      <c r="V631" s="367"/>
      <c r="W631" s="367"/>
      <c r="X631" s="367"/>
      <c r="Y631" s="367"/>
    </row>
    <row r="632" spans="1:25" hidden="1" outlineLevel="2">
      <c r="A632" s="385"/>
      <c r="B632" s="367"/>
      <c r="C632" s="367"/>
      <c r="D632" s="367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367"/>
      <c r="R632" s="367"/>
      <c r="S632" s="367"/>
      <c r="T632" s="367"/>
      <c r="U632" s="367"/>
      <c r="V632" s="367"/>
      <c r="W632" s="367"/>
      <c r="X632" s="367"/>
      <c r="Y632" s="367"/>
    </row>
    <row r="633" spans="1:25" hidden="1" outlineLevel="2">
      <c r="A633" s="88"/>
      <c r="B633" s="367"/>
      <c r="C633" s="367"/>
      <c r="D633" s="367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367"/>
      <c r="R633" s="367"/>
      <c r="S633" s="367"/>
      <c r="T633" s="367"/>
      <c r="U633" s="367"/>
      <c r="V633" s="367"/>
      <c r="W633" s="367"/>
      <c r="X633" s="367"/>
      <c r="Y633" s="367"/>
    </row>
    <row r="634" spans="1:25" outlineLevel="1" collapsed="1">
      <c r="A634" s="385"/>
      <c r="B634" s="367"/>
      <c r="C634" s="367"/>
      <c r="D634" s="367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367"/>
      <c r="R634" s="367"/>
      <c r="S634" s="367"/>
      <c r="T634" s="367"/>
      <c r="U634" s="367"/>
      <c r="V634" s="367"/>
      <c r="W634" s="367"/>
      <c r="X634" s="367"/>
      <c r="Y634" s="367"/>
    </row>
    <row r="635" spans="1:25" outlineLevel="1">
      <c r="A635" s="385"/>
      <c r="B635" s="367"/>
      <c r="C635" s="367"/>
      <c r="D635" s="367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367"/>
      <c r="R635" s="367"/>
      <c r="S635" s="367"/>
      <c r="T635" s="367"/>
      <c r="U635" s="367"/>
      <c r="V635" s="367"/>
      <c r="W635" s="367"/>
      <c r="X635" s="367"/>
      <c r="Y635" s="367"/>
    </row>
    <row r="636" spans="1:25" outlineLevel="1">
      <c r="A636" s="385"/>
      <c r="B636" s="367"/>
      <c r="C636" s="367"/>
      <c r="D636" s="367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367"/>
      <c r="R636" s="367"/>
      <c r="S636" s="367"/>
      <c r="T636" s="367"/>
      <c r="U636" s="367"/>
      <c r="V636" s="367"/>
      <c r="W636" s="367"/>
      <c r="X636" s="367"/>
      <c r="Y636" s="367"/>
    </row>
    <row r="637" spans="1:25" outlineLevel="1">
      <c r="A637" s="367"/>
      <c r="B637" s="367"/>
      <c r="C637" s="367"/>
      <c r="D637" s="367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367"/>
      <c r="R637" s="367"/>
      <c r="S637" s="367"/>
      <c r="T637" s="367"/>
      <c r="U637" s="367"/>
      <c r="V637" s="367"/>
      <c r="W637" s="367"/>
      <c r="X637" s="367"/>
      <c r="Y637" s="367"/>
    </row>
    <row r="638" spans="1:25" outlineLevel="1">
      <c r="A638" s="367"/>
      <c r="B638" s="367"/>
      <c r="C638" s="367"/>
      <c r="D638" s="367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367"/>
      <c r="R638" s="367"/>
      <c r="S638" s="367"/>
      <c r="T638" s="367"/>
      <c r="U638" s="367"/>
      <c r="V638" s="367"/>
      <c r="W638" s="367"/>
      <c r="X638" s="367"/>
      <c r="Y638" s="367"/>
    </row>
    <row r="639" spans="1:25" outlineLevel="1">
      <c r="A639" s="385"/>
      <c r="B639" s="367"/>
      <c r="C639" s="367"/>
      <c r="D639" s="367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367"/>
      <c r="R639" s="367"/>
      <c r="S639" s="367"/>
      <c r="T639" s="367"/>
      <c r="U639" s="367"/>
      <c r="V639" s="367"/>
      <c r="W639" s="367"/>
      <c r="X639" s="367"/>
      <c r="Y639" s="367"/>
    </row>
    <row r="640" spans="1:25" outlineLevel="1">
      <c r="A640" s="385"/>
      <c r="B640" s="367"/>
      <c r="C640" s="367"/>
      <c r="D640" s="367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367"/>
      <c r="R640" s="367"/>
      <c r="S640" s="367"/>
      <c r="T640" s="367"/>
      <c r="U640" s="367"/>
      <c r="V640" s="367"/>
      <c r="W640" s="367"/>
      <c r="X640" s="367"/>
      <c r="Y640" s="367"/>
    </row>
    <row r="641" spans="1:25" outlineLevel="1">
      <c r="A641" s="385"/>
      <c r="B641" s="367"/>
      <c r="C641" s="367"/>
      <c r="D641" s="367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367"/>
      <c r="R641" s="367"/>
      <c r="S641" s="367"/>
      <c r="T641" s="367"/>
      <c r="U641" s="367"/>
      <c r="V641" s="367"/>
      <c r="W641" s="367"/>
      <c r="X641" s="367"/>
      <c r="Y641" s="367"/>
    </row>
    <row r="642" spans="1:25" outlineLevel="1">
      <c r="A642" s="385"/>
      <c r="B642" s="367"/>
      <c r="C642" s="367"/>
      <c r="D642" s="367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367"/>
      <c r="R642" s="367"/>
      <c r="S642" s="367"/>
      <c r="T642" s="367"/>
      <c r="U642" s="367"/>
      <c r="V642" s="367"/>
      <c r="W642" s="367"/>
      <c r="X642" s="367"/>
      <c r="Y642" s="367"/>
    </row>
    <row r="643" spans="1:25">
      <c r="A643" s="367"/>
      <c r="B643" s="367"/>
      <c r="C643" s="367"/>
      <c r="D643" s="367"/>
      <c r="E643" s="367"/>
      <c r="F643" s="367"/>
      <c r="G643" s="367"/>
      <c r="H643" s="66"/>
      <c r="I643" s="66"/>
      <c r="J643" s="66"/>
      <c r="K643" s="66"/>
      <c r="L643" s="66"/>
      <c r="M643" s="66"/>
      <c r="N643" s="66"/>
      <c r="O643" s="66"/>
      <c r="P643" s="66"/>
      <c r="Q643" s="367"/>
      <c r="R643" s="367"/>
      <c r="S643" s="367"/>
      <c r="T643" s="367"/>
      <c r="U643" s="367"/>
      <c r="V643" s="367"/>
      <c r="W643" s="367"/>
      <c r="X643" s="367"/>
      <c r="Y643" s="367"/>
    </row>
    <row r="644" spans="1:25">
      <c r="A644" s="367"/>
      <c r="B644" s="367"/>
      <c r="C644" s="367"/>
      <c r="D644" s="367"/>
      <c r="E644" s="367"/>
      <c r="F644" s="367"/>
      <c r="G644" s="367"/>
      <c r="H644" s="66"/>
      <c r="I644" s="66"/>
      <c r="J644" s="66"/>
      <c r="K644" s="66"/>
      <c r="L644" s="66"/>
      <c r="M644" s="66"/>
      <c r="N644" s="66"/>
      <c r="O644" s="66"/>
      <c r="P644" s="66"/>
      <c r="Q644" s="367"/>
      <c r="R644" s="367"/>
      <c r="S644" s="367"/>
      <c r="T644" s="367"/>
      <c r="U644" s="367"/>
      <c r="V644" s="367"/>
      <c r="W644" s="367"/>
      <c r="X644" s="367"/>
      <c r="Y644" s="367"/>
    </row>
    <row r="645" spans="1:25">
      <c r="A645" s="367"/>
      <c r="B645" s="367"/>
      <c r="C645" s="367"/>
      <c r="D645" s="367"/>
      <c r="E645" s="367"/>
      <c r="F645" s="367"/>
      <c r="G645" s="367"/>
      <c r="H645" s="66"/>
      <c r="I645" s="66"/>
      <c r="J645" s="66"/>
      <c r="K645" s="66"/>
      <c r="L645" s="66"/>
      <c r="M645" s="66"/>
      <c r="N645" s="66"/>
      <c r="O645" s="66"/>
      <c r="P645" s="66"/>
      <c r="Q645" s="367"/>
      <c r="R645" s="367"/>
      <c r="S645" s="367"/>
      <c r="T645" s="367"/>
      <c r="U645" s="367"/>
      <c r="V645" s="367"/>
      <c r="W645" s="367"/>
      <c r="X645" s="367"/>
      <c r="Y645" s="367"/>
    </row>
    <row r="646" spans="1:25">
      <c r="A646" s="367"/>
      <c r="B646" s="367"/>
      <c r="C646" s="367"/>
      <c r="D646" s="367"/>
      <c r="E646" s="367"/>
      <c r="F646" s="367"/>
      <c r="G646" s="367"/>
      <c r="H646" s="66"/>
      <c r="I646" s="66"/>
      <c r="J646" s="66"/>
      <c r="K646" s="66"/>
      <c r="L646" s="66"/>
      <c r="M646" s="66"/>
      <c r="N646" s="66"/>
      <c r="O646" s="66"/>
      <c r="P646" s="66"/>
      <c r="Q646" s="367"/>
      <c r="R646" s="367"/>
      <c r="S646" s="367"/>
      <c r="T646" s="367"/>
      <c r="U646" s="367"/>
      <c r="V646" s="367"/>
      <c r="W646" s="367"/>
      <c r="X646" s="367"/>
      <c r="Y646" s="367"/>
    </row>
    <row r="647" spans="1:25">
      <c r="A647" s="367"/>
      <c r="B647" s="367"/>
      <c r="C647" s="367"/>
      <c r="D647" s="367"/>
      <c r="E647" s="367"/>
      <c r="F647" s="367"/>
      <c r="G647" s="367"/>
      <c r="H647" s="66"/>
      <c r="I647" s="66"/>
      <c r="J647" s="66"/>
      <c r="K647" s="66"/>
      <c r="L647" s="66"/>
      <c r="M647" s="66"/>
      <c r="N647" s="66"/>
      <c r="O647" s="66"/>
      <c r="P647" s="66"/>
      <c r="Q647" s="367"/>
      <c r="R647" s="367"/>
      <c r="S647" s="367"/>
      <c r="T647" s="367"/>
      <c r="U647" s="367"/>
      <c r="V647" s="367"/>
      <c r="W647" s="367"/>
      <c r="X647" s="367"/>
      <c r="Y647" s="367"/>
    </row>
    <row r="648" spans="1:25">
      <c r="A648" s="367"/>
      <c r="B648" s="367"/>
      <c r="C648" s="367"/>
      <c r="D648" s="367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</row>
    <row r="649" spans="1:25">
      <c r="A649" s="367"/>
      <c r="B649" s="367"/>
      <c r="C649" s="367"/>
      <c r="D649" s="367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</row>
    <row r="650" spans="1:25">
      <c r="A650" s="367"/>
      <c r="B650" s="367"/>
      <c r="C650" s="367"/>
      <c r="D650" s="367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</row>
    <row r="651" spans="1:25">
      <c r="A651" s="367"/>
      <c r="B651" s="367"/>
      <c r="C651" s="367"/>
      <c r="D651" s="367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</row>
    <row r="652" spans="1:25">
      <c r="A652" s="367"/>
      <c r="B652" s="367"/>
      <c r="C652" s="367"/>
      <c r="D652" s="367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</row>
    <row r="653" spans="1:25">
      <c r="A653" s="367"/>
      <c r="B653" s="367"/>
      <c r="C653" s="367"/>
      <c r="D653" s="367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</row>
    <row r="654" spans="1:25">
      <c r="A654" s="367"/>
      <c r="B654" s="367"/>
      <c r="C654" s="367"/>
      <c r="D654" s="367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</row>
    <row r="655" spans="1:25">
      <c r="A655" s="367"/>
      <c r="B655" s="367"/>
      <c r="C655" s="367"/>
      <c r="D655" s="367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</row>
    <row r="656" spans="1:25">
      <c r="A656" s="367"/>
      <c r="B656" s="367"/>
      <c r="C656" s="367"/>
      <c r="D656" s="367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</row>
    <row r="657" s="367" customFormat="1"/>
    <row r="658" s="367" customFormat="1"/>
    <row r="659" s="367" customFormat="1"/>
    <row r="660" s="367" customFormat="1"/>
    <row r="661" s="367" customFormat="1"/>
    <row r="662" s="367" customFormat="1"/>
    <row r="663" s="367" customFormat="1"/>
    <row r="664" s="367" customFormat="1"/>
    <row r="665" s="367" customFormat="1"/>
    <row r="666" s="367" customFormat="1"/>
    <row r="667" s="367" customFormat="1"/>
    <row r="668" s="367" customFormat="1"/>
    <row r="669" s="367" customFormat="1"/>
    <row r="670" s="367" customFormat="1"/>
    <row r="671" s="367" customFormat="1"/>
    <row r="672" s="367" customFormat="1"/>
    <row r="673" s="367" customFormat="1"/>
    <row r="674" s="367" customFormat="1"/>
    <row r="675" s="367" customFormat="1"/>
    <row r="676" s="367" customFormat="1"/>
    <row r="677" s="367" customFormat="1"/>
    <row r="678" s="367" customFormat="1"/>
    <row r="679" s="367" customFormat="1"/>
    <row r="680" s="367" customFormat="1"/>
    <row r="681" s="367" customFormat="1"/>
    <row r="682" s="367" customFormat="1"/>
    <row r="683" s="367" customFormat="1"/>
    <row r="684" s="367" customFormat="1"/>
    <row r="685" s="367" customFormat="1"/>
    <row r="686" s="367" customFormat="1"/>
    <row r="687" s="367" customFormat="1"/>
    <row r="688" s="367" customFormat="1"/>
    <row r="689" s="367" customFormat="1"/>
    <row r="690" s="367" customFormat="1"/>
    <row r="691" s="367" customFormat="1"/>
    <row r="692" s="367" customFormat="1"/>
    <row r="693" s="367" customFormat="1"/>
    <row r="694" s="367" customFormat="1"/>
    <row r="695" s="367" customFormat="1"/>
    <row r="696" s="367" customFormat="1"/>
    <row r="697" s="367" customFormat="1"/>
    <row r="698" s="367" customFormat="1"/>
    <row r="699" s="367" customFormat="1"/>
    <row r="700" s="367" customFormat="1"/>
    <row r="701" s="367" customFormat="1"/>
    <row r="702" s="367" customFormat="1"/>
    <row r="703" s="367" customFormat="1"/>
    <row r="704" s="367" customFormat="1"/>
    <row r="705" s="367" customFormat="1"/>
    <row r="706" s="367" customFormat="1"/>
    <row r="707" s="367" customFormat="1"/>
    <row r="708" s="367" customFormat="1"/>
    <row r="709" s="367" customFormat="1"/>
    <row r="710" s="367" customFormat="1"/>
    <row r="711" s="367" customFormat="1"/>
    <row r="712" s="367" customFormat="1"/>
    <row r="713" s="367" customFormat="1"/>
    <row r="714" s="367" customFormat="1"/>
    <row r="715" s="367" customFormat="1"/>
    <row r="716" s="367" customFormat="1"/>
    <row r="717" s="367" customFormat="1"/>
    <row r="718" s="367" customFormat="1"/>
    <row r="719" s="367" customFormat="1"/>
    <row r="720" s="367" customFormat="1"/>
    <row r="721" s="367" customFormat="1"/>
    <row r="722" s="367" customFormat="1"/>
    <row r="723" s="367" customFormat="1"/>
    <row r="724" s="367" customFormat="1"/>
    <row r="725" s="367" customFormat="1"/>
    <row r="726" s="367" customFormat="1"/>
    <row r="727" s="367" customFormat="1"/>
    <row r="728" s="367" customFormat="1"/>
    <row r="729" s="367" customFormat="1"/>
    <row r="730" s="367" customFormat="1"/>
    <row r="731" s="367" customFormat="1"/>
    <row r="732" s="367" customFormat="1"/>
    <row r="733" s="367" customFormat="1"/>
    <row r="734" s="367" customFormat="1"/>
    <row r="735" s="367" customFormat="1"/>
    <row r="736" s="367" customFormat="1"/>
    <row r="737" s="367" customFormat="1"/>
    <row r="738" s="367" customFormat="1"/>
    <row r="739" s="367" customFormat="1"/>
    <row r="740" s="367" customFormat="1"/>
    <row r="741" s="367" customFormat="1"/>
    <row r="742" s="367" customFormat="1"/>
    <row r="743" s="367" customFormat="1"/>
    <row r="744" s="367" customFormat="1"/>
    <row r="745" s="367" customFormat="1"/>
    <row r="746" s="367" customFormat="1"/>
    <row r="747" s="367" customFormat="1"/>
    <row r="748" s="367" customFormat="1"/>
    <row r="749" s="367" customFormat="1"/>
    <row r="750" s="367" customFormat="1"/>
    <row r="751" s="367" customFormat="1"/>
    <row r="752" s="367" customFormat="1"/>
    <row r="753" s="367" customFormat="1"/>
    <row r="754" s="367" customFormat="1"/>
    <row r="755" s="367" customFormat="1"/>
    <row r="756" s="367" customFormat="1"/>
    <row r="757" s="367" customFormat="1"/>
    <row r="758" s="367" customFormat="1"/>
    <row r="759" s="367" customFormat="1"/>
    <row r="760" s="367" customFormat="1"/>
    <row r="761" s="367" customFormat="1"/>
    <row r="762" s="367" customFormat="1"/>
    <row r="763" s="367" customFormat="1"/>
    <row r="764" s="367" customFormat="1"/>
    <row r="765" s="367" customFormat="1"/>
    <row r="766" s="367" customFormat="1"/>
    <row r="767" s="367" customFormat="1"/>
    <row r="768" s="367" customFormat="1"/>
    <row r="769" s="367" customFormat="1"/>
    <row r="770" s="367" customFormat="1"/>
    <row r="771" s="367" customFormat="1"/>
    <row r="772" s="367" customFormat="1"/>
    <row r="773" s="367" customFormat="1"/>
    <row r="774" s="367" customFormat="1"/>
    <row r="775" s="367" customFormat="1"/>
    <row r="776" s="367" customFormat="1"/>
    <row r="777" s="367" customFormat="1"/>
    <row r="778" s="367" customFormat="1"/>
    <row r="779" s="367" customFormat="1"/>
    <row r="780" s="367" customFormat="1"/>
    <row r="781" s="367" customFormat="1"/>
    <row r="782" s="367" customFormat="1"/>
    <row r="783" s="367" customFormat="1"/>
    <row r="784" s="367" customFormat="1"/>
    <row r="785" s="367" customFormat="1"/>
    <row r="786" s="367" customFormat="1"/>
    <row r="787" s="367" customFormat="1"/>
    <row r="788" s="367" customFormat="1"/>
    <row r="789" s="367" customFormat="1"/>
    <row r="790" s="367" customFormat="1"/>
    <row r="791" s="367" customFormat="1"/>
    <row r="792" s="367" customFormat="1"/>
    <row r="793" s="367" customFormat="1"/>
    <row r="794" s="367" customFormat="1"/>
    <row r="795" s="367" customFormat="1"/>
    <row r="796" s="367" customFormat="1"/>
    <row r="797" s="367" customFormat="1"/>
    <row r="798" s="367" customFormat="1"/>
    <row r="799" s="367" customFormat="1"/>
    <row r="800" s="367" customFormat="1"/>
    <row r="801" s="367" customFormat="1"/>
    <row r="802" s="367" customFormat="1"/>
    <row r="803" s="367" customFormat="1"/>
    <row r="804" s="367" customFormat="1"/>
    <row r="805" s="367" customFormat="1"/>
    <row r="806" s="367" customFormat="1"/>
    <row r="807" s="367" customFormat="1"/>
    <row r="808" s="367" customFormat="1"/>
    <row r="809" s="367" customFormat="1"/>
    <row r="810" s="367" customFormat="1"/>
    <row r="811" s="367" customFormat="1"/>
    <row r="812" s="367" customFormat="1"/>
    <row r="813" s="367" customFormat="1"/>
    <row r="814" s="367" customFormat="1"/>
    <row r="815" s="367" customFormat="1"/>
    <row r="816" s="367" customFormat="1"/>
    <row r="817" s="367" customFormat="1"/>
    <row r="818" s="367" customFormat="1"/>
    <row r="819" s="367" customFormat="1"/>
    <row r="820" s="367" customFormat="1"/>
    <row r="821" s="367" customFormat="1"/>
    <row r="822" s="367" customFormat="1"/>
    <row r="823" s="367" customFormat="1"/>
    <row r="824" s="367" customFormat="1"/>
    <row r="825" s="367" customFormat="1"/>
    <row r="826" s="367" customFormat="1"/>
    <row r="827" s="367" customFormat="1"/>
    <row r="828" s="367" customFormat="1"/>
    <row r="829" s="367" customFormat="1"/>
    <row r="830" s="367" customFormat="1"/>
    <row r="831" s="367" customFormat="1"/>
    <row r="832" s="367" customFormat="1"/>
    <row r="833" s="367" customFormat="1"/>
    <row r="834" s="367" customFormat="1"/>
    <row r="835" s="367" customFormat="1"/>
    <row r="836" s="367" customFormat="1"/>
    <row r="837" s="367" customFormat="1"/>
    <row r="838" s="367" customFormat="1"/>
    <row r="839" s="367" customFormat="1"/>
    <row r="840" s="367" customFormat="1"/>
    <row r="841" s="367" customFormat="1"/>
    <row r="842" s="367" customFormat="1"/>
    <row r="843" s="367" customFormat="1"/>
    <row r="844" s="367" customFormat="1"/>
    <row r="845" s="367" customFormat="1"/>
    <row r="846" s="367" customFormat="1"/>
    <row r="847" s="367" customFormat="1"/>
    <row r="848" s="367" customFormat="1"/>
    <row r="849" s="367" customFormat="1"/>
    <row r="850" s="367" customFormat="1"/>
    <row r="851" s="367" customFormat="1"/>
    <row r="852" s="367" customFormat="1"/>
    <row r="853" s="367" customFormat="1"/>
    <row r="854" s="367" customFormat="1"/>
    <row r="855" s="367" customFormat="1"/>
    <row r="856" s="367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155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[29]Financials!I$12</f>
        <v>998.92509052597745</v>
      </c>
      <c r="F10" s="494">
        <f>[29]Financials!J$12</f>
        <v>998.92509052597745</v>
      </c>
      <c r="G10" s="494">
        <f>[29]Financials!K$12</f>
        <v>998.92509052597745</v>
      </c>
      <c r="H10" s="494">
        <f>[29]Financials!L$12</f>
        <v>998.92509052597745</v>
      </c>
      <c r="I10" s="494">
        <f>[29]Financials!M$12</f>
        <v>998.92509052597745</v>
      </c>
      <c r="J10" s="494">
        <f>[29]Financials!N$12</f>
        <v>998.92509052597745</v>
      </c>
      <c r="K10" s="494">
        <f>[29]Financials!O$12</f>
        <v>998.92509052597745</v>
      </c>
      <c r="L10" s="494">
        <f>[29]Financials!P$12</f>
        <v>998.92509052597745</v>
      </c>
      <c r="M10" s="494">
        <f>[29]Financials!Q$12</f>
        <v>998.92509052597745</v>
      </c>
      <c r="N10" s="494">
        <f>[29]Financials!R$12</f>
        <v>998.92509052597745</v>
      </c>
      <c r="O10" s="494">
        <f>[29]Financials!S$12</f>
        <v>998.92509052597745</v>
      </c>
      <c r="P10" s="494">
        <f>[29]Financials!T$12</f>
        <v>998.92509052597745</v>
      </c>
      <c r="Q10" s="494">
        <f>[29]Financials!U$12</f>
        <v>998.92509052597745</v>
      </c>
      <c r="R10" s="494">
        <f>[29]Financials!V$12</f>
        <v>998.92509052597745</v>
      </c>
      <c r="S10" s="494">
        <f>[29]Financials!W$12</f>
        <v>998.92509052597745</v>
      </c>
      <c r="T10" s="494">
        <f>[29]Financials!X$12</f>
        <v>998.92509052597745</v>
      </c>
      <c r="U10" s="494">
        <f>[29]Financials!Y$12</f>
        <v>0</v>
      </c>
      <c r="V10" s="494">
        <f>[29]Financials!Z$12</f>
        <v>0</v>
      </c>
      <c r="W10" s="494">
        <f>[29]Financials!AA$12</f>
        <v>0</v>
      </c>
      <c r="X10" s="494">
        <f>[29]Financials!AB$12</f>
        <v>0</v>
      </c>
      <c r="Y10" s="494">
        <f>[29]Financials!AC$12</f>
        <v>0</v>
      </c>
      <c r="Z10" s="22"/>
      <c r="AA10" s="606">
        <f t="shared" ref="AA10:AA38" si="1">SUM(F10:Y10)</f>
        <v>14983.876357889665</v>
      </c>
      <c r="AB10" s="607">
        <f>AA10*$C$60</f>
        <v>7491.9381789448325</v>
      </c>
    </row>
    <row r="11" spans="1:28">
      <c r="A11" s="4" t="s">
        <v>9</v>
      </c>
      <c r="B11" s="12"/>
      <c r="C11" s="12"/>
      <c r="D11" s="193">
        <v>1</v>
      </c>
      <c r="E11" s="494">
        <f>[29]Financials!I$11</f>
        <v>1113.8547403606206</v>
      </c>
      <c r="F11" s="494">
        <f>[29]Financials!J$11</f>
        <v>1149.5497628794933</v>
      </c>
      <c r="G11" s="494">
        <f>[29]Financials!K$11</f>
        <v>1186.4521151667414</v>
      </c>
      <c r="H11" s="494">
        <f>[29]Financials!L$11</f>
        <v>1238.6040851395196</v>
      </c>
      <c r="I11" s="494">
        <f>[29]Financials!M$11</f>
        <v>1280.2654902167205</v>
      </c>
      <c r="J11" s="494">
        <f>[29]Financials!N$11</f>
        <v>1338.5097694145841</v>
      </c>
      <c r="K11" s="494">
        <f>[29]Financials!O$11</f>
        <v>1391.3172466868486</v>
      </c>
      <c r="L11" s="494">
        <f>[29]Financials!P$11</f>
        <v>1445.970516389018</v>
      </c>
      <c r="M11" s="494">
        <f>[29]Financials!Q$11</f>
        <v>1517.1567860397329</v>
      </c>
      <c r="N11" s="494">
        <f>[29]Financials!R$11</f>
        <v>1570.8237684121859</v>
      </c>
      <c r="O11" s="494">
        <f>[29]Financials!S$11</f>
        <v>1626.7031522829116</v>
      </c>
      <c r="P11" s="494">
        <f>[29]Financials!T$11</f>
        <v>1684.0272641785534</v>
      </c>
      <c r="Q11" s="494">
        <f>[29]Financials!U$11</f>
        <v>1767.4786798062516</v>
      </c>
      <c r="R11" s="494">
        <f>[29]Financials!V$11</f>
        <v>1810.5949561583554</v>
      </c>
      <c r="S11" s="494">
        <f>[29]Financials!W$11</f>
        <v>1855.1171151377259</v>
      </c>
      <c r="T11" s="494">
        <f>[29]Financials!X$11</f>
        <v>1900.2254949426429</v>
      </c>
      <c r="U11" s="494">
        <f>[29]Financials!Y$11</f>
        <v>0</v>
      </c>
      <c r="V11" s="494">
        <f>[29]Financials!Z$11</f>
        <v>0</v>
      </c>
      <c r="W11" s="494">
        <f>[29]Financials!AA$11</f>
        <v>0</v>
      </c>
      <c r="X11" s="494">
        <f>[29]Financials!AB$11</f>
        <v>0</v>
      </c>
      <c r="Y11" s="494">
        <f>[29]Financials!AC$11</f>
        <v>0</v>
      </c>
      <c r="Z11" s="22"/>
      <c r="AA11" s="606">
        <f t="shared" si="1"/>
        <v>22762.796202851288</v>
      </c>
      <c r="AB11" s="607">
        <f t="shared" ref="AB11:AB74" si="2">AA11*$C$60</f>
        <v>11381.398101425644</v>
      </c>
    </row>
    <row r="12" spans="1:28">
      <c r="A12" s="4" t="s">
        <v>10</v>
      </c>
      <c r="B12" s="12"/>
      <c r="C12" s="12"/>
      <c r="D12" s="193">
        <v>1</v>
      </c>
      <c r="E12" s="494">
        <f>[29]Financials!I$14</f>
        <v>236.303</v>
      </c>
      <c r="F12" s="494">
        <f>[29]Financials!J$14</f>
        <v>174.95099999999999</v>
      </c>
      <c r="G12" s="494">
        <f>[29]Financials!K$14</f>
        <v>0</v>
      </c>
      <c r="H12" s="494">
        <f>[29]Financials!L$14</f>
        <v>0</v>
      </c>
      <c r="I12" s="494">
        <f>[29]Financials!M$14</f>
        <v>0</v>
      </c>
      <c r="J12" s="494">
        <f>[29]Financials!N$14</f>
        <v>0</v>
      </c>
      <c r="K12" s="494">
        <f>[29]Financials!O$14</f>
        <v>0</v>
      </c>
      <c r="L12" s="494">
        <f>[29]Financials!P$14</f>
        <v>0</v>
      </c>
      <c r="M12" s="494">
        <f>[29]Financials!Q$14</f>
        <v>0</v>
      </c>
      <c r="N12" s="494">
        <f>[29]Financials!R$14</f>
        <v>0</v>
      </c>
      <c r="O12" s="494">
        <f>[29]Financials!S$14</f>
        <v>0</v>
      </c>
      <c r="P12" s="494">
        <f>[29]Financials!T$14</f>
        <v>0</v>
      </c>
      <c r="Q12" s="494">
        <f>[29]Financials!U$14</f>
        <v>0</v>
      </c>
      <c r="R12" s="494">
        <f>[29]Financials!V$14</f>
        <v>0</v>
      </c>
      <c r="S12" s="494">
        <f>[29]Financials!W$14</f>
        <v>0</v>
      </c>
      <c r="T12" s="494">
        <f>[29]Financials!X$14</f>
        <v>0</v>
      </c>
      <c r="U12" s="494">
        <f>[29]Financials!Y$14</f>
        <v>0</v>
      </c>
      <c r="V12" s="494">
        <f>[29]Financials!Z$14</f>
        <v>0</v>
      </c>
      <c r="W12" s="494">
        <f>[29]Financials!AA$14</f>
        <v>0</v>
      </c>
      <c r="X12" s="494">
        <f>[29]Financials!AB$14</f>
        <v>0</v>
      </c>
      <c r="Y12" s="494">
        <f>[29]Financials!AC$14</f>
        <v>0</v>
      </c>
      <c r="Z12" s="22"/>
      <c r="AA12" s="606">
        <f t="shared" si="1"/>
        <v>174.95099999999999</v>
      </c>
      <c r="AB12" s="607">
        <f t="shared" si="2"/>
        <v>87.475499999999997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2349.082830886598</v>
      </c>
      <c r="F20" s="90">
        <f t="shared" si="3"/>
        <v>2323.4258534054707</v>
      </c>
      <c r="G20" s="90">
        <f t="shared" si="3"/>
        <v>2185.3772056927187</v>
      </c>
      <c r="H20" s="90">
        <f t="shared" si="3"/>
        <v>2237.529175665497</v>
      </c>
      <c r="I20" s="90">
        <f t="shared" si="3"/>
        <v>2279.1905807426979</v>
      </c>
      <c r="J20" s="90">
        <f t="shared" si="3"/>
        <v>2337.4348599405616</v>
      </c>
      <c r="K20" s="90">
        <f t="shared" si="3"/>
        <v>2390.242337212826</v>
      </c>
      <c r="L20" s="90">
        <f t="shared" si="3"/>
        <v>2444.8956069149954</v>
      </c>
      <c r="M20" s="90">
        <f t="shared" si="3"/>
        <v>2516.0818765657104</v>
      </c>
      <c r="N20" s="90">
        <f t="shared" si="3"/>
        <v>2569.7488589381633</v>
      </c>
      <c r="O20" s="90">
        <f t="shared" si="3"/>
        <v>2625.6282428088889</v>
      </c>
      <c r="P20" s="90">
        <f t="shared" si="3"/>
        <v>2682.952354704531</v>
      </c>
      <c r="Q20" s="90">
        <f t="shared" si="3"/>
        <v>2766.4037703322292</v>
      </c>
      <c r="R20" s="90">
        <f t="shared" si="3"/>
        <v>2809.520046684333</v>
      </c>
      <c r="S20" s="90">
        <f t="shared" si="3"/>
        <v>2854.0422056637035</v>
      </c>
      <c r="T20" s="90">
        <f t="shared" si="3"/>
        <v>2899.1505854686202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37921.623560740947</v>
      </c>
      <c r="AB20" s="607">
        <f t="shared" si="2"/>
        <v>18960.811780370474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[29]Financials!I$29</f>
        <v>1535.3408315220188</v>
      </c>
      <c r="F25" s="494">
        <f>[29]Financials!J$29</f>
        <v>1511.1912284038124</v>
      </c>
      <c r="G25" s="494">
        <f>[29]Financials!K$29</f>
        <v>1565.4476488299572</v>
      </c>
      <c r="H25" s="494">
        <f>[29]Financials!L$29</f>
        <v>1607.439990999804</v>
      </c>
      <c r="I25" s="494">
        <f>[29]Financials!M$29</f>
        <v>1649.1659578132894</v>
      </c>
      <c r="J25" s="494">
        <f>[29]Financials!N$29</f>
        <v>1693.2092551831279</v>
      </c>
      <c r="K25" s="494">
        <f>[29]Financials!O$29</f>
        <v>1774.6130146935409</v>
      </c>
      <c r="L25" s="494">
        <f>[29]Financials!P$29</f>
        <v>1829.533330473344</v>
      </c>
      <c r="M25" s="494">
        <f>[29]Financials!Q$29</f>
        <v>1879.8908208853074</v>
      </c>
      <c r="N25" s="494">
        <f>[29]Financials!R$29</f>
        <v>1929.7226553626986</v>
      </c>
      <c r="O25" s="494">
        <f>[29]Financials!S$29</f>
        <v>1981.0370280424411</v>
      </c>
      <c r="P25" s="494">
        <f>[29]Financials!T$29</f>
        <v>2033.7932029887761</v>
      </c>
      <c r="Q25" s="494">
        <f>[29]Financials!U$29</f>
        <v>2091.0951375411291</v>
      </c>
      <c r="R25" s="494">
        <f>[29]Financials!V$29</f>
        <v>2145.7702079963533</v>
      </c>
      <c r="S25" s="494">
        <f>[29]Financials!W$29</f>
        <v>2202.033202903704</v>
      </c>
      <c r="T25" s="494">
        <f>[29]Financials!X$29</f>
        <v>2259.8440253436379</v>
      </c>
      <c r="U25" s="494">
        <f>[29]Financials!Y$29</f>
        <v>0</v>
      </c>
      <c r="V25" s="494">
        <f>[29]Financials!Z$29</f>
        <v>0</v>
      </c>
      <c r="W25" s="494">
        <f>[29]Financials!AA$29</f>
        <v>0</v>
      </c>
      <c r="X25" s="494">
        <f>[29]Financials!AB$29</f>
        <v>0</v>
      </c>
      <c r="Y25" s="494">
        <f>[29]Financials!AC$29</f>
        <v>0</v>
      </c>
      <c r="AA25" s="606">
        <f t="shared" si="1"/>
        <v>28153.786707460924</v>
      </c>
      <c r="AB25" s="607">
        <f t="shared" si="2"/>
        <v>14076.893353730462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1535.3408315220188</v>
      </c>
      <c r="F36" s="90">
        <f t="shared" si="4"/>
        <v>1511.1912284038124</v>
      </c>
      <c r="G36" s="90">
        <f t="shared" si="4"/>
        <v>1565.4476488299572</v>
      </c>
      <c r="H36" s="90">
        <f t="shared" si="4"/>
        <v>1607.439990999804</v>
      </c>
      <c r="I36" s="90">
        <f t="shared" si="4"/>
        <v>1649.1659578132894</v>
      </c>
      <c r="J36" s="90">
        <f t="shared" si="4"/>
        <v>1693.2092551831279</v>
      </c>
      <c r="K36" s="90">
        <f t="shared" si="4"/>
        <v>1774.6130146935409</v>
      </c>
      <c r="L36" s="90">
        <f t="shared" si="4"/>
        <v>1829.533330473344</v>
      </c>
      <c r="M36" s="90">
        <f t="shared" si="4"/>
        <v>1879.8908208853074</v>
      </c>
      <c r="N36" s="90">
        <f t="shared" si="4"/>
        <v>1929.7226553626986</v>
      </c>
      <c r="O36" s="90">
        <f t="shared" si="4"/>
        <v>1981.0370280424411</v>
      </c>
      <c r="P36" s="90">
        <f t="shared" si="4"/>
        <v>2033.7932029887761</v>
      </c>
      <c r="Q36" s="90">
        <f t="shared" si="4"/>
        <v>2091.0951375411291</v>
      </c>
      <c r="R36" s="90">
        <f t="shared" si="4"/>
        <v>2145.7702079963533</v>
      </c>
      <c r="S36" s="90">
        <f t="shared" si="4"/>
        <v>2202.033202903704</v>
      </c>
      <c r="T36" s="90">
        <f t="shared" si="4"/>
        <v>2259.8440253436379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28153.786707460924</v>
      </c>
      <c r="AB36" s="607">
        <f t="shared" si="2"/>
        <v>14076.893353730462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813.74199936457921</v>
      </c>
      <c r="F39" s="93">
        <f t="shared" si="5"/>
        <v>812.23462500165829</v>
      </c>
      <c r="G39" s="93">
        <f t="shared" si="5"/>
        <v>619.9295568627615</v>
      </c>
      <c r="H39" s="93">
        <f t="shared" si="5"/>
        <v>630.08918466569298</v>
      </c>
      <c r="I39" s="93">
        <f t="shared" si="5"/>
        <v>630.02462292940845</v>
      </c>
      <c r="J39" s="93">
        <f t="shared" si="5"/>
        <v>644.22560475743376</v>
      </c>
      <c r="K39" s="93">
        <f t="shared" si="5"/>
        <v>615.6293225192851</v>
      </c>
      <c r="L39" s="93">
        <f t="shared" si="5"/>
        <v>615.36227644165137</v>
      </c>
      <c r="M39" s="93">
        <f t="shared" si="5"/>
        <v>636.191055680403</v>
      </c>
      <c r="N39" s="93">
        <f t="shared" si="5"/>
        <v>640.02620357546471</v>
      </c>
      <c r="O39" s="93">
        <f t="shared" si="5"/>
        <v>644.59121476644782</v>
      </c>
      <c r="P39" s="93">
        <f t="shared" si="5"/>
        <v>649.15915171575489</v>
      </c>
      <c r="Q39" s="93">
        <f t="shared" si="5"/>
        <v>675.30863279110008</v>
      </c>
      <c r="R39" s="93">
        <f t="shared" si="5"/>
        <v>663.74983868797972</v>
      </c>
      <c r="S39" s="93">
        <f t="shared" si="5"/>
        <v>652.00900275999948</v>
      </c>
      <c r="T39" s="93">
        <f t="shared" si="5"/>
        <v>639.3065601249823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9767.8368532800232</v>
      </c>
      <c r="AB39" s="607">
        <f t="shared" si="2"/>
        <v>4883.9184266400116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193</v>
      </c>
      <c r="G41" s="90">
        <f t="shared" ref="G41:Y41" si="7">+G109</f>
        <v>193</v>
      </c>
      <c r="H41" s="90">
        <f t="shared" si="7"/>
        <v>193</v>
      </c>
      <c r="I41" s="90">
        <f t="shared" si="7"/>
        <v>193</v>
      </c>
      <c r="J41" s="90">
        <f t="shared" si="7"/>
        <v>193</v>
      </c>
      <c r="K41" s="90">
        <f t="shared" si="7"/>
        <v>193</v>
      </c>
      <c r="L41" s="90">
        <f t="shared" si="7"/>
        <v>193</v>
      </c>
      <c r="M41" s="90">
        <f t="shared" si="7"/>
        <v>193</v>
      </c>
      <c r="N41" s="90">
        <f t="shared" si="7"/>
        <v>193</v>
      </c>
      <c r="O41" s="90">
        <f t="shared" si="7"/>
        <v>193</v>
      </c>
      <c r="P41" s="90">
        <f t="shared" si="7"/>
        <v>193</v>
      </c>
      <c r="Q41" s="90">
        <f t="shared" si="7"/>
        <v>193</v>
      </c>
      <c r="R41" s="90">
        <f t="shared" si="7"/>
        <v>193</v>
      </c>
      <c r="S41" s="90">
        <f t="shared" si="7"/>
        <v>193</v>
      </c>
      <c r="T41" s="90">
        <f t="shared" si="7"/>
        <v>193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2895</v>
      </c>
      <c r="AB41" s="607">
        <f t="shared" si="2"/>
        <v>1447.5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813.74199936457921</v>
      </c>
      <c r="F44" s="93">
        <f t="shared" si="8"/>
        <v>619.23462500165829</v>
      </c>
      <c r="G44" s="93">
        <f t="shared" si="8"/>
        <v>426.9295568627615</v>
      </c>
      <c r="H44" s="93">
        <f t="shared" si="8"/>
        <v>437.08918466569298</v>
      </c>
      <c r="I44" s="93">
        <f t="shared" si="8"/>
        <v>437.02462292940845</v>
      </c>
      <c r="J44" s="93">
        <f t="shared" si="8"/>
        <v>451.22560475743376</v>
      </c>
      <c r="K44" s="93">
        <f t="shared" si="8"/>
        <v>422.6293225192851</v>
      </c>
      <c r="L44" s="93">
        <f t="shared" si="8"/>
        <v>422.36227644165137</v>
      </c>
      <c r="M44" s="93">
        <f t="shared" si="8"/>
        <v>443.191055680403</v>
      </c>
      <c r="N44" s="93">
        <f t="shared" si="8"/>
        <v>447.02620357546471</v>
      </c>
      <c r="O44" s="93">
        <f t="shared" si="8"/>
        <v>451.59121476644782</v>
      </c>
      <c r="P44" s="93">
        <f t="shared" si="8"/>
        <v>456.15915171575489</v>
      </c>
      <c r="Q44" s="93">
        <f t="shared" si="8"/>
        <v>482.30863279110008</v>
      </c>
      <c r="R44" s="93">
        <f t="shared" si="8"/>
        <v>470.74983868797972</v>
      </c>
      <c r="S44" s="93">
        <f t="shared" si="8"/>
        <v>459.00900275999948</v>
      </c>
      <c r="T44" s="93">
        <f t="shared" si="8"/>
        <v>446.3065601249823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6872.8368532800232</v>
      </c>
      <c r="AB44" s="607">
        <f t="shared" si="2"/>
        <v>3436.4184266400116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813.74199936457921</v>
      </c>
      <c r="F49" s="93">
        <f t="shared" si="9"/>
        <v>619.23462500165829</v>
      </c>
      <c r="G49" s="93">
        <f t="shared" si="9"/>
        <v>426.9295568627615</v>
      </c>
      <c r="H49" s="93">
        <f t="shared" si="9"/>
        <v>437.08918466569298</v>
      </c>
      <c r="I49" s="93">
        <f t="shared" si="9"/>
        <v>437.02462292940845</v>
      </c>
      <c r="J49" s="93">
        <f t="shared" si="9"/>
        <v>451.22560475743376</v>
      </c>
      <c r="K49" s="93">
        <f t="shared" si="9"/>
        <v>422.6293225192851</v>
      </c>
      <c r="L49" s="93">
        <f t="shared" si="9"/>
        <v>422.36227644165137</v>
      </c>
      <c r="M49" s="93">
        <f t="shared" si="9"/>
        <v>443.191055680403</v>
      </c>
      <c r="N49" s="93">
        <f t="shared" si="9"/>
        <v>447.02620357546471</v>
      </c>
      <c r="O49" s="93">
        <f t="shared" si="9"/>
        <v>451.59121476644782</v>
      </c>
      <c r="P49" s="93">
        <f t="shared" si="9"/>
        <v>456.15915171575489</v>
      </c>
      <c r="Q49" s="93">
        <f t="shared" si="9"/>
        <v>482.30863279110008</v>
      </c>
      <c r="R49" s="93">
        <f t="shared" si="9"/>
        <v>470.74983868797972</v>
      </c>
      <c r="S49" s="93">
        <f t="shared" si="9"/>
        <v>459.00900275999948</v>
      </c>
      <c r="T49" s="93">
        <f t="shared" si="9"/>
        <v>446.3065601249823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6872.8368532800232</v>
      </c>
      <c r="AB49" s="607">
        <f t="shared" si="2"/>
        <v>3436.4184266400116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-40.687099968228964</v>
      </c>
      <c r="F51" s="90">
        <f t="shared" si="10"/>
        <v>-30.961731250082916</v>
      </c>
      <c r="G51" s="55">
        <f t="shared" si="10"/>
        <v>-21.346477843138075</v>
      </c>
      <c r="H51" s="90">
        <f t="shared" si="10"/>
        <v>-21.854459233284651</v>
      </c>
      <c r="I51" s="90">
        <f t="shared" si="10"/>
        <v>-21.851231146470425</v>
      </c>
      <c r="J51" s="90">
        <f t="shared" si="10"/>
        <v>-22.561280237871689</v>
      </c>
      <c r="K51" s="90">
        <f t="shared" si="10"/>
        <v>-21.131466125964256</v>
      </c>
      <c r="L51" s="90">
        <f t="shared" si="10"/>
        <v>-21.11811382208257</v>
      </c>
      <c r="M51" s="90">
        <f t="shared" si="10"/>
        <v>-22.15955278402015</v>
      </c>
      <c r="N51" s="90">
        <f t="shared" si="10"/>
        <v>-22.351310178773236</v>
      </c>
      <c r="O51" s="90">
        <f t="shared" si="10"/>
        <v>-22.579560738322392</v>
      </c>
      <c r="P51" s="90">
        <f t="shared" si="10"/>
        <v>-22.807957585787747</v>
      </c>
      <c r="Q51" s="90">
        <f t="shared" si="10"/>
        <v>-24.115431639555005</v>
      </c>
      <c r="R51" s="90">
        <f t="shared" si="10"/>
        <v>-23.537491934398986</v>
      </c>
      <c r="S51" s="90">
        <f t="shared" si="10"/>
        <v>-22.950450137999976</v>
      </c>
      <c r="T51" s="90">
        <f t="shared" si="10"/>
        <v>-22.315328006249118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-343.64184266400116</v>
      </c>
      <c r="AB51" s="607">
        <f t="shared" si="2"/>
        <v>-171.82092133200058</v>
      </c>
    </row>
    <row r="52" spans="1:28">
      <c r="A52" s="4" t="s">
        <v>29</v>
      </c>
      <c r="C52" s="143">
        <v>0.35</v>
      </c>
      <c r="D52" s="89"/>
      <c r="E52" s="89">
        <f>((E49+E51)*-$C$52)+E56</f>
        <v>-270.56921478872255</v>
      </c>
      <c r="F52" s="89">
        <f t="shared" ref="F52:Y52" si="11">((F49+F51)*-$C$52)+F56</f>
        <v>-205.89551281305137</v>
      </c>
      <c r="G52" s="89">
        <f t="shared" si="11"/>
        <v>-141.95407765686818</v>
      </c>
      <c r="H52" s="89">
        <f t="shared" si="11"/>
        <v>-145.33215390134291</v>
      </c>
      <c r="I52" s="89">
        <f t="shared" si="11"/>
        <v>-145.31068712402831</v>
      </c>
      <c r="J52" s="89">
        <f t="shared" si="11"/>
        <v>-150.0325135818467</v>
      </c>
      <c r="K52" s="89">
        <f t="shared" si="11"/>
        <v>-140.52424973766227</v>
      </c>
      <c r="L52" s="89">
        <f t="shared" si="11"/>
        <v>-140.43545691684906</v>
      </c>
      <c r="M52" s="89">
        <f t="shared" si="11"/>
        <v>-147.36102601373398</v>
      </c>
      <c r="N52" s="89">
        <f t="shared" si="11"/>
        <v>-148.63621268884199</v>
      </c>
      <c r="O52" s="89">
        <f t="shared" si="11"/>
        <v>-150.15407890984389</v>
      </c>
      <c r="P52" s="89">
        <f t="shared" si="11"/>
        <v>-151.67291794548851</v>
      </c>
      <c r="Q52" s="89">
        <f t="shared" si="11"/>
        <v>-160.36762040304075</v>
      </c>
      <c r="R52" s="89">
        <f t="shared" si="11"/>
        <v>-156.52432136375324</v>
      </c>
      <c r="S52" s="89">
        <f t="shared" si="11"/>
        <v>-152.62049341769983</v>
      </c>
      <c r="T52" s="89">
        <f t="shared" si="11"/>
        <v>-148.39693124155662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-2285.2182537156077</v>
      </c>
      <c r="AB52" s="607">
        <f t="shared" si="2"/>
        <v>-1142.6091268578039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502.48568460762772</v>
      </c>
      <c r="F54" s="93">
        <f t="shared" si="12"/>
        <v>382.37738093852397</v>
      </c>
      <c r="G54" s="93">
        <f t="shared" si="12"/>
        <v>263.62900136275528</v>
      </c>
      <c r="H54" s="93">
        <f t="shared" si="12"/>
        <v>269.9025715310654</v>
      </c>
      <c r="I54" s="93">
        <f t="shared" si="12"/>
        <v>269.86270465890971</v>
      </c>
      <c r="J54" s="93">
        <f t="shared" si="12"/>
        <v>278.63181093771539</v>
      </c>
      <c r="K54" s="93">
        <f t="shared" si="12"/>
        <v>260.97360665565856</v>
      </c>
      <c r="L54" s="93">
        <f t="shared" si="12"/>
        <v>260.80870570271975</v>
      </c>
      <c r="M54" s="93">
        <f t="shared" si="12"/>
        <v>273.67047688264887</v>
      </c>
      <c r="N54" s="93">
        <f t="shared" si="12"/>
        <v>276.03868070784949</v>
      </c>
      <c r="O54" s="93">
        <f t="shared" si="12"/>
        <v>278.85757511828149</v>
      </c>
      <c r="P54" s="93">
        <f t="shared" si="12"/>
        <v>281.67827618447865</v>
      </c>
      <c r="Q54" s="93">
        <f t="shared" si="12"/>
        <v>297.82558074850431</v>
      </c>
      <c r="R54" s="93">
        <f t="shared" si="12"/>
        <v>290.68802538982749</v>
      </c>
      <c r="S54" s="93">
        <f t="shared" si="12"/>
        <v>283.43805920429969</v>
      </c>
      <c r="T54" s="93">
        <f t="shared" si="12"/>
        <v>275.59430087717658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4243.9767569004152</v>
      </c>
      <c r="AB54" s="607">
        <f t="shared" si="2"/>
        <v>2121.9883784502076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813.74199936457921</v>
      </c>
      <c r="F64" s="20">
        <f t="shared" si="14"/>
        <v>812.23462500165829</v>
      </c>
      <c r="G64" s="24">
        <f t="shared" si="14"/>
        <v>619.9295568627615</v>
      </c>
      <c r="H64" s="20">
        <f t="shared" si="14"/>
        <v>630.08918466569298</v>
      </c>
      <c r="I64" s="20">
        <f t="shared" si="14"/>
        <v>630.02462292940845</v>
      </c>
      <c r="J64" s="20">
        <f t="shared" si="14"/>
        <v>644.22560475743376</v>
      </c>
      <c r="K64" s="20">
        <f t="shared" si="14"/>
        <v>615.6293225192851</v>
      </c>
      <c r="L64" s="20">
        <f t="shared" si="14"/>
        <v>615.36227644165137</v>
      </c>
      <c r="M64" s="20">
        <f t="shared" si="14"/>
        <v>636.191055680403</v>
      </c>
      <c r="N64" s="20">
        <f t="shared" si="14"/>
        <v>640.02620357546471</v>
      </c>
      <c r="O64" s="20">
        <f t="shared" si="14"/>
        <v>644.59121476644782</v>
      </c>
      <c r="P64" s="20">
        <f t="shared" si="14"/>
        <v>649.15915171575489</v>
      </c>
      <c r="Q64" s="20">
        <f t="shared" si="14"/>
        <v>675.30863279110008</v>
      </c>
      <c r="R64" s="20">
        <f t="shared" si="14"/>
        <v>663.74983868797972</v>
      </c>
      <c r="S64" s="20">
        <f t="shared" si="14"/>
        <v>652.00900275999948</v>
      </c>
      <c r="T64" s="20">
        <f t="shared" si="14"/>
        <v>639.3065601249823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9767.8368532800232</v>
      </c>
      <c r="AB64" s="607">
        <f t="shared" si="2"/>
        <v>4883.9184266400116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813.74199936457921</v>
      </c>
      <c r="F69" s="95">
        <f t="shared" si="15"/>
        <v>812.23462500165829</v>
      </c>
      <c r="G69" s="95">
        <f t="shared" si="15"/>
        <v>619.9295568627615</v>
      </c>
      <c r="H69" s="95">
        <f t="shared" si="15"/>
        <v>630.08918466569298</v>
      </c>
      <c r="I69" s="95">
        <f t="shared" si="15"/>
        <v>630.02462292940845</v>
      </c>
      <c r="J69" s="95">
        <f t="shared" si="15"/>
        <v>644.22560475743376</v>
      </c>
      <c r="K69" s="95">
        <f t="shared" si="15"/>
        <v>615.6293225192851</v>
      </c>
      <c r="L69" s="95">
        <f t="shared" si="15"/>
        <v>615.36227644165137</v>
      </c>
      <c r="M69" s="95">
        <f t="shared" si="15"/>
        <v>636.191055680403</v>
      </c>
      <c r="N69" s="95">
        <f t="shared" si="15"/>
        <v>640.02620357546471</v>
      </c>
      <c r="O69" s="95">
        <f t="shared" si="15"/>
        <v>644.59121476644782</v>
      </c>
      <c r="P69" s="95">
        <f t="shared" si="15"/>
        <v>649.15915171575489</v>
      </c>
      <c r="Q69" s="95">
        <f t="shared" si="15"/>
        <v>675.30863279110008</v>
      </c>
      <c r="R69" s="95">
        <f t="shared" si="15"/>
        <v>663.74983868797972</v>
      </c>
      <c r="S69" s="95">
        <f t="shared" si="15"/>
        <v>652.00900275999948</v>
      </c>
      <c r="T69" s="95">
        <f t="shared" si="15"/>
        <v>639.3065601249823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9767.8368532800232</v>
      </c>
      <c r="AB69" s="607">
        <f t="shared" si="2"/>
        <v>4883.9184266400116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131.26076259075128</v>
      </c>
      <c r="G71" s="100">
        <f t="shared" si="16"/>
        <v>469.98175514621062</v>
      </c>
      <c r="H71" s="100">
        <f t="shared" si="16"/>
        <v>183.25377325310259</v>
      </c>
      <c r="I71" s="100">
        <f t="shared" si="16"/>
        <v>13.573313562139347</v>
      </c>
      <c r="J71" s="100">
        <f t="shared" si="16"/>
        <v>8.1414380129196697</v>
      </c>
      <c r="K71" s="100">
        <f t="shared" si="16"/>
        <v>-108.1993499473075</v>
      </c>
      <c r="L71" s="100">
        <f t="shared" si="16"/>
        <v>-235.37607073893165</v>
      </c>
      <c r="M71" s="100">
        <f t="shared" si="16"/>
        <v>-243.34307879775412</v>
      </c>
      <c r="N71" s="100">
        <f t="shared" si="16"/>
        <v>-244.81002286761526</v>
      </c>
      <c r="O71" s="100">
        <f t="shared" si="16"/>
        <v>-246.55613964816629</v>
      </c>
      <c r="P71" s="100">
        <f t="shared" si="16"/>
        <v>-248.30337553127623</v>
      </c>
      <c r="Q71" s="100">
        <f t="shared" si="16"/>
        <v>-258.30555204259576</v>
      </c>
      <c r="R71" s="100">
        <f t="shared" si="16"/>
        <v>-253.88431329815225</v>
      </c>
      <c r="S71" s="100">
        <f t="shared" si="16"/>
        <v>-249.3934435556998</v>
      </c>
      <c r="T71" s="100">
        <f t="shared" si="16"/>
        <v>-244.53475924780571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-1526.495063110181</v>
      </c>
      <c r="AB71" s="607">
        <f t="shared" si="2"/>
        <v>-763.24753155509052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813.74199936457921</v>
      </c>
      <c r="F73" s="28">
        <f t="shared" si="17"/>
        <v>943.49538759240954</v>
      </c>
      <c r="G73" s="28">
        <f t="shared" si="17"/>
        <v>1089.9113120089721</v>
      </c>
      <c r="H73" s="28">
        <f t="shared" si="17"/>
        <v>813.34295791879561</v>
      </c>
      <c r="I73" s="28">
        <f t="shared" si="17"/>
        <v>643.59793649154778</v>
      </c>
      <c r="J73" s="28">
        <f t="shared" si="17"/>
        <v>652.36704277035346</v>
      </c>
      <c r="K73" s="28">
        <f t="shared" si="17"/>
        <v>507.4299725719776</v>
      </c>
      <c r="L73" s="28">
        <f t="shared" si="17"/>
        <v>379.98620570271976</v>
      </c>
      <c r="M73" s="28">
        <f t="shared" si="17"/>
        <v>392.84797688264888</v>
      </c>
      <c r="N73" s="28">
        <f t="shared" si="17"/>
        <v>395.21618070784945</v>
      </c>
      <c r="O73" s="28">
        <f t="shared" si="17"/>
        <v>398.0350751182815</v>
      </c>
      <c r="P73" s="28">
        <f t="shared" si="17"/>
        <v>400.85577618447866</v>
      </c>
      <c r="Q73" s="28">
        <f t="shared" si="17"/>
        <v>417.00308074850432</v>
      </c>
      <c r="R73" s="28">
        <f t="shared" si="17"/>
        <v>409.86552538982744</v>
      </c>
      <c r="S73" s="28">
        <f t="shared" si="17"/>
        <v>402.61555920429964</v>
      </c>
      <c r="T73" s="28">
        <f t="shared" si="17"/>
        <v>394.77180087717659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8241.3417901698431</v>
      </c>
      <c r="AB73" s="607">
        <f t="shared" si="2"/>
        <v>4120.6708950849215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251.24284230381386</v>
      </c>
      <c r="F76" s="28">
        <f t="shared" si="19"/>
        <v>191.18869046926199</v>
      </c>
      <c r="G76" s="95">
        <f t="shared" si="19"/>
        <v>131.81450068137764</v>
      </c>
      <c r="H76" s="28">
        <f t="shared" si="19"/>
        <v>134.9512857655327</v>
      </c>
      <c r="I76" s="28">
        <f t="shared" si="19"/>
        <v>134.93135232945485</v>
      </c>
      <c r="J76" s="28">
        <f t="shared" si="19"/>
        <v>139.31590546885769</v>
      </c>
      <c r="K76" s="28">
        <f t="shared" si="19"/>
        <v>130.48680332782928</v>
      </c>
      <c r="L76" s="28">
        <f t="shared" si="19"/>
        <v>130.40435285135987</v>
      </c>
      <c r="M76" s="28">
        <f t="shared" si="19"/>
        <v>136.83523844132444</v>
      </c>
      <c r="N76" s="28">
        <f t="shared" si="19"/>
        <v>138.01934035392475</v>
      </c>
      <c r="O76" s="28">
        <f t="shared" si="19"/>
        <v>139.42878755914074</v>
      </c>
      <c r="P76" s="28">
        <f t="shared" si="19"/>
        <v>140.83913809223932</v>
      </c>
      <c r="Q76" s="28">
        <f t="shared" si="19"/>
        <v>148.91279037425215</v>
      </c>
      <c r="R76" s="28">
        <f t="shared" si="19"/>
        <v>145.34401269491374</v>
      </c>
      <c r="S76" s="28">
        <f t="shared" si="19"/>
        <v>141.71902960214985</v>
      </c>
      <c r="T76" s="28">
        <f t="shared" si="19"/>
        <v>137.79715043858829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2121.9883784502076</v>
      </c>
      <c r="AB76" s="607">
        <f>AA76</f>
        <v>2121.9883784502076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406.87099968228961</v>
      </c>
      <c r="F77" s="28">
        <f t="shared" si="20"/>
        <v>471.74769379620477</v>
      </c>
      <c r="G77" s="95">
        <f t="shared" si="20"/>
        <v>544.95565600448606</v>
      </c>
      <c r="H77" s="28">
        <f t="shared" si="20"/>
        <v>406.6714789593978</v>
      </c>
      <c r="I77" s="28">
        <f t="shared" si="20"/>
        <v>321.79896824577389</v>
      </c>
      <c r="J77" s="28">
        <f t="shared" si="20"/>
        <v>326.18352138517673</v>
      </c>
      <c r="K77" s="28">
        <f t="shared" si="20"/>
        <v>253.7149862859888</v>
      </c>
      <c r="L77" s="28">
        <f t="shared" si="20"/>
        <v>189.99310285135988</v>
      </c>
      <c r="M77" s="28">
        <f t="shared" si="20"/>
        <v>196.42398844132444</v>
      </c>
      <c r="N77" s="28">
        <f t="shared" si="20"/>
        <v>197.60809035392472</v>
      </c>
      <c r="O77" s="28">
        <f t="shared" si="20"/>
        <v>199.01753755914075</v>
      </c>
      <c r="P77" s="28">
        <f t="shared" si="20"/>
        <v>200.42788809223933</v>
      </c>
      <c r="Q77" s="28">
        <f t="shared" si="20"/>
        <v>208.50154037425216</v>
      </c>
      <c r="R77" s="28">
        <f t="shared" si="20"/>
        <v>204.93276269491372</v>
      </c>
      <c r="S77" s="28">
        <f t="shared" si="20"/>
        <v>201.30777960214982</v>
      </c>
      <c r="T77" s="28">
        <f t="shared" si="20"/>
        <v>197.38590043858829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4120.6708950849215</v>
      </c>
      <c r="AB77" s="607">
        <f>AA77</f>
        <v>4120.6708950849215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812.23462500165829</v>
      </c>
      <c r="G88" s="200">
        <f t="shared" ref="G88:Y88" si="22">G69</f>
        <v>619.9295568627615</v>
      </c>
      <c r="H88" s="200">
        <f t="shared" si="22"/>
        <v>630.08918466569298</v>
      </c>
      <c r="I88" s="200">
        <f t="shared" si="22"/>
        <v>630.02462292940845</v>
      </c>
      <c r="J88" s="200">
        <f t="shared" si="22"/>
        <v>644.22560475743376</v>
      </c>
      <c r="K88" s="200">
        <f t="shared" si="22"/>
        <v>615.6293225192851</v>
      </c>
      <c r="L88" s="200">
        <f t="shared" si="22"/>
        <v>615.36227644165137</v>
      </c>
      <c r="M88" s="200">
        <f t="shared" si="22"/>
        <v>636.191055680403</v>
      </c>
      <c r="N88" s="200">
        <f t="shared" si="22"/>
        <v>640.02620357546471</v>
      </c>
      <c r="O88" s="200">
        <f t="shared" si="22"/>
        <v>644.59121476644782</v>
      </c>
      <c r="P88" s="200">
        <f t="shared" si="22"/>
        <v>649.15915171575489</v>
      </c>
      <c r="Q88" s="200">
        <f t="shared" si="22"/>
        <v>675.30863279110008</v>
      </c>
      <c r="R88" s="200">
        <f t="shared" si="22"/>
        <v>663.74983868797972</v>
      </c>
      <c r="S88" s="200">
        <f t="shared" si="22"/>
        <v>652.00900275999948</v>
      </c>
      <c r="T88" s="200">
        <f t="shared" si="22"/>
        <v>639.3065601249823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9767.8368532800232</v>
      </c>
      <c r="AB88" s="607">
        <f t="shared" si="18"/>
        <v>4883.9184266400116</v>
      </c>
    </row>
    <row r="89" spans="1:30" s="199" customFormat="1">
      <c r="A89" s="199" t="s">
        <v>53</v>
      </c>
      <c r="F89" s="110">
        <f>F126+F127</f>
        <v>131.26076259075128</v>
      </c>
      <c r="G89" s="110">
        <f t="shared" ref="G89:Y89" si="23">G126+G127</f>
        <v>469.98175514621062</v>
      </c>
      <c r="H89" s="110">
        <f t="shared" si="23"/>
        <v>183.25377325310259</v>
      </c>
      <c r="I89" s="110">
        <f t="shared" si="23"/>
        <v>13.573313562139347</v>
      </c>
      <c r="J89" s="110">
        <f t="shared" si="23"/>
        <v>8.1414380129196697</v>
      </c>
      <c r="K89" s="110">
        <f t="shared" si="23"/>
        <v>-108.1993499473075</v>
      </c>
      <c r="L89" s="110">
        <f t="shared" si="23"/>
        <v>-235.37607073893165</v>
      </c>
      <c r="M89" s="110">
        <f t="shared" si="23"/>
        <v>-243.34307879775412</v>
      </c>
      <c r="N89" s="110">
        <f t="shared" si="23"/>
        <v>-244.81002286761526</v>
      </c>
      <c r="O89" s="110">
        <f t="shared" si="23"/>
        <v>-246.55613964816629</v>
      </c>
      <c r="P89" s="110">
        <f t="shared" si="23"/>
        <v>-248.30337553127623</v>
      </c>
      <c r="Q89" s="110">
        <f t="shared" si="23"/>
        <v>-258.30555204259576</v>
      </c>
      <c r="R89" s="110">
        <f t="shared" si="23"/>
        <v>-253.88431329815225</v>
      </c>
      <c r="S89" s="110">
        <f t="shared" si="23"/>
        <v>-249.3934435556998</v>
      </c>
      <c r="T89" s="110">
        <f t="shared" si="23"/>
        <v>-244.53475924780571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-1526.495063110181</v>
      </c>
      <c r="AB89" s="607">
        <f t="shared" si="18"/>
        <v>-763.24753155509052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f>Y99</f>
        <v>5114.4524809998584</v>
      </c>
      <c r="U91" s="111">
        <v>0</v>
      </c>
      <c r="V91" s="111">
        <v>0</v>
      </c>
      <c r="W91" s="111">
        <v>0</v>
      </c>
      <c r="X91" s="111">
        <v>0</v>
      </c>
      <c r="Y91" s="111">
        <v>0</v>
      </c>
      <c r="AA91" s="606">
        <f t="shared" si="6"/>
        <v>5114.4524809998584</v>
      </c>
      <c r="AB91" s="607">
        <f t="shared" si="18"/>
        <v>2557.2262404999292</v>
      </c>
    </row>
    <row r="92" spans="1:30" s="199" customFormat="1">
      <c r="A92" s="199" t="s">
        <v>55</v>
      </c>
      <c r="E92" s="502">
        <v>-6418.8889855321067</v>
      </c>
      <c r="F92" s="200">
        <f>SUM(F88:F91)</f>
        <v>943.49538759240954</v>
      </c>
      <c r="G92" s="200">
        <f t="shared" ref="G92:Y92" si="25">SUM(G88:G91)</f>
        <v>1089.9113120089721</v>
      </c>
      <c r="H92" s="200">
        <f t="shared" si="25"/>
        <v>813.34295791879561</v>
      </c>
      <c r="I92" s="200">
        <f t="shared" si="25"/>
        <v>643.59793649154778</v>
      </c>
      <c r="J92" s="200">
        <f t="shared" si="25"/>
        <v>652.36704277035346</v>
      </c>
      <c r="K92" s="200">
        <f t="shared" si="25"/>
        <v>507.4299725719776</v>
      </c>
      <c r="L92" s="200">
        <f t="shared" si="25"/>
        <v>379.98620570271976</v>
      </c>
      <c r="M92" s="200">
        <f t="shared" si="25"/>
        <v>392.84797688264888</v>
      </c>
      <c r="N92" s="200">
        <f t="shared" si="25"/>
        <v>395.21618070784945</v>
      </c>
      <c r="O92" s="200">
        <f t="shared" si="25"/>
        <v>398.0350751182815</v>
      </c>
      <c r="P92" s="200">
        <f t="shared" si="25"/>
        <v>400.85577618447866</v>
      </c>
      <c r="Q92" s="200">
        <f t="shared" si="25"/>
        <v>417.00308074850432</v>
      </c>
      <c r="R92" s="200">
        <f t="shared" si="25"/>
        <v>409.86552538982744</v>
      </c>
      <c r="S92" s="200">
        <f t="shared" si="25"/>
        <v>402.61555920429964</v>
      </c>
      <c r="T92" s="200">
        <f t="shared" si="25"/>
        <v>5509.2242818770346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13355.7942711697</v>
      </c>
      <c r="AB92" s="607">
        <f t="shared" si="18"/>
        <v>6677.8971355848498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1.8773973201734756E-12</v>
      </c>
      <c r="R95" s="204"/>
      <c r="U95" s="205" t="s">
        <v>58</v>
      </c>
      <c r="V95" s="206"/>
      <c r="W95" s="206"/>
      <c r="X95" s="206"/>
      <c r="Y95" s="207">
        <f>T88</f>
        <v>639.3065601249823</v>
      </c>
      <c r="AA95" s="606">
        <f t="shared" si="6"/>
        <v>639.3065601249823</v>
      </c>
      <c r="AB95" s="607">
        <f t="shared" si="18"/>
        <v>319.65328006249115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639.3065601249823</v>
      </c>
      <c r="AA97" s="606">
        <f t="shared" si="6"/>
        <v>639.3065601249823</v>
      </c>
      <c r="AB97" s="607">
        <f t="shared" si="18"/>
        <v>319.65328006249115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5114.4524809998584</v>
      </c>
      <c r="AA99" s="606">
        <f t="shared" si="6"/>
        <v>5114.4524809998584</v>
      </c>
      <c r="AB99" s="607">
        <f t="shared" si="18"/>
        <v>2557.2262404999292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6418.8889855321067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6418.8889855321067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5777.0000869788964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5777.0000869788964</v>
      </c>
      <c r="F109" s="203">
        <f>ROUND(D109/$B$109,0)</f>
        <v>193</v>
      </c>
      <c r="G109" s="203">
        <f>F109</f>
        <v>193</v>
      </c>
      <c r="H109" s="203">
        <f t="shared" ref="H109:T110" si="28">G109</f>
        <v>193</v>
      </c>
      <c r="I109" s="203">
        <f t="shared" si="28"/>
        <v>193</v>
      </c>
      <c r="J109" s="203">
        <f t="shared" si="28"/>
        <v>193</v>
      </c>
      <c r="K109" s="203">
        <f t="shared" si="28"/>
        <v>193</v>
      </c>
      <c r="L109" s="203">
        <f t="shared" si="28"/>
        <v>193</v>
      </c>
      <c r="M109" s="203">
        <f t="shared" si="28"/>
        <v>193</v>
      </c>
      <c r="N109" s="203">
        <f t="shared" si="28"/>
        <v>193</v>
      </c>
      <c r="O109" s="203">
        <f t="shared" si="28"/>
        <v>193</v>
      </c>
      <c r="P109" s="203">
        <f t="shared" si="28"/>
        <v>193</v>
      </c>
      <c r="Q109" s="203">
        <f t="shared" si="28"/>
        <v>193</v>
      </c>
      <c r="R109" s="203">
        <f t="shared" si="28"/>
        <v>193</v>
      </c>
      <c r="S109" s="203">
        <f t="shared" si="28"/>
        <v>193</v>
      </c>
      <c r="T109" s="203">
        <f t="shared" si="28"/>
        <v>193</v>
      </c>
      <c r="U109" s="739"/>
      <c r="V109" s="739"/>
      <c r="W109" s="739"/>
      <c r="X109" s="739"/>
      <c r="Y109" s="739"/>
      <c r="AA109" s="606">
        <f t="shared" si="26"/>
        <v>2895</v>
      </c>
      <c r="AB109" s="607">
        <f t="shared" si="18"/>
        <v>1447.5</v>
      </c>
    </row>
    <row r="110" spans="1:28" s="199" customFormat="1">
      <c r="A110" s="199" t="s">
        <v>571</v>
      </c>
      <c r="D110" s="214">
        <f>D104*'FPLE_Wind Summary'!V30</f>
        <v>435.53128725424727</v>
      </c>
      <c r="F110" s="203">
        <f>ROUND(D110/$B$109,0)</f>
        <v>15</v>
      </c>
      <c r="G110" s="203">
        <f>F110</f>
        <v>15</v>
      </c>
      <c r="H110" s="203">
        <f t="shared" si="28"/>
        <v>15</v>
      </c>
      <c r="I110" s="203">
        <f t="shared" si="28"/>
        <v>15</v>
      </c>
      <c r="J110" s="203">
        <f t="shared" si="28"/>
        <v>15</v>
      </c>
      <c r="K110" s="203">
        <f t="shared" si="28"/>
        <v>15</v>
      </c>
      <c r="L110" s="203">
        <f t="shared" si="28"/>
        <v>15</v>
      </c>
      <c r="M110" s="203">
        <f t="shared" si="28"/>
        <v>15</v>
      </c>
      <c r="N110" s="203">
        <f t="shared" si="28"/>
        <v>15</v>
      </c>
      <c r="O110" s="203">
        <f t="shared" si="28"/>
        <v>15</v>
      </c>
      <c r="P110" s="203">
        <f t="shared" si="28"/>
        <v>15</v>
      </c>
      <c r="Q110" s="203">
        <f t="shared" si="28"/>
        <v>15</v>
      </c>
      <c r="R110" s="203">
        <f t="shared" si="28"/>
        <v>15</v>
      </c>
      <c r="S110" s="203">
        <f t="shared" si="28"/>
        <v>15</v>
      </c>
      <c r="T110" s="203">
        <f t="shared" si="28"/>
        <v>15</v>
      </c>
      <c r="U110" s="739"/>
      <c r="V110" s="739"/>
      <c r="W110" s="739"/>
      <c r="X110" s="739"/>
      <c r="Y110" s="739"/>
      <c r="AA110" s="606">
        <f t="shared" si="26"/>
        <v>225</v>
      </c>
      <c r="AB110" s="607">
        <f t="shared" si="18"/>
        <v>112.5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5777.0000869788964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T115" si="29">$D$113*F114</f>
        <v>1155.4000173957793</v>
      </c>
      <c r="G115" s="203">
        <f t="shared" si="29"/>
        <v>1848.6400278332469</v>
      </c>
      <c r="H115" s="203">
        <f t="shared" si="29"/>
        <v>1109.1840166999482</v>
      </c>
      <c r="I115" s="203">
        <f t="shared" si="29"/>
        <v>665.51041001996884</v>
      </c>
      <c r="J115" s="203">
        <f t="shared" si="29"/>
        <v>665.51041001996884</v>
      </c>
      <c r="K115" s="203">
        <f t="shared" si="29"/>
        <v>332.75520500998442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739"/>
      <c r="V115" s="739"/>
      <c r="W115" s="739"/>
      <c r="X115" s="739"/>
      <c r="Y115" s="739"/>
      <c r="AA115" s="606">
        <f t="shared" si="26"/>
        <v>5777.0000869788964</v>
      </c>
      <c r="AB115" s="607">
        <f t="shared" si="18"/>
        <v>2888.5000434894482</v>
      </c>
    </row>
    <row r="116" spans="1:28" s="199" customFormat="1">
      <c r="A116" s="199" t="s">
        <v>571</v>
      </c>
      <c r="D116" s="214">
        <f>D110</f>
        <v>435.53128725424727</v>
      </c>
      <c r="F116" s="203">
        <f>$D$116*F114</f>
        <v>87.106257450849455</v>
      </c>
      <c r="G116" s="203">
        <f t="shared" ref="G116:T116" si="30">$D$116*G114</f>
        <v>139.37001192135912</v>
      </c>
      <c r="H116" s="203">
        <f t="shared" si="30"/>
        <v>83.622007152815485</v>
      </c>
      <c r="I116" s="203">
        <f t="shared" si="30"/>
        <v>50.173204291689288</v>
      </c>
      <c r="J116" s="203">
        <f t="shared" si="30"/>
        <v>50.173204291689288</v>
      </c>
      <c r="K116" s="203">
        <f t="shared" si="30"/>
        <v>25.086602145844644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739"/>
      <c r="V116" s="739"/>
      <c r="W116" s="739"/>
      <c r="X116" s="739"/>
      <c r="Y116" s="739"/>
      <c r="AA116" s="606">
        <f t="shared" si="26"/>
        <v>435.53128725424727</v>
      </c>
      <c r="AB116" s="607">
        <f t="shared" si="18"/>
        <v>217.76564362712364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812.23462500165829</v>
      </c>
      <c r="G121" s="203">
        <f t="shared" ref="G121:Y121" si="32">G39</f>
        <v>619.9295568627615</v>
      </c>
      <c r="H121" s="203">
        <f t="shared" si="32"/>
        <v>630.08918466569298</v>
      </c>
      <c r="I121" s="203">
        <f t="shared" si="32"/>
        <v>630.02462292940845</v>
      </c>
      <c r="J121" s="203">
        <f>J39</f>
        <v>644.22560475743376</v>
      </c>
      <c r="K121" s="203">
        <f t="shared" si="32"/>
        <v>615.6293225192851</v>
      </c>
      <c r="L121" s="203">
        <f t="shared" si="32"/>
        <v>615.36227644165137</v>
      </c>
      <c r="M121" s="203">
        <f t="shared" si="32"/>
        <v>636.191055680403</v>
      </c>
      <c r="N121" s="203">
        <f t="shared" si="32"/>
        <v>640.02620357546471</v>
      </c>
      <c r="O121" s="203">
        <f t="shared" si="32"/>
        <v>644.59121476644782</v>
      </c>
      <c r="P121" s="203">
        <f t="shared" si="32"/>
        <v>649.15915171575489</v>
      </c>
      <c r="Q121" s="203">
        <f t="shared" si="32"/>
        <v>675.30863279110008</v>
      </c>
      <c r="R121" s="203">
        <f t="shared" si="32"/>
        <v>663.74983868797972</v>
      </c>
      <c r="S121" s="203">
        <f t="shared" si="32"/>
        <v>652.00900275999948</v>
      </c>
      <c r="T121" s="203">
        <f t="shared" si="32"/>
        <v>639.3065601249823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9767.8368532800232</v>
      </c>
      <c r="AB121" s="607">
        <f t="shared" si="18"/>
        <v>4883.9184266400116</v>
      </c>
    </row>
    <row r="122" spans="1:28" s="199" customFormat="1">
      <c r="A122" s="199" t="s">
        <v>74</v>
      </c>
      <c r="F122" s="203">
        <f>-F115</f>
        <v>-1155.4000173957793</v>
      </c>
      <c r="G122" s="203">
        <f t="shared" ref="G122:Y122" si="33">-G115</f>
        <v>-1848.6400278332469</v>
      </c>
      <c r="H122" s="203">
        <f t="shared" si="33"/>
        <v>-1109.1840166999482</v>
      </c>
      <c r="I122" s="203">
        <f t="shared" si="33"/>
        <v>-665.51041001996884</v>
      </c>
      <c r="J122" s="203">
        <f t="shared" si="33"/>
        <v>-665.51041001996884</v>
      </c>
      <c r="K122" s="203">
        <f t="shared" si="33"/>
        <v>-332.75520500998442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-5777.0000869788964</v>
      </c>
      <c r="AB122" s="607">
        <f t="shared" si="18"/>
        <v>-2888.5000434894482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-343.165392394121</v>
      </c>
      <c r="G124" s="203">
        <f t="shared" ref="G124:Y124" si="35">SUM(G121:G123)</f>
        <v>-1228.7104709704854</v>
      </c>
      <c r="H124" s="203">
        <f t="shared" si="35"/>
        <v>-479.09483203425521</v>
      </c>
      <c r="I124" s="203">
        <f t="shared" si="35"/>
        <v>-35.485787090560393</v>
      </c>
      <c r="J124" s="203">
        <f t="shared" si="35"/>
        <v>-21.284805262535087</v>
      </c>
      <c r="K124" s="203">
        <f t="shared" si="35"/>
        <v>282.87411750930067</v>
      </c>
      <c r="L124" s="203">
        <f t="shared" si="35"/>
        <v>615.36227644165137</v>
      </c>
      <c r="M124" s="203">
        <f t="shared" si="35"/>
        <v>636.191055680403</v>
      </c>
      <c r="N124" s="203">
        <f t="shared" si="35"/>
        <v>640.02620357546471</v>
      </c>
      <c r="O124" s="203">
        <f t="shared" si="35"/>
        <v>644.59121476644782</v>
      </c>
      <c r="P124" s="203">
        <f t="shared" si="35"/>
        <v>649.15915171575489</v>
      </c>
      <c r="Q124" s="203">
        <f t="shared" si="35"/>
        <v>675.30863279110008</v>
      </c>
      <c r="R124" s="203">
        <f t="shared" si="35"/>
        <v>663.74983868797972</v>
      </c>
      <c r="S124" s="203">
        <f t="shared" si="35"/>
        <v>652.00900275999948</v>
      </c>
      <c r="T124" s="203">
        <f t="shared" si="35"/>
        <v>639.3065601249823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3990.8367663011272</v>
      </c>
      <c r="AB124" s="607">
        <f t="shared" si="18"/>
        <v>1995.4183831505636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17.158269619706051</v>
      </c>
      <c r="G126" s="203">
        <f t="shared" ref="G126:Y126" si="36">-G124*$C$126</f>
        <v>61.435523548524273</v>
      </c>
      <c r="H126" s="203">
        <f t="shared" si="36"/>
        <v>23.954741601712762</v>
      </c>
      <c r="I126" s="203">
        <f t="shared" si="36"/>
        <v>1.7742893545280198</v>
      </c>
      <c r="J126" s="203">
        <f t="shared" si="36"/>
        <v>1.0642402631267545</v>
      </c>
      <c r="K126" s="203">
        <f t="shared" si="36"/>
        <v>-14.143705875465034</v>
      </c>
      <c r="L126" s="203">
        <f t="shared" si="36"/>
        <v>-30.768113822082569</v>
      </c>
      <c r="M126" s="203">
        <f t="shared" si="36"/>
        <v>-31.809552784020152</v>
      </c>
      <c r="N126" s="203">
        <f t="shared" si="36"/>
        <v>-32.001310178773238</v>
      </c>
      <c r="O126" s="203">
        <f t="shared" si="36"/>
        <v>-32.229560738322391</v>
      </c>
      <c r="P126" s="203">
        <f t="shared" si="36"/>
        <v>-32.457957585787746</v>
      </c>
      <c r="Q126" s="203">
        <f t="shared" si="36"/>
        <v>-33.765431639555004</v>
      </c>
      <c r="R126" s="203">
        <f t="shared" si="36"/>
        <v>-33.187491934398984</v>
      </c>
      <c r="S126" s="203">
        <f t="shared" si="36"/>
        <v>-32.600450137999978</v>
      </c>
      <c r="T126" s="203">
        <f t="shared" si="36"/>
        <v>-31.965328006249116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-199.54183831505637</v>
      </c>
      <c r="AB126" s="607">
        <f t="shared" si="18"/>
        <v>-99.770919157528184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114.10249297104522</v>
      </c>
      <c r="G127" s="203">
        <f t="shared" ref="G127:Y127" si="37">-(G124+G126)*$C$127</f>
        <v>408.54623159768636</v>
      </c>
      <c r="H127" s="203">
        <f t="shared" si="37"/>
        <v>159.29903165138984</v>
      </c>
      <c r="I127" s="203">
        <f t="shared" si="37"/>
        <v>11.799024207611328</v>
      </c>
      <c r="J127" s="203">
        <f t="shared" si="37"/>
        <v>7.0771977497929157</v>
      </c>
      <c r="K127" s="203">
        <f t="shared" si="37"/>
        <v>-94.055644071842465</v>
      </c>
      <c r="L127" s="203">
        <f t="shared" si="37"/>
        <v>-204.60795691684908</v>
      </c>
      <c r="M127" s="203">
        <f t="shared" si="37"/>
        <v>-211.53352601373396</v>
      </c>
      <c r="N127" s="203">
        <f t="shared" si="37"/>
        <v>-212.80871268884201</v>
      </c>
      <c r="O127" s="203">
        <f t="shared" si="37"/>
        <v>-214.3265789098439</v>
      </c>
      <c r="P127" s="203">
        <f t="shared" si="37"/>
        <v>-215.84541794548849</v>
      </c>
      <c r="Q127" s="203">
        <f t="shared" si="37"/>
        <v>-224.54012040304076</v>
      </c>
      <c r="R127" s="203">
        <f t="shared" si="37"/>
        <v>-220.69682136375326</v>
      </c>
      <c r="S127" s="203">
        <f t="shared" si="37"/>
        <v>-216.79299341769982</v>
      </c>
      <c r="T127" s="203">
        <f t="shared" si="37"/>
        <v>-212.5694312415566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-1326.9532247951247</v>
      </c>
      <c r="AB127" s="607">
        <f t="shared" si="18"/>
        <v>-663.47661239756235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191.18869046926199</v>
      </c>
      <c r="G144" s="220">
        <f t="shared" ref="G144:Y144" si="46">G76</f>
        <v>131.81450068137764</v>
      </c>
      <c r="H144" s="220">
        <f t="shared" si="46"/>
        <v>134.9512857655327</v>
      </c>
      <c r="I144" s="220">
        <f t="shared" si="46"/>
        <v>134.93135232945485</v>
      </c>
      <c r="J144" s="220">
        <f t="shared" si="46"/>
        <v>139.31590546885769</v>
      </c>
      <c r="K144" s="220">
        <f t="shared" si="46"/>
        <v>130.48680332782928</v>
      </c>
      <c r="L144" s="220">
        <f t="shared" si="46"/>
        <v>130.40435285135987</v>
      </c>
      <c r="M144" s="220">
        <f t="shared" si="46"/>
        <v>136.83523844132444</v>
      </c>
      <c r="N144" s="220">
        <f t="shared" si="46"/>
        <v>138.01934035392475</v>
      </c>
      <c r="O144" s="220">
        <f t="shared" si="46"/>
        <v>139.42878755914074</v>
      </c>
      <c r="P144" s="220">
        <f t="shared" si="46"/>
        <v>140.83913809223932</v>
      </c>
      <c r="Q144" s="220">
        <f t="shared" si="46"/>
        <v>148.91279037425215</v>
      </c>
      <c r="R144" s="220">
        <f t="shared" si="46"/>
        <v>145.34401269491374</v>
      </c>
      <c r="S144" s="220">
        <f t="shared" si="46"/>
        <v>141.71902960214985</v>
      </c>
      <c r="T144" s="220">
        <f t="shared" si="46"/>
        <v>137.79715043858829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2121.9883784502076</v>
      </c>
      <c r="AB144" s="607">
        <f t="shared" si="39"/>
        <v>2121.9883784502076</v>
      </c>
    </row>
    <row r="145" spans="1:28" s="199" customFormat="1">
      <c r="A145" s="124" t="s">
        <v>91</v>
      </c>
      <c r="F145" s="213">
        <f>F142+F144</f>
        <v>191.18869046926199</v>
      </c>
      <c r="G145" s="213">
        <f t="shared" ref="G145:Y145" si="47">G142+G144</f>
        <v>131.81450068137764</v>
      </c>
      <c r="H145" s="213">
        <f t="shared" si="47"/>
        <v>134.9512857655327</v>
      </c>
      <c r="I145" s="213">
        <f t="shared" si="47"/>
        <v>134.93135232945485</v>
      </c>
      <c r="J145" s="213">
        <f t="shared" si="47"/>
        <v>139.31590546885769</v>
      </c>
      <c r="K145" s="213">
        <f t="shared" si="47"/>
        <v>130.48680332782928</v>
      </c>
      <c r="L145" s="213">
        <f t="shared" si="47"/>
        <v>130.40435285135987</v>
      </c>
      <c r="M145" s="213">
        <f t="shared" si="47"/>
        <v>136.83523844132444</v>
      </c>
      <c r="N145" s="213">
        <f t="shared" si="47"/>
        <v>138.01934035392475</v>
      </c>
      <c r="O145" s="213">
        <f t="shared" si="47"/>
        <v>139.42878755914074</v>
      </c>
      <c r="P145" s="213">
        <f t="shared" si="47"/>
        <v>140.83913809223932</v>
      </c>
      <c r="Q145" s="213">
        <f t="shared" si="47"/>
        <v>148.91279037425215</v>
      </c>
      <c r="R145" s="213">
        <f t="shared" si="47"/>
        <v>145.34401269491374</v>
      </c>
      <c r="S145" s="213">
        <f t="shared" si="47"/>
        <v>141.71902960214985</v>
      </c>
      <c r="T145" s="213">
        <f t="shared" si="47"/>
        <v>137.79715043858829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2121.9883784502076</v>
      </c>
      <c r="AB145" s="607">
        <f t="shared" si="39"/>
        <v>2121.9883784502076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3209.4444927660534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3209.4444927660534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157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[26]Financials!H$11</f>
        <v>2118.4114910989865</v>
      </c>
      <c r="F10" s="336">
        <f>[26]Financials!I$11</f>
        <v>2942.2381820819255</v>
      </c>
      <c r="G10" s="336">
        <f>[26]Financials!J$11</f>
        <v>2942.2381820819255</v>
      </c>
      <c r="H10" s="336">
        <f>[26]Financials!K$11</f>
        <v>2942.2381820819255</v>
      </c>
      <c r="I10" s="336">
        <f>[26]Financials!L$11</f>
        <v>2942.2381820819255</v>
      </c>
      <c r="J10" s="336">
        <f>[26]Financials!M$11</f>
        <v>2942.2381820819255</v>
      </c>
      <c r="K10" s="336">
        <f>[26]Financials!N$11</f>
        <v>2942.2381820819255</v>
      </c>
      <c r="L10" s="336">
        <f>[26]Financials!O$11</f>
        <v>2942.2381820819255</v>
      </c>
      <c r="M10" s="336">
        <f>[26]Financials!P$11</f>
        <v>2942.2381820819255</v>
      </c>
      <c r="N10" s="336">
        <f>[26]Financials!Q$11</f>
        <v>2942.2381820819255</v>
      </c>
      <c r="O10" s="336">
        <f>[26]Financials!R$11</f>
        <v>2942.2381820819255</v>
      </c>
      <c r="P10" s="336">
        <f>[26]Financials!S$11</f>
        <v>2942.2381820819255</v>
      </c>
      <c r="Q10" s="336">
        <f>[26]Financials!T$11</f>
        <v>2942.2381820819255</v>
      </c>
      <c r="R10" s="336">
        <f>[26]Financials!U$11</f>
        <v>2942.2381820819255</v>
      </c>
      <c r="S10" s="336">
        <f>[26]Financials!V$11</f>
        <v>2942.2381820819255</v>
      </c>
      <c r="T10" s="336">
        <f>[26]Financials!W$11</f>
        <v>2942.2381820819255</v>
      </c>
      <c r="U10" s="336">
        <f>[26]Financials!X$11</f>
        <v>2942.2381820819255</v>
      </c>
      <c r="V10" s="336">
        <f>[26]Financials!Y$11</f>
        <v>2942.2381820819255</v>
      </c>
      <c r="W10" s="336">
        <f>[26]Financials!Z$11</f>
        <v>2942.2381820819255</v>
      </c>
      <c r="X10" s="336">
        <f>[26]Financials!AA$11</f>
        <v>2942.2381820819255</v>
      </c>
      <c r="Y10" s="336">
        <f>[26]Financials!AB$11</f>
        <v>0</v>
      </c>
      <c r="AA10" s="606">
        <f t="shared" ref="AA10:AA38" si="1">SUM(F10:Y10)</f>
        <v>55902.5254595566</v>
      </c>
      <c r="AB10" s="607">
        <f>AA10*$C$60</f>
        <v>27951.2627297783</v>
      </c>
    </row>
    <row r="11" spans="1:28">
      <c r="A11" s="4" t="s">
        <v>9</v>
      </c>
      <c r="B11" s="12"/>
      <c r="C11" s="12"/>
      <c r="D11" s="90">
        <v>1</v>
      </c>
      <c r="E11" s="336">
        <f>[26]Financials!H$10</f>
        <v>1968.1034151492802</v>
      </c>
      <c r="F11" s="336">
        <f>[26]Financials!I$10</f>
        <v>2821.6059986958726</v>
      </c>
      <c r="G11" s="336">
        <f>[26]Financials!J$10</f>
        <v>2893.6673400081454</v>
      </c>
      <c r="H11" s="336">
        <f>[26]Financials!K$10</f>
        <v>3024.6332678715535</v>
      </c>
      <c r="I11" s="336">
        <f>[26]Financials!L$10</f>
        <v>3130.1794909550044</v>
      </c>
      <c r="J11" s="336">
        <f>[26]Financials!M$10</f>
        <v>3276.5028044477385</v>
      </c>
      <c r="K11" s="336">
        <f>[26]Financials!N$10</f>
        <v>3409.7418824920778</v>
      </c>
      <c r="L11" s="336">
        <f>[26]Financials!O$10</f>
        <v>3547.6758216808621</v>
      </c>
      <c r="M11" s="336">
        <f>[26]Financials!P$10</f>
        <v>3726.4028818467368</v>
      </c>
      <c r="N11" s="336">
        <f>[26]Financials!Q$10</f>
        <v>3858.6492669020272</v>
      </c>
      <c r="O11" s="336">
        <f>[26]Financials!R$10</f>
        <v>3996.2565938131265</v>
      </c>
      <c r="P11" s="336">
        <f>[26]Financials!S$10</f>
        <v>4137.4999511861133</v>
      </c>
      <c r="Q11" s="336">
        <f>[26]Financials!T$10</f>
        <v>4342.9021080755738</v>
      </c>
      <c r="R11" s="336">
        <f>[26]Financials!U$10</f>
        <v>4445.3798365067851</v>
      </c>
      <c r="S11" s="336">
        <f>[26]Financials!V$10</f>
        <v>4551.062582422328</v>
      </c>
      <c r="T11" s="336">
        <f>[26]Financials!W$10</f>
        <v>4658.034894260205</v>
      </c>
      <c r="U11" s="336">
        <f>[26]Financials!X$10</f>
        <v>4768.1421270123392</v>
      </c>
      <c r="V11" s="336">
        <f>[26]Financials!Y$10</f>
        <v>4906.418248695697</v>
      </c>
      <c r="W11" s="336">
        <f>[26]Financials!Z$10</f>
        <v>5048.7043779078722</v>
      </c>
      <c r="X11" s="336">
        <f>[26]Financials!AA$10</f>
        <v>5195.1168048671989</v>
      </c>
      <c r="Y11" s="336">
        <f>[26]Financials!AB$10</f>
        <v>0</v>
      </c>
      <c r="AA11" s="606">
        <f t="shared" si="1"/>
        <v>75738.57627964727</v>
      </c>
      <c r="AB11" s="607">
        <f t="shared" ref="AB11:AB74" si="2">AA11*$C$60</f>
        <v>37869.288139823635</v>
      </c>
    </row>
    <row r="12" spans="1:28">
      <c r="A12" s="4" t="s">
        <v>10</v>
      </c>
      <c r="B12" s="12"/>
      <c r="C12" s="12"/>
      <c r="D12" s="90">
        <v>1</v>
      </c>
      <c r="E12" s="336">
        <f>[26]Financials!H$13</f>
        <v>422.4384</v>
      </c>
      <c r="F12" s="336">
        <f>[26]Financials!I$13</f>
        <v>433.714</v>
      </c>
      <c r="G12" s="336">
        <f>[26]Financials!J$13</f>
        <v>0</v>
      </c>
      <c r="H12" s="336">
        <f>[26]Financials!K$13</f>
        <v>0</v>
      </c>
      <c r="I12" s="336">
        <f>[26]Financials!L$13</f>
        <v>0</v>
      </c>
      <c r="J12" s="336">
        <f>[26]Financials!M$13</f>
        <v>0</v>
      </c>
      <c r="K12" s="336">
        <f>[26]Financials!N$13</f>
        <v>0</v>
      </c>
      <c r="L12" s="336">
        <f>[26]Financials!O$13</f>
        <v>0</v>
      </c>
      <c r="M12" s="336">
        <f>[26]Financials!P$13</f>
        <v>0</v>
      </c>
      <c r="N12" s="336">
        <f>[26]Financials!Q$13</f>
        <v>0</v>
      </c>
      <c r="O12" s="336">
        <f>[26]Financials!R$13</f>
        <v>0</v>
      </c>
      <c r="P12" s="336">
        <f>[26]Financials!S$13</f>
        <v>0</v>
      </c>
      <c r="Q12" s="336">
        <f>[26]Financials!T$13</f>
        <v>0</v>
      </c>
      <c r="R12" s="336">
        <f>[26]Financials!U$13</f>
        <v>0</v>
      </c>
      <c r="S12" s="336">
        <f>[26]Financials!V$13</f>
        <v>0</v>
      </c>
      <c r="T12" s="336">
        <f>[26]Financials!W$13</f>
        <v>0</v>
      </c>
      <c r="U12" s="336">
        <f>[26]Financials!X$13</f>
        <v>0</v>
      </c>
      <c r="V12" s="336">
        <f>[26]Financials!Y$13</f>
        <v>0</v>
      </c>
      <c r="W12" s="336">
        <f>[26]Financials!Z$13</f>
        <v>0</v>
      </c>
      <c r="X12" s="336">
        <f>[26]Financials!AA$13</f>
        <v>0</v>
      </c>
      <c r="Y12" s="336">
        <f>[26]Financials!AB$13</f>
        <v>0</v>
      </c>
      <c r="AA12" s="606">
        <f t="shared" si="1"/>
        <v>433.714</v>
      </c>
      <c r="AB12" s="607">
        <f t="shared" si="2"/>
        <v>216.857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4508.9533062482669</v>
      </c>
      <c r="F20" s="90">
        <f t="shared" si="3"/>
        <v>6197.558180777798</v>
      </c>
      <c r="G20" s="90">
        <f t="shared" si="3"/>
        <v>5835.9055220900709</v>
      </c>
      <c r="H20" s="90">
        <f t="shared" si="3"/>
        <v>5966.871449953479</v>
      </c>
      <c r="I20" s="90">
        <f t="shared" si="3"/>
        <v>6072.41767303693</v>
      </c>
      <c r="J20" s="90">
        <f t="shared" si="3"/>
        <v>6218.740986529664</v>
      </c>
      <c r="K20" s="90">
        <f t="shared" si="3"/>
        <v>6351.9800645740033</v>
      </c>
      <c r="L20" s="90">
        <f t="shared" si="3"/>
        <v>6489.9140037627876</v>
      </c>
      <c r="M20" s="90">
        <f t="shared" si="3"/>
        <v>6668.6410639286623</v>
      </c>
      <c r="N20" s="90">
        <f t="shared" si="3"/>
        <v>6800.8874489839527</v>
      </c>
      <c r="O20" s="90">
        <f t="shared" si="3"/>
        <v>6938.494775895052</v>
      </c>
      <c r="P20" s="90">
        <f t="shared" si="3"/>
        <v>7079.7381332680388</v>
      </c>
      <c r="Q20" s="90">
        <f t="shared" si="3"/>
        <v>7285.1402901574993</v>
      </c>
      <c r="R20" s="90">
        <f t="shared" si="3"/>
        <v>7387.6180185887106</v>
      </c>
      <c r="S20" s="90">
        <f t="shared" si="3"/>
        <v>7493.3007645042535</v>
      </c>
      <c r="T20" s="90">
        <f t="shared" si="3"/>
        <v>7600.2730763421305</v>
      </c>
      <c r="U20" s="90">
        <f t="shared" si="3"/>
        <v>7710.3803090942647</v>
      </c>
      <c r="V20" s="90">
        <f t="shared" si="3"/>
        <v>7848.6564307776225</v>
      </c>
      <c r="W20" s="90">
        <f t="shared" si="3"/>
        <v>7990.9425599897977</v>
      </c>
      <c r="X20" s="90">
        <f t="shared" si="3"/>
        <v>8137.3549869491244</v>
      </c>
      <c r="Y20" s="90">
        <f t="shared" si="3"/>
        <v>0</v>
      </c>
      <c r="AA20" s="606">
        <f t="shared" si="1"/>
        <v>132074.81573920383</v>
      </c>
      <c r="AB20" s="607">
        <f t="shared" si="2"/>
        <v>66037.407869601913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[26]Financials!H$29</f>
        <v>2578.8772338268359</v>
      </c>
      <c r="F25" s="336">
        <f>[26]Financials!I$29</f>
        <v>3790.3554669401146</v>
      </c>
      <c r="G25" s="336">
        <f>[26]Financials!J$29</f>
        <v>3831.7675267739783</v>
      </c>
      <c r="H25" s="336">
        <f>[26]Financials!K$29</f>
        <v>3923.4437288440904</v>
      </c>
      <c r="I25" s="336">
        <f>[26]Financials!L$29</f>
        <v>4014.7764995625389</v>
      </c>
      <c r="J25" s="336">
        <f>[26]Financials!M$29</f>
        <v>4111.718094194106</v>
      </c>
      <c r="K25" s="336">
        <f>[26]Financials!N$29</f>
        <v>4210.7479378162834</v>
      </c>
      <c r="L25" s="336">
        <f>[26]Financials!O$29</f>
        <v>4312.9551070487523</v>
      </c>
      <c r="M25" s="336">
        <f>[26]Financials!P$29</f>
        <v>4422.8977661390381</v>
      </c>
      <c r="N25" s="336">
        <f>[26]Financials!Q$29</f>
        <v>4531.9935212586988</v>
      </c>
      <c r="O25" s="336">
        <f>[26]Financials!R$29</f>
        <v>4645.4716235188389</v>
      </c>
      <c r="P25" s="336">
        <f>[26]Financials!S$29</f>
        <v>4763.5060533654969</v>
      </c>
      <c r="Q25" s="336">
        <f>[26]Financials!T$29</f>
        <v>4892.9867297704141</v>
      </c>
      <c r="R25" s="336">
        <f>[26]Financials!U$29</f>
        <v>5017.7697048489235</v>
      </c>
      <c r="S25" s="336">
        <f>[26]Financials!V$29</f>
        <v>5148.5023856663774</v>
      </c>
      <c r="T25" s="336">
        <f>[26]Financials!W$29</f>
        <v>5285.6363357801347</v>
      </c>
      <c r="U25" s="336">
        <f>[26]Financials!X$29</f>
        <v>5430.0938523327613</v>
      </c>
      <c r="V25" s="336">
        <f>[26]Financials!Y$29</f>
        <v>5468.7656981480341</v>
      </c>
      <c r="W25" s="336">
        <f>[26]Financials!Z$29</f>
        <v>5508.5300274919518</v>
      </c>
      <c r="X25" s="336">
        <f>[26]Financials!AA$29</f>
        <v>5549.4185223868399</v>
      </c>
      <c r="Y25" s="336">
        <f>[26]Financials!AB$29</f>
        <v>0</v>
      </c>
      <c r="AA25" s="606">
        <f t="shared" si="1"/>
        <v>88861.336581887386</v>
      </c>
      <c r="AB25" s="607">
        <f t="shared" si="2"/>
        <v>44430.668290943693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2578.8772338268359</v>
      </c>
      <c r="F36" s="90">
        <f t="shared" si="4"/>
        <v>3790.3554669401146</v>
      </c>
      <c r="G36" s="90">
        <f t="shared" si="4"/>
        <v>3831.7675267739783</v>
      </c>
      <c r="H36" s="90">
        <f t="shared" si="4"/>
        <v>3923.4437288440904</v>
      </c>
      <c r="I36" s="90">
        <f t="shared" si="4"/>
        <v>4014.7764995625389</v>
      </c>
      <c r="J36" s="90">
        <f t="shared" si="4"/>
        <v>4111.718094194106</v>
      </c>
      <c r="K36" s="90">
        <f t="shared" si="4"/>
        <v>4210.7479378162834</v>
      </c>
      <c r="L36" s="90">
        <f t="shared" si="4"/>
        <v>4312.9551070487523</v>
      </c>
      <c r="M36" s="90">
        <f t="shared" si="4"/>
        <v>4422.8977661390381</v>
      </c>
      <c r="N36" s="90">
        <f t="shared" si="4"/>
        <v>4531.9935212586988</v>
      </c>
      <c r="O36" s="90">
        <f t="shared" si="4"/>
        <v>4645.4716235188389</v>
      </c>
      <c r="P36" s="90">
        <f t="shared" si="4"/>
        <v>4763.5060533654969</v>
      </c>
      <c r="Q36" s="90">
        <f t="shared" si="4"/>
        <v>4892.9867297704141</v>
      </c>
      <c r="R36" s="90">
        <f t="shared" si="4"/>
        <v>5017.7697048489235</v>
      </c>
      <c r="S36" s="90">
        <f t="shared" si="4"/>
        <v>5148.5023856663774</v>
      </c>
      <c r="T36" s="90">
        <f t="shared" si="4"/>
        <v>5285.6363357801347</v>
      </c>
      <c r="U36" s="90">
        <f t="shared" si="4"/>
        <v>5430.0938523327613</v>
      </c>
      <c r="V36" s="90">
        <f t="shared" si="4"/>
        <v>5468.7656981480341</v>
      </c>
      <c r="W36" s="90">
        <f t="shared" si="4"/>
        <v>5508.5300274919518</v>
      </c>
      <c r="X36" s="90">
        <f t="shared" si="4"/>
        <v>5549.4185223868399</v>
      </c>
      <c r="Y36" s="90">
        <f t="shared" si="4"/>
        <v>0</v>
      </c>
      <c r="AA36" s="606">
        <f t="shared" si="1"/>
        <v>88861.336581887386</v>
      </c>
      <c r="AB36" s="607">
        <f t="shared" si="2"/>
        <v>44430.668290943693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1930.076072421431</v>
      </c>
      <c r="F39" s="93">
        <f t="shared" si="5"/>
        <v>2407.2027138376834</v>
      </c>
      <c r="G39" s="93">
        <f t="shared" si="5"/>
        <v>2004.1379953160927</v>
      </c>
      <c r="H39" s="93">
        <f t="shared" si="5"/>
        <v>2043.4277211093886</v>
      </c>
      <c r="I39" s="93">
        <f t="shared" si="5"/>
        <v>2057.6411734743911</v>
      </c>
      <c r="J39" s="93">
        <f t="shared" si="5"/>
        <v>2107.022892335558</v>
      </c>
      <c r="K39" s="93">
        <f t="shared" si="5"/>
        <v>2141.2321267577199</v>
      </c>
      <c r="L39" s="93">
        <f t="shared" si="5"/>
        <v>2176.9588967140353</v>
      </c>
      <c r="M39" s="93">
        <f t="shared" si="5"/>
        <v>2245.7432977896242</v>
      </c>
      <c r="N39" s="93">
        <f t="shared" si="5"/>
        <v>2268.8939277252539</v>
      </c>
      <c r="O39" s="93">
        <f t="shared" si="5"/>
        <v>2293.0231523762131</v>
      </c>
      <c r="P39" s="93">
        <f t="shared" si="5"/>
        <v>2316.232079902542</v>
      </c>
      <c r="Q39" s="93">
        <f t="shared" si="5"/>
        <v>2392.1535603870852</v>
      </c>
      <c r="R39" s="93">
        <f t="shared" si="5"/>
        <v>2369.848313739787</v>
      </c>
      <c r="S39" s="93">
        <f t="shared" si="5"/>
        <v>2344.798378837876</v>
      </c>
      <c r="T39" s="93">
        <f t="shared" si="5"/>
        <v>2314.6367405619958</v>
      </c>
      <c r="U39" s="93">
        <f t="shared" si="5"/>
        <v>2280.2864567615034</v>
      </c>
      <c r="V39" s="93">
        <f t="shared" si="5"/>
        <v>2379.8907326295885</v>
      </c>
      <c r="W39" s="93">
        <f t="shared" si="5"/>
        <v>2482.4125324978459</v>
      </c>
      <c r="X39" s="93">
        <f t="shared" si="5"/>
        <v>2587.9364645622845</v>
      </c>
      <c r="Y39" s="93">
        <f t="shared" si="5"/>
        <v>0</v>
      </c>
      <c r="AA39" s="606">
        <f>SUM(F39:Y39)</f>
        <v>43213.479157316469</v>
      </c>
      <c r="AB39" s="607">
        <f t="shared" si="2"/>
        <v>21606.739578658235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673</v>
      </c>
      <c r="G41" s="90">
        <f t="shared" ref="G41:Y41" si="7">+G109</f>
        <v>673</v>
      </c>
      <c r="H41" s="90">
        <f t="shared" si="7"/>
        <v>673</v>
      </c>
      <c r="I41" s="90">
        <f t="shared" si="7"/>
        <v>673</v>
      </c>
      <c r="J41" s="90">
        <f t="shared" si="7"/>
        <v>673</v>
      </c>
      <c r="K41" s="90">
        <f t="shared" si="7"/>
        <v>673</v>
      </c>
      <c r="L41" s="90">
        <f t="shared" si="7"/>
        <v>673</v>
      </c>
      <c r="M41" s="90">
        <f t="shared" si="7"/>
        <v>673</v>
      </c>
      <c r="N41" s="90">
        <f t="shared" si="7"/>
        <v>673</v>
      </c>
      <c r="O41" s="90">
        <f t="shared" si="7"/>
        <v>673</v>
      </c>
      <c r="P41" s="90">
        <f t="shared" si="7"/>
        <v>673</v>
      </c>
      <c r="Q41" s="90">
        <f t="shared" si="7"/>
        <v>673</v>
      </c>
      <c r="R41" s="90">
        <f t="shared" si="7"/>
        <v>673</v>
      </c>
      <c r="S41" s="90">
        <f t="shared" si="7"/>
        <v>673</v>
      </c>
      <c r="T41" s="90">
        <f t="shared" si="7"/>
        <v>673</v>
      </c>
      <c r="U41" s="90">
        <f t="shared" si="7"/>
        <v>673</v>
      </c>
      <c r="V41" s="90">
        <f t="shared" si="7"/>
        <v>673</v>
      </c>
      <c r="W41" s="90">
        <f t="shared" si="7"/>
        <v>673</v>
      </c>
      <c r="X41" s="90">
        <f t="shared" si="7"/>
        <v>673</v>
      </c>
      <c r="Y41" s="90">
        <f t="shared" si="7"/>
        <v>0</v>
      </c>
      <c r="AA41" s="606">
        <f t="shared" si="6"/>
        <v>12787</v>
      </c>
      <c r="AB41" s="607">
        <f t="shared" si="2"/>
        <v>6393.5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1930.076072421431</v>
      </c>
      <c r="F44" s="93">
        <f t="shared" si="8"/>
        <v>1734.2027138376834</v>
      </c>
      <c r="G44" s="93">
        <f t="shared" si="8"/>
        <v>1331.1379953160927</v>
      </c>
      <c r="H44" s="93">
        <f t="shared" si="8"/>
        <v>1370.4277211093886</v>
      </c>
      <c r="I44" s="93">
        <f t="shared" si="8"/>
        <v>1384.6411734743911</v>
      </c>
      <c r="J44" s="93">
        <f t="shared" si="8"/>
        <v>1434.022892335558</v>
      </c>
      <c r="K44" s="93">
        <f t="shared" si="8"/>
        <v>1468.2321267577199</v>
      </c>
      <c r="L44" s="93">
        <f t="shared" si="8"/>
        <v>1503.9588967140353</v>
      </c>
      <c r="M44" s="93">
        <f t="shared" si="8"/>
        <v>1572.7432977896242</v>
      </c>
      <c r="N44" s="93">
        <f t="shared" si="8"/>
        <v>1595.8939277252539</v>
      </c>
      <c r="O44" s="93">
        <f t="shared" si="8"/>
        <v>1620.0231523762131</v>
      </c>
      <c r="P44" s="93">
        <f t="shared" si="8"/>
        <v>1643.232079902542</v>
      </c>
      <c r="Q44" s="93">
        <f t="shared" si="8"/>
        <v>1719.1535603870852</v>
      </c>
      <c r="R44" s="93">
        <f t="shared" si="8"/>
        <v>1696.848313739787</v>
      </c>
      <c r="S44" s="93">
        <f t="shared" si="8"/>
        <v>1671.798378837876</v>
      </c>
      <c r="T44" s="93">
        <f t="shared" si="8"/>
        <v>1641.6367405619958</v>
      </c>
      <c r="U44" s="93">
        <f t="shared" si="8"/>
        <v>1607.2864567615034</v>
      </c>
      <c r="V44" s="93">
        <f t="shared" si="8"/>
        <v>1706.8907326295885</v>
      </c>
      <c r="W44" s="93">
        <f t="shared" si="8"/>
        <v>1809.4125324978459</v>
      </c>
      <c r="X44" s="93">
        <f t="shared" si="8"/>
        <v>1914.9364645622845</v>
      </c>
      <c r="Y44" s="93">
        <f t="shared" si="8"/>
        <v>0</v>
      </c>
      <c r="AA44" s="606">
        <f t="shared" si="6"/>
        <v>30426.479157316469</v>
      </c>
      <c r="AB44" s="607">
        <f t="shared" si="2"/>
        <v>15213.239578658235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1930.076072421431</v>
      </c>
      <c r="F49" s="93">
        <f t="shared" si="9"/>
        <v>1734.2027138376834</v>
      </c>
      <c r="G49" s="93">
        <f t="shared" si="9"/>
        <v>1331.1379953160927</v>
      </c>
      <c r="H49" s="93">
        <f t="shared" si="9"/>
        <v>1370.4277211093886</v>
      </c>
      <c r="I49" s="93">
        <f t="shared" si="9"/>
        <v>1384.6411734743911</v>
      </c>
      <c r="J49" s="93">
        <f t="shared" si="9"/>
        <v>1434.022892335558</v>
      </c>
      <c r="K49" s="93">
        <f t="shared" si="9"/>
        <v>1468.2321267577199</v>
      </c>
      <c r="L49" s="93">
        <f t="shared" si="9"/>
        <v>1503.9588967140353</v>
      </c>
      <c r="M49" s="93">
        <f t="shared" si="9"/>
        <v>1572.7432977896242</v>
      </c>
      <c r="N49" s="93">
        <f t="shared" si="9"/>
        <v>1595.8939277252539</v>
      </c>
      <c r="O49" s="93">
        <f t="shared" si="9"/>
        <v>1620.0231523762131</v>
      </c>
      <c r="P49" s="93">
        <f t="shared" si="9"/>
        <v>1643.232079902542</v>
      </c>
      <c r="Q49" s="93">
        <f t="shared" si="9"/>
        <v>1719.1535603870852</v>
      </c>
      <c r="R49" s="93">
        <f t="shared" si="9"/>
        <v>1696.848313739787</v>
      </c>
      <c r="S49" s="93">
        <f t="shared" si="9"/>
        <v>1671.798378837876</v>
      </c>
      <c r="T49" s="93">
        <f t="shared" si="9"/>
        <v>1641.6367405619958</v>
      </c>
      <c r="U49" s="93">
        <f t="shared" si="9"/>
        <v>1607.2864567615034</v>
      </c>
      <c r="V49" s="93">
        <f t="shared" si="9"/>
        <v>1706.8907326295885</v>
      </c>
      <c r="W49" s="93">
        <f t="shared" si="9"/>
        <v>1809.4125324978459</v>
      </c>
      <c r="X49" s="93">
        <f t="shared" si="9"/>
        <v>1914.9364645622845</v>
      </c>
      <c r="Y49" s="93">
        <f t="shared" si="9"/>
        <v>0</v>
      </c>
      <c r="AA49" s="606">
        <f t="shared" si="6"/>
        <v>30426.479157316469</v>
      </c>
      <c r="AB49" s="607">
        <f t="shared" si="2"/>
        <v>15213.239578658235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-96.503803621071555</v>
      </c>
      <c r="F51" s="90">
        <f t="shared" si="10"/>
        <v>-86.710135691884176</v>
      </c>
      <c r="G51" s="55">
        <f t="shared" si="10"/>
        <v>-66.55689976580463</v>
      </c>
      <c r="H51" s="90">
        <f t="shared" si="10"/>
        <v>-68.521386055469435</v>
      </c>
      <c r="I51" s="90">
        <f t="shared" si="10"/>
        <v>-69.23205867371955</v>
      </c>
      <c r="J51" s="90">
        <f t="shared" si="10"/>
        <v>-71.70114461677791</v>
      </c>
      <c r="K51" s="90">
        <f t="shared" si="10"/>
        <v>-73.411606337885999</v>
      </c>
      <c r="L51" s="90">
        <f t="shared" si="10"/>
        <v>-75.197944835701762</v>
      </c>
      <c r="M51" s="90">
        <f t="shared" si="10"/>
        <v>-78.637164889481213</v>
      </c>
      <c r="N51" s="90">
        <f t="shared" si="10"/>
        <v>-79.7946963862627</v>
      </c>
      <c r="O51" s="90">
        <f t="shared" si="10"/>
        <v>-81.001157618810666</v>
      </c>
      <c r="P51" s="90">
        <f t="shared" si="10"/>
        <v>-82.161603995127109</v>
      </c>
      <c r="Q51" s="90">
        <f t="shared" si="10"/>
        <v>-85.957678019354262</v>
      </c>
      <c r="R51" s="90">
        <f t="shared" si="10"/>
        <v>-84.842415686989355</v>
      </c>
      <c r="S51" s="90">
        <f t="shared" si="10"/>
        <v>-83.589918941893814</v>
      </c>
      <c r="T51" s="90">
        <f t="shared" si="10"/>
        <v>-82.081837028099798</v>
      </c>
      <c r="U51" s="90">
        <f t="shared" si="10"/>
        <v>-80.364322838075168</v>
      </c>
      <c r="V51" s="90">
        <f t="shared" si="10"/>
        <v>-85.344536631479428</v>
      </c>
      <c r="W51" s="90">
        <f t="shared" si="10"/>
        <v>-90.470626624892304</v>
      </c>
      <c r="X51" s="90">
        <f t="shared" si="10"/>
        <v>-95.746823228114238</v>
      </c>
      <c r="Y51" s="90">
        <f t="shared" si="10"/>
        <v>0</v>
      </c>
      <c r="AA51" s="606">
        <f t="shared" si="6"/>
        <v>-1521.3239578658233</v>
      </c>
      <c r="AB51" s="607">
        <f t="shared" si="2"/>
        <v>-760.66197893291167</v>
      </c>
    </row>
    <row r="52" spans="1:28">
      <c r="A52" s="4" t="s">
        <v>29</v>
      </c>
      <c r="C52" s="341">
        <v>0.35</v>
      </c>
      <c r="D52" s="89"/>
      <c r="E52" s="89">
        <f>((E49+E51)*-$C$52)+E56</f>
        <v>-641.75029408012585</v>
      </c>
      <c r="F52" s="89">
        <f t="shared" ref="F52:Y52" si="11">((F49+F51)*-$C$52)+F56</f>
        <v>-576.62240235102968</v>
      </c>
      <c r="G52" s="89">
        <f t="shared" si="11"/>
        <v>-442.60338344260077</v>
      </c>
      <c r="H52" s="89">
        <f t="shared" si="11"/>
        <v>-455.66721726887164</v>
      </c>
      <c r="I52" s="89">
        <f t="shared" si="11"/>
        <v>-460.39319018023497</v>
      </c>
      <c r="J52" s="89">
        <f t="shared" si="11"/>
        <v>-476.81261170157302</v>
      </c>
      <c r="K52" s="89">
        <f t="shared" si="11"/>
        <v>-488.18718214694184</v>
      </c>
      <c r="L52" s="89">
        <f t="shared" si="11"/>
        <v>-500.06633315741669</v>
      </c>
      <c r="M52" s="89">
        <f t="shared" si="11"/>
        <v>-522.93714651505002</v>
      </c>
      <c r="N52" s="89">
        <f t="shared" si="11"/>
        <v>-530.63473096864686</v>
      </c>
      <c r="O52" s="89">
        <f t="shared" si="11"/>
        <v>-538.65769816509089</v>
      </c>
      <c r="P52" s="89">
        <f t="shared" si="11"/>
        <v>-546.37466656759523</v>
      </c>
      <c r="Q52" s="89">
        <f t="shared" si="11"/>
        <v>-571.61855882870577</v>
      </c>
      <c r="R52" s="89">
        <f t="shared" si="11"/>
        <v>-564.20206431847919</v>
      </c>
      <c r="S52" s="89">
        <f t="shared" si="11"/>
        <v>-555.87296096359375</v>
      </c>
      <c r="T52" s="89">
        <f t="shared" si="11"/>
        <v>-545.84421623686364</v>
      </c>
      <c r="U52" s="89">
        <f t="shared" si="11"/>
        <v>-534.4227468731998</v>
      </c>
      <c r="V52" s="89">
        <f t="shared" si="11"/>
        <v>-567.54116859933811</v>
      </c>
      <c r="W52" s="89">
        <f t="shared" si="11"/>
        <v>-601.62966705553367</v>
      </c>
      <c r="X52" s="89">
        <f t="shared" si="11"/>
        <v>-636.71637446695956</v>
      </c>
      <c r="Y52" s="89">
        <f t="shared" si="11"/>
        <v>0</v>
      </c>
      <c r="AA52" s="606">
        <f t="shared" si="6"/>
        <v>-10116.804319807725</v>
      </c>
      <c r="AB52" s="607">
        <f t="shared" si="2"/>
        <v>-5058.4021599038624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1191.8219747202338</v>
      </c>
      <c r="F54" s="93">
        <f t="shared" si="12"/>
        <v>1070.8701757947695</v>
      </c>
      <c r="G54" s="93">
        <f t="shared" si="12"/>
        <v>821.97771210768724</v>
      </c>
      <c r="H54" s="93">
        <f t="shared" si="12"/>
        <v>846.23911778504748</v>
      </c>
      <c r="I54" s="93">
        <f t="shared" si="12"/>
        <v>855.01592462043641</v>
      </c>
      <c r="J54" s="93">
        <f t="shared" si="12"/>
        <v>885.5091360172072</v>
      </c>
      <c r="K54" s="93">
        <f t="shared" si="12"/>
        <v>906.63333827289205</v>
      </c>
      <c r="L54" s="93">
        <f t="shared" si="12"/>
        <v>928.69461872091688</v>
      </c>
      <c r="M54" s="93">
        <f t="shared" si="12"/>
        <v>971.16898638509292</v>
      </c>
      <c r="N54" s="93">
        <f t="shared" si="12"/>
        <v>985.46450037034424</v>
      </c>
      <c r="O54" s="93">
        <f t="shared" si="12"/>
        <v>1000.3642965923117</v>
      </c>
      <c r="P54" s="93">
        <f t="shared" si="12"/>
        <v>1014.6958093398197</v>
      </c>
      <c r="Q54" s="93">
        <f t="shared" si="12"/>
        <v>1061.5773235390252</v>
      </c>
      <c r="R54" s="93">
        <f t="shared" si="12"/>
        <v>1047.8038337343185</v>
      </c>
      <c r="S54" s="93">
        <f t="shared" si="12"/>
        <v>1032.3354989323884</v>
      </c>
      <c r="T54" s="93">
        <f t="shared" si="12"/>
        <v>1013.7106872970325</v>
      </c>
      <c r="U54" s="93">
        <f t="shared" si="12"/>
        <v>992.49938705022839</v>
      </c>
      <c r="V54" s="93">
        <f t="shared" si="12"/>
        <v>1054.0050273987708</v>
      </c>
      <c r="W54" s="93">
        <f t="shared" si="12"/>
        <v>1117.3122388174199</v>
      </c>
      <c r="X54" s="93">
        <f t="shared" si="12"/>
        <v>1182.4732668672109</v>
      </c>
      <c r="Y54" s="93">
        <f t="shared" si="12"/>
        <v>0</v>
      </c>
      <c r="AA54" s="606">
        <f t="shared" si="6"/>
        <v>18788.350879642916</v>
      </c>
      <c r="AB54" s="607">
        <f t="shared" si="2"/>
        <v>9394.175439821458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1930.076072421431</v>
      </c>
      <c r="F64" s="20">
        <f t="shared" si="14"/>
        <v>2407.2027138376834</v>
      </c>
      <c r="G64" s="24">
        <f t="shared" si="14"/>
        <v>2004.1379953160927</v>
      </c>
      <c r="H64" s="20">
        <f t="shared" si="14"/>
        <v>2043.4277211093886</v>
      </c>
      <c r="I64" s="20">
        <f t="shared" si="14"/>
        <v>2057.6411734743911</v>
      </c>
      <c r="J64" s="20">
        <f t="shared" si="14"/>
        <v>2107.022892335558</v>
      </c>
      <c r="K64" s="20">
        <f t="shared" si="14"/>
        <v>2141.2321267577199</v>
      </c>
      <c r="L64" s="20">
        <f t="shared" si="14"/>
        <v>2176.9588967140353</v>
      </c>
      <c r="M64" s="20">
        <f t="shared" si="14"/>
        <v>2245.7432977896242</v>
      </c>
      <c r="N64" s="20">
        <f t="shared" si="14"/>
        <v>2268.8939277252539</v>
      </c>
      <c r="O64" s="20">
        <f t="shared" si="14"/>
        <v>2293.0231523762131</v>
      </c>
      <c r="P64" s="20">
        <f t="shared" si="14"/>
        <v>2316.232079902542</v>
      </c>
      <c r="Q64" s="20">
        <f t="shared" si="14"/>
        <v>2392.1535603870852</v>
      </c>
      <c r="R64" s="20">
        <f t="shared" si="14"/>
        <v>2369.848313739787</v>
      </c>
      <c r="S64" s="20">
        <f t="shared" si="14"/>
        <v>2344.798378837876</v>
      </c>
      <c r="T64" s="20">
        <f t="shared" si="14"/>
        <v>2314.6367405619958</v>
      </c>
      <c r="U64" s="20">
        <f t="shared" si="14"/>
        <v>2280.2864567615034</v>
      </c>
      <c r="V64" s="20">
        <f t="shared" si="14"/>
        <v>2379.8907326295885</v>
      </c>
      <c r="W64" s="20">
        <f t="shared" si="14"/>
        <v>2482.4125324978459</v>
      </c>
      <c r="X64" s="20">
        <f t="shared" si="14"/>
        <v>2587.9364645622845</v>
      </c>
      <c r="Y64" s="20">
        <f t="shared" si="14"/>
        <v>0</v>
      </c>
      <c r="AA64" s="606">
        <f t="shared" si="6"/>
        <v>43213.479157316469</v>
      </c>
      <c r="AB64" s="607">
        <f t="shared" si="2"/>
        <v>21606.739578658235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1930.076072421431</v>
      </c>
      <c r="F69" s="95">
        <f t="shared" si="15"/>
        <v>2407.2027138376834</v>
      </c>
      <c r="G69" s="95">
        <f t="shared" si="15"/>
        <v>2004.1379953160927</v>
      </c>
      <c r="H69" s="95">
        <f t="shared" si="15"/>
        <v>2043.4277211093886</v>
      </c>
      <c r="I69" s="95">
        <f t="shared" si="15"/>
        <v>2057.6411734743911</v>
      </c>
      <c r="J69" s="95">
        <f t="shared" si="15"/>
        <v>2107.022892335558</v>
      </c>
      <c r="K69" s="95">
        <f t="shared" si="15"/>
        <v>2141.2321267577199</v>
      </c>
      <c r="L69" s="95">
        <f t="shared" si="15"/>
        <v>2176.9588967140353</v>
      </c>
      <c r="M69" s="95">
        <f t="shared" si="15"/>
        <v>2245.7432977896242</v>
      </c>
      <c r="N69" s="95">
        <f t="shared" si="15"/>
        <v>2268.8939277252539</v>
      </c>
      <c r="O69" s="95">
        <f t="shared" si="15"/>
        <v>2293.0231523762131</v>
      </c>
      <c r="P69" s="95">
        <f t="shared" si="15"/>
        <v>2316.232079902542</v>
      </c>
      <c r="Q69" s="95">
        <f t="shared" si="15"/>
        <v>2392.1535603870852</v>
      </c>
      <c r="R69" s="95">
        <f t="shared" si="15"/>
        <v>2369.848313739787</v>
      </c>
      <c r="S69" s="95">
        <f t="shared" si="15"/>
        <v>2344.798378837876</v>
      </c>
      <c r="T69" s="95">
        <f t="shared" si="15"/>
        <v>2314.6367405619958</v>
      </c>
      <c r="U69" s="95">
        <f t="shared" si="15"/>
        <v>2280.2864567615034</v>
      </c>
      <c r="V69" s="95">
        <f t="shared" si="15"/>
        <v>2379.8907326295885</v>
      </c>
      <c r="W69" s="95">
        <f t="shared" si="15"/>
        <v>2482.4125324978459</v>
      </c>
      <c r="X69" s="95">
        <f t="shared" si="15"/>
        <v>2587.9364645622845</v>
      </c>
      <c r="Y69" s="95">
        <f t="shared" si="15"/>
        <v>0</v>
      </c>
      <c r="AA69" s="606">
        <f t="shared" si="6"/>
        <v>43213.479157316469</v>
      </c>
      <c r="AB69" s="607">
        <f t="shared" si="2"/>
        <v>21606.739578658235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624.70221772803461</v>
      </c>
      <c r="G71" s="100">
        <f t="shared" si="16"/>
        <v>1706.1488260251119</v>
      </c>
      <c r="H71" s="100">
        <f t="shared" si="16"/>
        <v>702.02786221576912</v>
      </c>
      <c r="I71" s="100">
        <f t="shared" si="16"/>
        <v>103.13563047011166</v>
      </c>
      <c r="J71" s="100">
        <f t="shared" si="16"/>
        <v>84.247123005715309</v>
      </c>
      <c r="K71" s="100">
        <f t="shared" si="16"/>
        <v>-373.92959882279473</v>
      </c>
      <c r="L71" s="100">
        <f t="shared" si="16"/>
        <v>-832.68677799311854</v>
      </c>
      <c r="M71" s="100">
        <f t="shared" si="16"/>
        <v>-858.99681140453129</v>
      </c>
      <c r="N71" s="100">
        <f t="shared" si="16"/>
        <v>-867.85192735490955</v>
      </c>
      <c r="O71" s="100">
        <f t="shared" si="16"/>
        <v>-877.08135578390159</v>
      </c>
      <c r="P71" s="100">
        <f t="shared" si="16"/>
        <v>-885.95877056272241</v>
      </c>
      <c r="Q71" s="100">
        <f t="shared" si="16"/>
        <v>-914.99873684806005</v>
      </c>
      <c r="R71" s="100">
        <f t="shared" si="16"/>
        <v>-906.4669800054686</v>
      </c>
      <c r="S71" s="100">
        <f t="shared" si="16"/>
        <v>-896.88537990548753</v>
      </c>
      <c r="T71" s="100">
        <f t="shared" si="16"/>
        <v>-885.34855326496324</v>
      </c>
      <c r="U71" s="100">
        <f t="shared" si="16"/>
        <v>-872.20956971127498</v>
      </c>
      <c r="V71" s="100">
        <f t="shared" si="16"/>
        <v>-910.30820523081752</v>
      </c>
      <c r="W71" s="100">
        <f t="shared" si="16"/>
        <v>-949.52279368042605</v>
      </c>
      <c r="X71" s="100">
        <f t="shared" si="16"/>
        <v>-989.88569769507387</v>
      </c>
      <c r="Y71" s="100">
        <f t="shared" si="16"/>
        <v>0</v>
      </c>
      <c r="AA71" s="606">
        <f t="shared" si="6"/>
        <v>-8801.8694988188072</v>
      </c>
      <c r="AB71" s="607">
        <f t="shared" si="2"/>
        <v>-4400.9347494094036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1930.076072421431</v>
      </c>
      <c r="F73" s="28">
        <f t="shared" si="17"/>
        <v>3031.904931565718</v>
      </c>
      <c r="G73" s="28">
        <f t="shared" si="17"/>
        <v>3710.2868213412048</v>
      </c>
      <c r="H73" s="28">
        <f t="shared" si="17"/>
        <v>2745.4555833251579</v>
      </c>
      <c r="I73" s="28">
        <f t="shared" si="17"/>
        <v>2160.7768039445027</v>
      </c>
      <c r="J73" s="28">
        <f t="shared" si="17"/>
        <v>2191.2700153412734</v>
      </c>
      <c r="K73" s="28">
        <f t="shared" si="17"/>
        <v>1767.3025279349251</v>
      </c>
      <c r="L73" s="28">
        <f t="shared" si="17"/>
        <v>1344.2721187209168</v>
      </c>
      <c r="M73" s="28">
        <f t="shared" si="17"/>
        <v>1386.7464863850928</v>
      </c>
      <c r="N73" s="28">
        <f t="shared" si="17"/>
        <v>1401.0420003703443</v>
      </c>
      <c r="O73" s="28">
        <f t="shared" si="17"/>
        <v>1415.9417965923117</v>
      </c>
      <c r="P73" s="28">
        <f t="shared" si="17"/>
        <v>1430.2733093398197</v>
      </c>
      <c r="Q73" s="28">
        <f t="shared" si="17"/>
        <v>1477.1548235390251</v>
      </c>
      <c r="R73" s="28">
        <f t="shared" si="17"/>
        <v>1463.3813337343186</v>
      </c>
      <c r="S73" s="28">
        <f t="shared" si="17"/>
        <v>1447.9129989323885</v>
      </c>
      <c r="T73" s="28">
        <f t="shared" si="17"/>
        <v>1429.2881872970324</v>
      </c>
      <c r="U73" s="28">
        <f t="shared" si="17"/>
        <v>1408.0768870502284</v>
      </c>
      <c r="V73" s="28">
        <f t="shared" si="17"/>
        <v>1469.5825273987709</v>
      </c>
      <c r="W73" s="28">
        <f t="shared" si="17"/>
        <v>1532.8897388174198</v>
      </c>
      <c r="X73" s="28">
        <f t="shared" si="17"/>
        <v>1598.0507668672108</v>
      </c>
      <c r="Y73" s="28">
        <f t="shared" si="17"/>
        <v>0</v>
      </c>
      <c r="AA73" s="606">
        <f t="shared" si="6"/>
        <v>34411.609658497662</v>
      </c>
      <c r="AB73" s="607">
        <f t="shared" si="2"/>
        <v>17205.804829248831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595.91098736011691</v>
      </c>
      <c r="F76" s="28">
        <f t="shared" si="19"/>
        <v>535.43508789738473</v>
      </c>
      <c r="G76" s="95">
        <f t="shared" si="19"/>
        <v>410.98885605384362</v>
      </c>
      <c r="H76" s="28">
        <f t="shared" si="19"/>
        <v>423.11955889252374</v>
      </c>
      <c r="I76" s="28">
        <f t="shared" si="19"/>
        <v>427.5079623102182</v>
      </c>
      <c r="J76" s="28">
        <f t="shared" si="19"/>
        <v>442.7545680086036</v>
      </c>
      <c r="K76" s="28">
        <f t="shared" si="19"/>
        <v>453.31666913644602</v>
      </c>
      <c r="L76" s="28">
        <f t="shared" si="19"/>
        <v>464.34730936045844</v>
      </c>
      <c r="M76" s="28">
        <f t="shared" si="19"/>
        <v>485.58449319254646</v>
      </c>
      <c r="N76" s="28">
        <f t="shared" si="19"/>
        <v>492.73225018517212</v>
      </c>
      <c r="O76" s="28">
        <f t="shared" si="19"/>
        <v>500.18214829615584</v>
      </c>
      <c r="P76" s="28">
        <f t="shared" si="19"/>
        <v>507.34790466990984</v>
      </c>
      <c r="Q76" s="28">
        <f t="shared" si="19"/>
        <v>530.7886617695126</v>
      </c>
      <c r="R76" s="28">
        <f t="shared" si="19"/>
        <v>523.90191686715923</v>
      </c>
      <c r="S76" s="28">
        <f t="shared" si="19"/>
        <v>516.16774946619421</v>
      </c>
      <c r="T76" s="28">
        <f t="shared" si="19"/>
        <v>506.85534364851623</v>
      </c>
      <c r="U76" s="28">
        <f t="shared" si="19"/>
        <v>496.2496935251142</v>
      </c>
      <c r="V76" s="28">
        <f t="shared" si="19"/>
        <v>527.00251369938542</v>
      </c>
      <c r="W76" s="28">
        <f t="shared" si="19"/>
        <v>558.65611940870997</v>
      </c>
      <c r="X76" s="28">
        <f t="shared" si="19"/>
        <v>591.23663343360545</v>
      </c>
      <c r="Y76" s="28">
        <f t="shared" si="19"/>
        <v>0</v>
      </c>
      <c r="AA76" s="606">
        <f t="shared" si="6"/>
        <v>9394.175439821458</v>
      </c>
      <c r="AB76" s="607">
        <f>AA76</f>
        <v>9394.175439821458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965.03803621071552</v>
      </c>
      <c r="F77" s="28">
        <f t="shared" si="20"/>
        <v>1515.952465782859</v>
      </c>
      <c r="G77" s="95">
        <f t="shared" si="20"/>
        <v>1855.1434106706024</v>
      </c>
      <c r="H77" s="28">
        <f t="shared" si="20"/>
        <v>1372.727791662579</v>
      </c>
      <c r="I77" s="28">
        <f t="shared" si="20"/>
        <v>1080.3884019722514</v>
      </c>
      <c r="J77" s="28">
        <f t="shared" si="20"/>
        <v>1095.6350076706367</v>
      </c>
      <c r="K77" s="28">
        <f t="shared" si="20"/>
        <v>883.65126396746257</v>
      </c>
      <c r="L77" s="28">
        <f t="shared" si="20"/>
        <v>672.13605936045838</v>
      </c>
      <c r="M77" s="28">
        <f t="shared" si="20"/>
        <v>693.3732431925464</v>
      </c>
      <c r="N77" s="28">
        <f t="shared" si="20"/>
        <v>700.52100018517217</v>
      </c>
      <c r="O77" s="28">
        <f t="shared" si="20"/>
        <v>707.97089829615584</v>
      </c>
      <c r="P77" s="28">
        <f t="shared" si="20"/>
        <v>715.13665466990983</v>
      </c>
      <c r="Q77" s="28">
        <f t="shared" si="20"/>
        <v>738.57741176951254</v>
      </c>
      <c r="R77" s="28">
        <f t="shared" si="20"/>
        <v>731.69066686715928</v>
      </c>
      <c r="S77" s="28">
        <f t="shared" si="20"/>
        <v>723.95649946619426</v>
      </c>
      <c r="T77" s="28">
        <f t="shared" si="20"/>
        <v>714.64409364851622</v>
      </c>
      <c r="U77" s="28">
        <f t="shared" si="20"/>
        <v>704.03844352511419</v>
      </c>
      <c r="V77" s="28">
        <f t="shared" si="20"/>
        <v>734.79126369938547</v>
      </c>
      <c r="W77" s="28">
        <f t="shared" si="20"/>
        <v>766.44486940870991</v>
      </c>
      <c r="X77" s="28">
        <f t="shared" si="20"/>
        <v>799.02538343360538</v>
      </c>
      <c r="Y77" s="28">
        <f t="shared" si="20"/>
        <v>0</v>
      </c>
      <c r="AA77" s="606">
        <f t="shared" si="6"/>
        <v>17205.804829248831</v>
      </c>
      <c r="AB77" s="607">
        <f>AA77</f>
        <v>17205.804829248831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2407.2027138376834</v>
      </c>
      <c r="G88" s="200">
        <f t="shared" ref="G88:Y88" si="22">G69</f>
        <v>2004.1379953160927</v>
      </c>
      <c r="H88" s="200">
        <f t="shared" si="22"/>
        <v>2043.4277211093886</v>
      </c>
      <c r="I88" s="200">
        <f t="shared" si="22"/>
        <v>2057.6411734743911</v>
      </c>
      <c r="J88" s="200">
        <f t="shared" si="22"/>
        <v>2107.022892335558</v>
      </c>
      <c r="K88" s="200">
        <f t="shared" si="22"/>
        <v>2141.2321267577199</v>
      </c>
      <c r="L88" s="200">
        <f t="shared" si="22"/>
        <v>2176.9588967140353</v>
      </c>
      <c r="M88" s="200">
        <f t="shared" si="22"/>
        <v>2245.7432977896242</v>
      </c>
      <c r="N88" s="200">
        <f t="shared" si="22"/>
        <v>2268.8939277252539</v>
      </c>
      <c r="O88" s="200">
        <f t="shared" si="22"/>
        <v>2293.0231523762131</v>
      </c>
      <c r="P88" s="200">
        <f t="shared" si="22"/>
        <v>2316.232079902542</v>
      </c>
      <c r="Q88" s="200">
        <f t="shared" si="22"/>
        <v>2392.1535603870852</v>
      </c>
      <c r="R88" s="200">
        <f t="shared" si="22"/>
        <v>2369.848313739787</v>
      </c>
      <c r="S88" s="200">
        <f t="shared" si="22"/>
        <v>2344.798378837876</v>
      </c>
      <c r="T88" s="200">
        <f t="shared" si="22"/>
        <v>2314.6367405619958</v>
      </c>
      <c r="U88" s="200">
        <f t="shared" si="22"/>
        <v>2280.2864567615034</v>
      </c>
      <c r="V88" s="200">
        <f t="shared" si="22"/>
        <v>2379.8907326295885</v>
      </c>
      <c r="W88" s="200">
        <f t="shared" si="22"/>
        <v>2482.4125324978459</v>
      </c>
      <c r="X88" s="200">
        <f t="shared" si="22"/>
        <v>2587.9364645622845</v>
      </c>
      <c r="Y88" s="200">
        <f t="shared" si="22"/>
        <v>0</v>
      </c>
      <c r="AA88" s="606">
        <f t="shared" si="6"/>
        <v>43213.479157316469</v>
      </c>
      <c r="AB88" s="607">
        <f t="shared" si="18"/>
        <v>21606.739578658235</v>
      </c>
    </row>
    <row r="89" spans="1:30" s="199" customFormat="1">
      <c r="A89" s="199" t="s">
        <v>53</v>
      </c>
      <c r="F89" s="110">
        <f>F126+F127</f>
        <v>624.70221772803461</v>
      </c>
      <c r="G89" s="110">
        <f t="shared" ref="G89:Y89" si="23">G126+G127</f>
        <v>1706.1488260251119</v>
      </c>
      <c r="H89" s="110">
        <f t="shared" si="23"/>
        <v>702.02786221576912</v>
      </c>
      <c r="I89" s="110">
        <f t="shared" si="23"/>
        <v>103.13563047011166</v>
      </c>
      <c r="J89" s="110">
        <f t="shared" si="23"/>
        <v>84.247123005715309</v>
      </c>
      <c r="K89" s="110">
        <f t="shared" si="23"/>
        <v>-373.92959882279473</v>
      </c>
      <c r="L89" s="110">
        <f t="shared" si="23"/>
        <v>-832.68677799311854</v>
      </c>
      <c r="M89" s="110">
        <f t="shared" si="23"/>
        <v>-858.99681140453129</v>
      </c>
      <c r="N89" s="110">
        <f t="shared" si="23"/>
        <v>-867.85192735490955</v>
      </c>
      <c r="O89" s="110">
        <f t="shared" si="23"/>
        <v>-877.08135578390159</v>
      </c>
      <c r="P89" s="110">
        <f t="shared" si="23"/>
        <v>-885.95877056272241</v>
      </c>
      <c r="Q89" s="110">
        <f t="shared" si="23"/>
        <v>-914.99873684806005</v>
      </c>
      <c r="R89" s="110">
        <f t="shared" si="23"/>
        <v>-906.4669800054686</v>
      </c>
      <c r="S89" s="110">
        <f t="shared" si="23"/>
        <v>-896.88537990548753</v>
      </c>
      <c r="T89" s="110">
        <f t="shared" si="23"/>
        <v>-885.34855326496324</v>
      </c>
      <c r="U89" s="110">
        <f t="shared" si="23"/>
        <v>-872.20956971127498</v>
      </c>
      <c r="V89" s="110">
        <f t="shared" si="23"/>
        <v>-910.30820523081752</v>
      </c>
      <c r="W89" s="110">
        <f t="shared" si="23"/>
        <v>-949.52279368042605</v>
      </c>
      <c r="X89" s="110">
        <f t="shared" si="23"/>
        <v>-989.88569769507387</v>
      </c>
      <c r="Y89" s="110">
        <f t="shared" si="23"/>
        <v>0</v>
      </c>
      <c r="AA89" s="606">
        <f t="shared" si="6"/>
        <v>-8801.8694988188072</v>
      </c>
      <c r="AB89" s="607">
        <f t="shared" si="18"/>
        <v>-4400.9347494094036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20703.491716498276</v>
      </c>
      <c r="Y91" s="111"/>
      <c r="AA91" s="606">
        <f t="shared" si="6"/>
        <v>20703.491716498276</v>
      </c>
      <c r="AB91" s="607">
        <f t="shared" si="18"/>
        <v>10351.745858249138</v>
      </c>
    </row>
    <row r="92" spans="1:30" s="199" customFormat="1">
      <c r="A92" s="199" t="s">
        <v>55</v>
      </c>
      <c r="E92" s="346">
        <v>-22446.728478880876</v>
      </c>
      <c r="F92" s="200">
        <f>SUM(F88:F91)</f>
        <v>3031.904931565718</v>
      </c>
      <c r="G92" s="200">
        <f t="shared" ref="G92:Y92" si="25">SUM(G88:G91)</f>
        <v>3710.2868213412048</v>
      </c>
      <c r="H92" s="200">
        <f t="shared" si="25"/>
        <v>2745.4555833251579</v>
      </c>
      <c r="I92" s="200">
        <f t="shared" si="25"/>
        <v>2160.7768039445027</v>
      </c>
      <c r="J92" s="200">
        <f t="shared" si="25"/>
        <v>2191.2700153412734</v>
      </c>
      <c r="K92" s="200">
        <f t="shared" si="25"/>
        <v>1767.3025279349251</v>
      </c>
      <c r="L92" s="200">
        <f t="shared" si="25"/>
        <v>1344.2721187209168</v>
      </c>
      <c r="M92" s="200">
        <f t="shared" si="25"/>
        <v>1386.7464863850928</v>
      </c>
      <c r="N92" s="200">
        <f t="shared" si="25"/>
        <v>1401.0420003703443</v>
      </c>
      <c r="O92" s="200">
        <f t="shared" si="25"/>
        <v>1415.9417965923117</v>
      </c>
      <c r="P92" s="200">
        <f t="shared" si="25"/>
        <v>1430.2733093398197</v>
      </c>
      <c r="Q92" s="200">
        <f t="shared" si="25"/>
        <v>1477.1548235390251</v>
      </c>
      <c r="R92" s="200">
        <f t="shared" si="25"/>
        <v>1463.3813337343186</v>
      </c>
      <c r="S92" s="200">
        <f t="shared" si="25"/>
        <v>1447.9129989323885</v>
      </c>
      <c r="T92" s="200">
        <f t="shared" si="25"/>
        <v>1429.2881872970324</v>
      </c>
      <c r="U92" s="200">
        <f t="shared" si="25"/>
        <v>1408.0768870502284</v>
      </c>
      <c r="V92" s="200">
        <f t="shared" si="25"/>
        <v>1469.5825273987709</v>
      </c>
      <c r="W92" s="200">
        <f t="shared" si="25"/>
        <v>1532.8897388174198</v>
      </c>
      <c r="X92" s="200">
        <f t="shared" si="25"/>
        <v>22301.542483365487</v>
      </c>
      <c r="Y92" s="200">
        <f t="shared" si="25"/>
        <v>0</v>
      </c>
      <c r="AA92" s="606">
        <f t="shared" si="6"/>
        <v>55115.101374995938</v>
      </c>
      <c r="AB92" s="607">
        <f t="shared" si="18"/>
        <v>27557.550687497969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58</v>
      </c>
      <c r="V95" s="206"/>
      <c r="W95" s="206"/>
      <c r="X95" s="206"/>
      <c r="Y95" s="207">
        <f>X88</f>
        <v>2587.9364645622845</v>
      </c>
      <c r="AA95" s="606">
        <f t="shared" si="6"/>
        <v>2587.9364645622845</v>
      </c>
      <c r="AB95" s="607">
        <f t="shared" si="18"/>
        <v>1293.9682322811423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2587.9364645622845</v>
      </c>
      <c r="AA97" s="606">
        <f t="shared" si="6"/>
        <v>2587.9364645622845</v>
      </c>
      <c r="AB97" s="607">
        <f t="shared" si="18"/>
        <v>1293.9682322811423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20703.491716498276</v>
      </c>
      <c r="AA99" s="606">
        <f t="shared" si="6"/>
        <v>20703.491716498276</v>
      </c>
      <c r="AB99" s="607">
        <f t="shared" si="18"/>
        <v>10351.745858249138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22446.728478880876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22446.728478880876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20202.055630992789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20202.055630992789</v>
      </c>
      <c r="F109" s="203">
        <f>ROUND(D109/$B$109,0)</f>
        <v>673</v>
      </c>
      <c r="G109" s="203">
        <f>F109</f>
        <v>673</v>
      </c>
      <c r="H109" s="203">
        <f t="shared" ref="H109:X110" si="28">G109</f>
        <v>673</v>
      </c>
      <c r="I109" s="203">
        <f t="shared" si="28"/>
        <v>673</v>
      </c>
      <c r="J109" s="203">
        <f t="shared" si="28"/>
        <v>673</v>
      </c>
      <c r="K109" s="203">
        <f t="shared" si="28"/>
        <v>673</v>
      </c>
      <c r="L109" s="203">
        <f t="shared" si="28"/>
        <v>673</v>
      </c>
      <c r="M109" s="203">
        <f t="shared" si="28"/>
        <v>673</v>
      </c>
      <c r="N109" s="203">
        <f t="shared" si="28"/>
        <v>673</v>
      </c>
      <c r="O109" s="203">
        <f t="shared" si="28"/>
        <v>673</v>
      </c>
      <c r="P109" s="203">
        <f t="shared" si="28"/>
        <v>673</v>
      </c>
      <c r="Q109" s="203">
        <f t="shared" si="28"/>
        <v>673</v>
      </c>
      <c r="R109" s="203">
        <f t="shared" si="28"/>
        <v>673</v>
      </c>
      <c r="S109" s="203">
        <f t="shared" si="28"/>
        <v>673</v>
      </c>
      <c r="T109" s="203">
        <f t="shared" si="28"/>
        <v>673</v>
      </c>
      <c r="U109" s="203">
        <f t="shared" si="28"/>
        <v>673</v>
      </c>
      <c r="V109" s="203">
        <f t="shared" si="28"/>
        <v>673</v>
      </c>
      <c r="W109" s="203">
        <f t="shared" si="28"/>
        <v>673</v>
      </c>
      <c r="X109" s="203">
        <f t="shared" si="28"/>
        <v>673</v>
      </c>
      <c r="Y109" s="739"/>
      <c r="AA109" s="606">
        <f t="shared" si="26"/>
        <v>12787</v>
      </c>
      <c r="AB109" s="607">
        <f t="shared" si="18"/>
        <v>6393.5</v>
      </c>
    </row>
    <row r="110" spans="1:28" s="199" customFormat="1">
      <c r="A110" s="199" t="s">
        <v>571</v>
      </c>
      <c r="D110" s="214">
        <f>D104*'FPLE_Wind Summary'!V32</f>
        <v>1523.0443416436713</v>
      </c>
      <c r="F110" s="203">
        <f>ROUND(D110/$B$109,0)</f>
        <v>51</v>
      </c>
      <c r="G110" s="203">
        <f>F110</f>
        <v>51</v>
      </c>
      <c r="H110" s="203">
        <f t="shared" si="28"/>
        <v>51</v>
      </c>
      <c r="I110" s="203">
        <f t="shared" si="28"/>
        <v>51</v>
      </c>
      <c r="J110" s="203">
        <f t="shared" si="28"/>
        <v>51</v>
      </c>
      <c r="K110" s="203">
        <f t="shared" si="28"/>
        <v>51</v>
      </c>
      <c r="L110" s="203">
        <f t="shared" si="28"/>
        <v>51</v>
      </c>
      <c r="M110" s="203">
        <f t="shared" si="28"/>
        <v>51</v>
      </c>
      <c r="N110" s="203">
        <f t="shared" si="28"/>
        <v>51</v>
      </c>
      <c r="O110" s="203">
        <f t="shared" si="28"/>
        <v>51</v>
      </c>
      <c r="P110" s="203">
        <f t="shared" si="28"/>
        <v>51</v>
      </c>
      <c r="Q110" s="203">
        <f t="shared" si="28"/>
        <v>51</v>
      </c>
      <c r="R110" s="203">
        <f t="shared" si="28"/>
        <v>51</v>
      </c>
      <c r="S110" s="203">
        <f t="shared" si="28"/>
        <v>51</v>
      </c>
      <c r="T110" s="203">
        <f t="shared" si="28"/>
        <v>51</v>
      </c>
      <c r="U110" s="203">
        <f t="shared" si="28"/>
        <v>51</v>
      </c>
      <c r="V110" s="203">
        <f t="shared" si="28"/>
        <v>51</v>
      </c>
      <c r="W110" s="203">
        <f t="shared" si="28"/>
        <v>51</v>
      </c>
      <c r="X110" s="203">
        <f t="shared" si="28"/>
        <v>51</v>
      </c>
      <c r="Y110" s="739"/>
      <c r="AA110" s="606">
        <f t="shared" si="26"/>
        <v>969</v>
      </c>
      <c r="AB110" s="607">
        <f t="shared" si="18"/>
        <v>484.5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20202.055630992789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4040.4111261985581</v>
      </c>
      <c r="G115" s="203">
        <f t="shared" si="29"/>
        <v>6464.6578019176923</v>
      </c>
      <c r="H115" s="203">
        <f t="shared" si="29"/>
        <v>3878.7946811506154</v>
      </c>
      <c r="I115" s="203">
        <f t="shared" si="29"/>
        <v>2327.2768086903693</v>
      </c>
      <c r="J115" s="203">
        <f t="shared" si="29"/>
        <v>2327.2768086903693</v>
      </c>
      <c r="K115" s="203">
        <f t="shared" si="29"/>
        <v>1163.6384043451847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20202.055630992789</v>
      </c>
      <c r="AB115" s="607">
        <f t="shared" si="18"/>
        <v>10101.027815496394</v>
      </c>
    </row>
    <row r="116" spans="1:28" s="199" customFormat="1">
      <c r="A116" s="199" t="s">
        <v>571</v>
      </c>
      <c r="D116" s="214">
        <f>D110</f>
        <v>1523.0443416436713</v>
      </c>
      <c r="F116" s="203">
        <f>$D$116*F114</f>
        <v>304.60886832873427</v>
      </c>
      <c r="G116" s="203">
        <f t="shared" ref="G116:X116" si="30">$D$116*G114</f>
        <v>487.37418932597484</v>
      </c>
      <c r="H116" s="203">
        <f t="shared" si="30"/>
        <v>292.42451359558487</v>
      </c>
      <c r="I116" s="203">
        <f t="shared" si="30"/>
        <v>175.45470815735092</v>
      </c>
      <c r="J116" s="203">
        <f t="shared" si="30"/>
        <v>175.45470815735092</v>
      </c>
      <c r="K116" s="203">
        <f t="shared" si="30"/>
        <v>87.727354078675461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1523.0443416436715</v>
      </c>
      <c r="AB116" s="607">
        <f t="shared" si="18"/>
        <v>761.52217082183574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2407.2027138376834</v>
      </c>
      <c r="G121" s="203">
        <f t="shared" ref="G121:Y121" si="32">G39</f>
        <v>2004.1379953160927</v>
      </c>
      <c r="H121" s="203">
        <f t="shared" si="32"/>
        <v>2043.4277211093886</v>
      </c>
      <c r="I121" s="203">
        <f t="shared" si="32"/>
        <v>2057.6411734743911</v>
      </c>
      <c r="J121" s="203">
        <f>J39</f>
        <v>2107.022892335558</v>
      </c>
      <c r="K121" s="203">
        <f t="shared" si="32"/>
        <v>2141.2321267577199</v>
      </c>
      <c r="L121" s="203">
        <f t="shared" si="32"/>
        <v>2176.9588967140353</v>
      </c>
      <c r="M121" s="203">
        <f t="shared" si="32"/>
        <v>2245.7432977896242</v>
      </c>
      <c r="N121" s="203">
        <f t="shared" si="32"/>
        <v>2268.8939277252539</v>
      </c>
      <c r="O121" s="203">
        <f t="shared" si="32"/>
        <v>2293.0231523762131</v>
      </c>
      <c r="P121" s="203">
        <f t="shared" si="32"/>
        <v>2316.232079902542</v>
      </c>
      <c r="Q121" s="203">
        <f t="shared" si="32"/>
        <v>2392.1535603870852</v>
      </c>
      <c r="R121" s="203">
        <f t="shared" si="32"/>
        <v>2369.848313739787</v>
      </c>
      <c r="S121" s="203">
        <f t="shared" si="32"/>
        <v>2344.798378837876</v>
      </c>
      <c r="T121" s="203">
        <f t="shared" si="32"/>
        <v>2314.6367405619958</v>
      </c>
      <c r="U121" s="203">
        <f t="shared" si="32"/>
        <v>2280.2864567615034</v>
      </c>
      <c r="V121" s="203">
        <f t="shared" si="32"/>
        <v>2379.8907326295885</v>
      </c>
      <c r="W121" s="203">
        <f t="shared" si="32"/>
        <v>2482.4125324978459</v>
      </c>
      <c r="X121" s="203">
        <f t="shared" si="32"/>
        <v>2587.9364645622845</v>
      </c>
      <c r="Y121" s="203">
        <f t="shared" si="32"/>
        <v>0</v>
      </c>
      <c r="AA121" s="606">
        <f t="shared" si="26"/>
        <v>43213.479157316469</v>
      </c>
      <c r="AB121" s="607">
        <f t="shared" si="18"/>
        <v>21606.739578658235</v>
      </c>
    </row>
    <row r="122" spans="1:28" s="199" customFormat="1">
      <c r="A122" s="199" t="s">
        <v>74</v>
      </c>
      <c r="F122" s="203">
        <f>-F115</f>
        <v>-4040.4111261985581</v>
      </c>
      <c r="G122" s="203">
        <f t="shared" ref="G122:Y122" si="33">-G115</f>
        <v>-6464.6578019176923</v>
      </c>
      <c r="H122" s="203">
        <f t="shared" si="33"/>
        <v>-3878.7946811506154</v>
      </c>
      <c r="I122" s="203">
        <f t="shared" si="33"/>
        <v>-2327.2768086903693</v>
      </c>
      <c r="J122" s="203">
        <f t="shared" si="33"/>
        <v>-2327.2768086903693</v>
      </c>
      <c r="K122" s="203">
        <f t="shared" si="33"/>
        <v>-1163.6384043451847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-20202.055630992789</v>
      </c>
      <c r="AB122" s="607">
        <f t="shared" si="18"/>
        <v>-10101.027815496394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-1633.2084123608747</v>
      </c>
      <c r="G124" s="203">
        <f t="shared" ref="G124:Y124" si="35">SUM(G121:G123)</f>
        <v>-4460.5198066016001</v>
      </c>
      <c r="H124" s="203">
        <f t="shared" si="35"/>
        <v>-1835.3669600412268</v>
      </c>
      <c r="I124" s="203">
        <f t="shared" si="35"/>
        <v>-269.63563521597825</v>
      </c>
      <c r="J124" s="203">
        <f t="shared" si="35"/>
        <v>-220.25391635481128</v>
      </c>
      <c r="K124" s="203">
        <f t="shared" si="35"/>
        <v>977.59372241253527</v>
      </c>
      <c r="L124" s="203">
        <f t="shared" si="35"/>
        <v>2176.9588967140353</v>
      </c>
      <c r="M124" s="203">
        <f t="shared" si="35"/>
        <v>2245.7432977896242</v>
      </c>
      <c r="N124" s="203">
        <f t="shared" si="35"/>
        <v>2268.8939277252539</v>
      </c>
      <c r="O124" s="203">
        <f t="shared" si="35"/>
        <v>2293.0231523762131</v>
      </c>
      <c r="P124" s="203">
        <f t="shared" si="35"/>
        <v>2316.232079902542</v>
      </c>
      <c r="Q124" s="203">
        <f t="shared" si="35"/>
        <v>2392.1535603870852</v>
      </c>
      <c r="R124" s="203">
        <f t="shared" si="35"/>
        <v>2369.848313739787</v>
      </c>
      <c r="S124" s="203">
        <f t="shared" si="35"/>
        <v>2344.798378837876</v>
      </c>
      <c r="T124" s="203">
        <f t="shared" si="35"/>
        <v>2314.6367405619958</v>
      </c>
      <c r="U124" s="203">
        <f t="shared" si="35"/>
        <v>2280.2864567615034</v>
      </c>
      <c r="V124" s="203">
        <f t="shared" si="35"/>
        <v>2379.8907326295885</v>
      </c>
      <c r="W124" s="203">
        <f t="shared" si="35"/>
        <v>2482.4125324978459</v>
      </c>
      <c r="X124" s="203">
        <f t="shared" si="35"/>
        <v>2587.9364645622845</v>
      </c>
      <c r="Y124" s="203">
        <f t="shared" si="35"/>
        <v>0</v>
      </c>
      <c r="AA124" s="606">
        <f t="shared" si="26"/>
        <v>23011.423526323681</v>
      </c>
      <c r="AB124" s="607">
        <f t="shared" si="18"/>
        <v>11505.71176316184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81.660420618043744</v>
      </c>
      <c r="G126" s="203">
        <f t="shared" ref="G126:Y126" si="36">-G124*$C$126</f>
        <v>223.02599033008002</v>
      </c>
      <c r="H126" s="203">
        <f t="shared" si="36"/>
        <v>91.768348002061344</v>
      </c>
      <c r="I126" s="203">
        <f t="shared" si="36"/>
        <v>13.481781760798913</v>
      </c>
      <c r="J126" s="203">
        <f t="shared" si="36"/>
        <v>11.012695817740564</v>
      </c>
      <c r="K126" s="203">
        <f t="shared" si="36"/>
        <v>-48.879686120626765</v>
      </c>
      <c r="L126" s="203">
        <f t="shared" si="36"/>
        <v>-108.84794483570177</v>
      </c>
      <c r="M126" s="203">
        <f t="shared" si="36"/>
        <v>-112.28716488948122</v>
      </c>
      <c r="N126" s="203">
        <f t="shared" si="36"/>
        <v>-113.44469638626271</v>
      </c>
      <c r="O126" s="203">
        <f t="shared" si="36"/>
        <v>-114.65115761881066</v>
      </c>
      <c r="P126" s="203">
        <f t="shared" si="36"/>
        <v>-115.8116039951271</v>
      </c>
      <c r="Q126" s="203">
        <f t="shared" si="36"/>
        <v>-119.60767801935427</v>
      </c>
      <c r="R126" s="203">
        <f t="shared" si="36"/>
        <v>-118.49241568698936</v>
      </c>
      <c r="S126" s="203">
        <f t="shared" si="36"/>
        <v>-117.23991894189381</v>
      </c>
      <c r="T126" s="203">
        <f t="shared" si="36"/>
        <v>-115.73183702809979</v>
      </c>
      <c r="U126" s="203">
        <f t="shared" si="36"/>
        <v>-114.01432283807517</v>
      </c>
      <c r="V126" s="203">
        <f t="shared" si="36"/>
        <v>-118.99453663147943</v>
      </c>
      <c r="W126" s="203">
        <f t="shared" si="36"/>
        <v>-124.1206266248923</v>
      </c>
      <c r="X126" s="203">
        <f t="shared" si="36"/>
        <v>-129.39682322811424</v>
      </c>
      <c r="Y126" s="203">
        <f t="shared" si="36"/>
        <v>0</v>
      </c>
      <c r="AA126" s="606">
        <f t="shared" si="26"/>
        <v>-1150.5711763161842</v>
      </c>
      <c r="AB126" s="607">
        <f t="shared" si="18"/>
        <v>-575.28558815809208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543.04179710999085</v>
      </c>
      <c r="G127" s="203">
        <f t="shared" ref="G127:Y127" si="37">-(G124+G126)*$C$127</f>
        <v>1483.1228356950319</v>
      </c>
      <c r="H127" s="203">
        <f t="shared" si="37"/>
        <v>610.2595142137078</v>
      </c>
      <c r="I127" s="203">
        <f t="shared" si="37"/>
        <v>89.653848709312754</v>
      </c>
      <c r="J127" s="203">
        <f t="shared" si="37"/>
        <v>73.234427187974745</v>
      </c>
      <c r="K127" s="203">
        <f t="shared" si="37"/>
        <v>-325.04991270216794</v>
      </c>
      <c r="L127" s="203">
        <f t="shared" si="37"/>
        <v>-723.83883315741673</v>
      </c>
      <c r="M127" s="203">
        <f t="shared" si="37"/>
        <v>-746.70964651505005</v>
      </c>
      <c r="N127" s="203">
        <f t="shared" si="37"/>
        <v>-754.40723096864679</v>
      </c>
      <c r="O127" s="203">
        <f t="shared" si="37"/>
        <v>-762.43019816509093</v>
      </c>
      <c r="P127" s="203">
        <f t="shared" si="37"/>
        <v>-770.14716656759526</v>
      </c>
      <c r="Q127" s="203">
        <f t="shared" si="37"/>
        <v>-795.39105882870581</v>
      </c>
      <c r="R127" s="203">
        <f t="shared" si="37"/>
        <v>-787.97456431847922</v>
      </c>
      <c r="S127" s="203">
        <f t="shared" si="37"/>
        <v>-779.64546096359368</v>
      </c>
      <c r="T127" s="203">
        <f t="shared" si="37"/>
        <v>-769.61671623686345</v>
      </c>
      <c r="U127" s="203">
        <f t="shared" si="37"/>
        <v>-758.19524687319984</v>
      </c>
      <c r="V127" s="203">
        <f t="shared" si="37"/>
        <v>-791.31366859933803</v>
      </c>
      <c r="W127" s="203">
        <f t="shared" si="37"/>
        <v>-825.40216705553371</v>
      </c>
      <c r="X127" s="203">
        <f t="shared" si="37"/>
        <v>-860.4888744669596</v>
      </c>
      <c r="Y127" s="203">
        <f t="shared" si="37"/>
        <v>0</v>
      </c>
      <c r="AA127" s="606">
        <f t="shared" si="26"/>
        <v>-7651.2983225026237</v>
      </c>
      <c r="AB127" s="607">
        <f t="shared" si="18"/>
        <v>-3825.6491612513119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535.43508789738473</v>
      </c>
      <c r="G144" s="220">
        <f t="shared" ref="G144:Y144" si="46">G76</f>
        <v>410.98885605384362</v>
      </c>
      <c r="H144" s="220">
        <f t="shared" si="46"/>
        <v>423.11955889252374</v>
      </c>
      <c r="I144" s="220">
        <f t="shared" si="46"/>
        <v>427.5079623102182</v>
      </c>
      <c r="J144" s="220">
        <f t="shared" si="46"/>
        <v>442.7545680086036</v>
      </c>
      <c r="K144" s="220">
        <f t="shared" si="46"/>
        <v>453.31666913644602</v>
      </c>
      <c r="L144" s="220">
        <f t="shared" si="46"/>
        <v>464.34730936045844</v>
      </c>
      <c r="M144" s="220">
        <f t="shared" si="46"/>
        <v>485.58449319254646</v>
      </c>
      <c r="N144" s="220">
        <f t="shared" si="46"/>
        <v>492.73225018517212</v>
      </c>
      <c r="O144" s="220">
        <f t="shared" si="46"/>
        <v>500.18214829615584</v>
      </c>
      <c r="P144" s="220">
        <f t="shared" si="46"/>
        <v>507.34790466990984</v>
      </c>
      <c r="Q144" s="220">
        <f t="shared" si="46"/>
        <v>530.7886617695126</v>
      </c>
      <c r="R144" s="220">
        <f t="shared" si="46"/>
        <v>523.90191686715923</v>
      </c>
      <c r="S144" s="220">
        <f t="shared" si="46"/>
        <v>516.16774946619421</v>
      </c>
      <c r="T144" s="220">
        <f t="shared" si="46"/>
        <v>506.85534364851623</v>
      </c>
      <c r="U144" s="220">
        <f t="shared" si="46"/>
        <v>496.2496935251142</v>
      </c>
      <c r="V144" s="220">
        <f t="shared" si="46"/>
        <v>527.00251369938542</v>
      </c>
      <c r="W144" s="220">
        <f t="shared" si="46"/>
        <v>558.65611940870997</v>
      </c>
      <c r="X144" s="220">
        <f t="shared" si="46"/>
        <v>591.23663343360545</v>
      </c>
      <c r="Y144" s="220">
        <f t="shared" si="46"/>
        <v>0</v>
      </c>
      <c r="AA144" s="606">
        <f t="shared" si="26"/>
        <v>9394.175439821458</v>
      </c>
      <c r="AB144" s="607">
        <f t="shared" si="39"/>
        <v>9394.175439821458</v>
      </c>
    </row>
    <row r="145" spans="1:28" s="199" customFormat="1">
      <c r="A145" s="124" t="s">
        <v>91</v>
      </c>
      <c r="F145" s="213">
        <f>F142+F144</f>
        <v>535.43508789738473</v>
      </c>
      <c r="G145" s="213">
        <f t="shared" ref="G145:Y145" si="47">G142+G144</f>
        <v>410.98885605384362</v>
      </c>
      <c r="H145" s="213">
        <f t="shared" si="47"/>
        <v>423.11955889252374</v>
      </c>
      <c r="I145" s="213">
        <f t="shared" si="47"/>
        <v>427.5079623102182</v>
      </c>
      <c r="J145" s="213">
        <f t="shared" si="47"/>
        <v>442.7545680086036</v>
      </c>
      <c r="K145" s="213">
        <f t="shared" si="47"/>
        <v>453.31666913644602</v>
      </c>
      <c r="L145" s="213">
        <f t="shared" si="47"/>
        <v>464.34730936045844</v>
      </c>
      <c r="M145" s="213">
        <f t="shared" si="47"/>
        <v>485.58449319254646</v>
      </c>
      <c r="N145" s="213">
        <f t="shared" si="47"/>
        <v>492.73225018517212</v>
      </c>
      <c r="O145" s="213">
        <f t="shared" si="47"/>
        <v>500.18214829615584</v>
      </c>
      <c r="P145" s="213">
        <f t="shared" si="47"/>
        <v>507.34790466990984</v>
      </c>
      <c r="Q145" s="213">
        <f t="shared" si="47"/>
        <v>530.7886617695126</v>
      </c>
      <c r="R145" s="213">
        <f t="shared" si="47"/>
        <v>523.90191686715923</v>
      </c>
      <c r="S145" s="213">
        <f t="shared" si="47"/>
        <v>516.16774946619421</v>
      </c>
      <c r="T145" s="213">
        <f t="shared" si="47"/>
        <v>506.85534364851623</v>
      </c>
      <c r="U145" s="213">
        <f t="shared" si="47"/>
        <v>496.2496935251142</v>
      </c>
      <c r="V145" s="213">
        <f t="shared" si="47"/>
        <v>527.00251369938542</v>
      </c>
      <c r="W145" s="213">
        <f t="shared" si="47"/>
        <v>558.65611940870997</v>
      </c>
      <c r="X145" s="213">
        <f t="shared" si="47"/>
        <v>591.23663343360545</v>
      </c>
      <c r="Y145" s="213">
        <f t="shared" si="47"/>
        <v>0</v>
      </c>
      <c r="AA145" s="606">
        <f t="shared" si="26"/>
        <v>9394.175439821458</v>
      </c>
      <c r="AB145" s="607">
        <f t="shared" si="39"/>
        <v>9394.175439821458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11223.364239440438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11223.364239440438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158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[28]Financials!I$11</f>
        <v>1082.7186504627193</v>
      </c>
      <c r="F10" s="494">
        <f>[28]Financials!J$11</f>
        <v>1082.7186504627193</v>
      </c>
      <c r="G10" s="494">
        <f>[28]Financials!K$11</f>
        <v>1082.7186504627193</v>
      </c>
      <c r="H10" s="494">
        <f>[28]Financials!L$11</f>
        <v>1082.7186504627193</v>
      </c>
      <c r="I10" s="494">
        <f>[28]Financials!M$11</f>
        <v>1082.7186504627193</v>
      </c>
      <c r="J10" s="494">
        <f>[28]Financials!N$11</f>
        <v>1082.7186504627193</v>
      </c>
      <c r="K10" s="494">
        <f>[28]Financials!O$11</f>
        <v>1082.7186504627193</v>
      </c>
      <c r="L10" s="494">
        <f>[28]Financials!P$11</f>
        <v>1082.7186504627193</v>
      </c>
      <c r="M10" s="494">
        <f>[28]Financials!Q$11</f>
        <v>1082.7186504627193</v>
      </c>
      <c r="N10" s="494">
        <f>[28]Financials!R$11</f>
        <v>1082.7186504627193</v>
      </c>
      <c r="O10" s="494">
        <f>[28]Financials!S$11</f>
        <v>1082.7186504627193</v>
      </c>
      <c r="P10" s="494">
        <f>[28]Financials!T$11</f>
        <v>1082.7186504627193</v>
      </c>
      <c r="Q10" s="494">
        <f>[28]Financials!U$11</f>
        <v>1082.7186504627193</v>
      </c>
      <c r="R10" s="494">
        <f>[28]Financials!V$11</f>
        <v>1082.7186504627193</v>
      </c>
      <c r="S10" s="494">
        <f>[28]Financials!W$11</f>
        <v>1082.7186504627193</v>
      </c>
      <c r="T10" s="494">
        <f>[28]Financials!X$11</f>
        <v>1082.7186504627193</v>
      </c>
      <c r="U10" s="494">
        <f>[28]Financials!Y$11</f>
        <v>601.92301996924971</v>
      </c>
      <c r="V10" s="494">
        <f>[28]Financials!Z$11</f>
        <v>601.92301996924971</v>
      </c>
      <c r="W10" s="494">
        <f>[28]Financials!AA$11</f>
        <v>601.92301996924971</v>
      </c>
      <c r="X10" s="494">
        <f>[28]Financials!AB$11</f>
        <v>0</v>
      </c>
      <c r="Y10" s="494">
        <f>[28]Financials!AC$11</f>
        <v>0</v>
      </c>
      <c r="Z10" s="22"/>
      <c r="AA10" s="606">
        <f t="shared" ref="AA10:AA38" si="1">SUM(F10:Y10)</f>
        <v>18046.548816848535</v>
      </c>
      <c r="AB10" s="607">
        <f>AA10*$C$60</f>
        <v>9023.2744084242677</v>
      </c>
    </row>
    <row r="11" spans="1:28">
      <c r="A11" s="4" t="s">
        <v>9</v>
      </c>
      <c r="B11" s="12"/>
      <c r="C11" s="12"/>
      <c r="D11" s="193">
        <v>1</v>
      </c>
      <c r="E11" s="494">
        <f>[28]Financials!I$10</f>
        <v>1103.2615219337627</v>
      </c>
      <c r="F11" s="494">
        <f>[28]Financials!J$10</f>
        <v>1158.5114881326163</v>
      </c>
      <c r="G11" s="494">
        <f>[28]Financials!K$10</f>
        <v>1205.6193574728043</v>
      </c>
      <c r="H11" s="494">
        <f>[28]Financials!L$10</f>
        <v>1253.2755191987576</v>
      </c>
      <c r="I11" s="494">
        <f>[28]Financials!M$10</f>
        <v>1295.483344564554</v>
      </c>
      <c r="J11" s="494">
        <f>[28]Financials!N$10</f>
        <v>1347.6765183245484</v>
      </c>
      <c r="K11" s="494">
        <f>[28]Financials!O$10</f>
        <v>1397.7247253136813</v>
      </c>
      <c r="L11" s="494">
        <f>[28]Financials!P$10</f>
        <v>1431.4274055468609</v>
      </c>
      <c r="M11" s="494">
        <f>[28]Financials!Q$10</f>
        <v>1474.2327229966461</v>
      </c>
      <c r="N11" s="494">
        <f>[28]Financials!R$10</f>
        <v>1507.5152897666999</v>
      </c>
      <c r="O11" s="494">
        <f>[28]Financials!S$10</f>
        <v>1541.7061832320469</v>
      </c>
      <c r="P11" s="494">
        <f>[28]Financials!T$10</f>
        <v>1585.2727342651851</v>
      </c>
      <c r="Q11" s="494">
        <f>[28]Financials!U$10</f>
        <v>1643.4372439347449</v>
      </c>
      <c r="R11" s="494">
        <f>[28]Financials!V$10</f>
        <v>1681.3172392615011</v>
      </c>
      <c r="S11" s="494">
        <f>[28]Financials!W$10</f>
        <v>1720.1871979609155</v>
      </c>
      <c r="T11" s="494">
        <f>[28]Financials!X$10</f>
        <v>1755.644356420748</v>
      </c>
      <c r="U11" s="494">
        <f>[28]Financials!Y$10</f>
        <v>770.22405249321855</v>
      </c>
      <c r="V11" s="494">
        <f>[28]Financials!Z$10</f>
        <v>781.68182340124542</v>
      </c>
      <c r="W11" s="494">
        <f>[28]Financials!AA$10</f>
        <v>793.15638659379101</v>
      </c>
      <c r="X11" s="494">
        <f>[28]Financials!AB$10</f>
        <v>0</v>
      </c>
      <c r="Y11" s="494">
        <f>[28]Financials!AC$10</f>
        <v>0</v>
      </c>
      <c r="Z11" s="22"/>
      <c r="AA11" s="606">
        <f t="shared" si="1"/>
        <v>24344.093588880565</v>
      </c>
      <c r="AB11" s="607">
        <f t="shared" ref="AB11:AB74" si="2">AA11*$C$60</f>
        <v>12172.046794440283</v>
      </c>
    </row>
    <row r="12" spans="1:28">
      <c r="A12" s="4" t="s">
        <v>10</v>
      </c>
      <c r="B12" s="12"/>
      <c r="C12" s="12"/>
      <c r="D12" s="193">
        <v>1</v>
      </c>
      <c r="E12" s="494">
        <f>[28]Financials!I$12+[28]Financials!I$13</f>
        <v>2338.3019100000001</v>
      </c>
      <c r="F12" s="494">
        <f>[28]Financials!J$12+[28]Financials!J$13</f>
        <v>169.452</v>
      </c>
      <c r="G12" s="494">
        <f>[28]Financials!K$12+[28]Financials!K$13</f>
        <v>0</v>
      </c>
      <c r="H12" s="494">
        <f>[28]Financials!L$12+[28]Financials!L$13</f>
        <v>0</v>
      </c>
      <c r="I12" s="494">
        <f>[28]Financials!M$12+[28]Financials!M$13</f>
        <v>0</v>
      </c>
      <c r="J12" s="494">
        <f>[28]Financials!N$12+[28]Financials!N$13</f>
        <v>0</v>
      </c>
      <c r="K12" s="494">
        <f>[28]Financials!O$12+[28]Financials!O$13</f>
        <v>0</v>
      </c>
      <c r="L12" s="494">
        <f>[28]Financials!P$12+[28]Financials!P$13</f>
        <v>0</v>
      </c>
      <c r="M12" s="494">
        <f>[28]Financials!Q$12+[28]Financials!Q$13</f>
        <v>0</v>
      </c>
      <c r="N12" s="494">
        <f>[28]Financials!R$12+[28]Financials!R$13</f>
        <v>0</v>
      </c>
      <c r="O12" s="494">
        <f>[28]Financials!S$12+[28]Financials!S$13</f>
        <v>0</v>
      </c>
      <c r="P12" s="494">
        <f>[28]Financials!T$12+[28]Financials!T$13</f>
        <v>0</v>
      </c>
      <c r="Q12" s="494">
        <f>[28]Financials!U$12+[28]Financials!U$13</f>
        <v>0</v>
      </c>
      <c r="R12" s="494">
        <f>[28]Financials!V$12+[28]Financials!V$13</f>
        <v>0</v>
      </c>
      <c r="S12" s="494">
        <f>[28]Financials!W$12+[28]Financials!W$13</f>
        <v>0</v>
      </c>
      <c r="T12" s="494">
        <f>[28]Financials!X$12+[28]Financials!X$13</f>
        <v>0</v>
      </c>
      <c r="U12" s="494">
        <f>[28]Financials!Y$12+[28]Financials!Y$13</f>
        <v>0</v>
      </c>
      <c r="V12" s="494">
        <f>[28]Financials!Z$12+[28]Financials!Z$13</f>
        <v>0</v>
      </c>
      <c r="W12" s="494">
        <f>[28]Financials!AA$12+[28]Financials!AA$13</f>
        <v>0</v>
      </c>
      <c r="X12" s="494">
        <f>[28]Financials!AB$12+[28]Financials!AB$13</f>
        <v>0</v>
      </c>
      <c r="Y12" s="494">
        <f>[28]Financials!AC$12+[28]Financials!AC$13</f>
        <v>0</v>
      </c>
      <c r="Z12" s="22"/>
      <c r="AA12" s="606">
        <f t="shared" si="1"/>
        <v>169.452</v>
      </c>
      <c r="AB12" s="607">
        <f t="shared" si="2"/>
        <v>84.725999999999999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4524.2820823964821</v>
      </c>
      <c r="F20" s="90">
        <f t="shared" si="3"/>
        <v>2410.6821385953353</v>
      </c>
      <c r="G20" s="90">
        <f t="shared" si="3"/>
        <v>2288.3380079355238</v>
      </c>
      <c r="H20" s="90">
        <f t="shared" si="3"/>
        <v>2335.9941696614769</v>
      </c>
      <c r="I20" s="90">
        <f t="shared" si="3"/>
        <v>2378.2019950272734</v>
      </c>
      <c r="J20" s="90">
        <f t="shared" si="3"/>
        <v>2430.3951687872677</v>
      </c>
      <c r="K20" s="90">
        <f t="shared" si="3"/>
        <v>2480.4433757764009</v>
      </c>
      <c r="L20" s="90">
        <f t="shared" si="3"/>
        <v>2514.1460560095802</v>
      </c>
      <c r="M20" s="90">
        <f t="shared" si="3"/>
        <v>2556.9513734593656</v>
      </c>
      <c r="N20" s="90">
        <f t="shared" si="3"/>
        <v>2590.2339402294192</v>
      </c>
      <c r="O20" s="90">
        <f t="shared" si="3"/>
        <v>2624.4248336947662</v>
      </c>
      <c r="P20" s="90">
        <f t="shared" si="3"/>
        <v>2667.9913847279045</v>
      </c>
      <c r="Q20" s="90">
        <f t="shared" si="3"/>
        <v>2726.1558943974642</v>
      </c>
      <c r="R20" s="90">
        <f t="shared" si="3"/>
        <v>2764.0358897242204</v>
      </c>
      <c r="S20" s="90">
        <f t="shared" si="3"/>
        <v>2802.9058484236348</v>
      </c>
      <c r="T20" s="90">
        <f t="shared" si="3"/>
        <v>2838.3630068834673</v>
      </c>
      <c r="U20" s="90">
        <f t="shared" si="3"/>
        <v>1372.1470724624683</v>
      </c>
      <c r="V20" s="90">
        <f t="shared" si="3"/>
        <v>1383.604843370495</v>
      </c>
      <c r="W20" s="90">
        <f t="shared" si="3"/>
        <v>1395.0794065630407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42560.094405729105</v>
      </c>
      <c r="AB20" s="607">
        <f t="shared" si="2"/>
        <v>21280.047202864553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[28]Financials!I$28</f>
        <v>1413.5194761367984</v>
      </c>
      <c r="F25" s="494">
        <f>[28]Financials!J$28</f>
        <v>1330.7224389198302</v>
      </c>
      <c r="G25" s="494">
        <f>[28]Financials!K$28</f>
        <v>1497.7590364368414</v>
      </c>
      <c r="H25" s="494">
        <f>[28]Financials!L$28</f>
        <v>1534.9906889718054</v>
      </c>
      <c r="I25" s="494">
        <f>[28]Financials!M$28</f>
        <v>1572.4349945805318</v>
      </c>
      <c r="J25" s="494">
        <f>[28]Financials!N$28</f>
        <v>1611.7818264236321</v>
      </c>
      <c r="K25" s="494">
        <f>[28]Financials!O$28</f>
        <v>1651.756854480258</v>
      </c>
      <c r="L25" s="494">
        <f>[28]Financials!P$28</f>
        <v>1691.3657654599465</v>
      </c>
      <c r="M25" s="494">
        <f>[28]Financials!Q$28</f>
        <v>1733.0553096809772</v>
      </c>
      <c r="N25" s="494">
        <f>[28]Financials!R$28</f>
        <v>1774.8803511833632</v>
      </c>
      <c r="O25" s="494">
        <f>[28]Financials!S$28</f>
        <v>1817.8909353303895</v>
      </c>
      <c r="P25" s="494">
        <f>[28]Financials!T$28</f>
        <v>1862.9409270886092</v>
      </c>
      <c r="Q25" s="494">
        <f>[28]Financials!U$28</f>
        <v>1911.1228349254236</v>
      </c>
      <c r="R25" s="494">
        <f>[28]Financials!V$28</f>
        <v>1958.4131195771838</v>
      </c>
      <c r="S25" s="494">
        <f>[28]Financials!W$28</f>
        <v>2007.1578368346634</v>
      </c>
      <c r="T25" s="494">
        <f>[28]Financials!X$28</f>
        <v>2017.1350406728309</v>
      </c>
      <c r="U25" s="494">
        <f>[28]Financials!Y$28</f>
        <v>1243.1579456902814</v>
      </c>
      <c r="V25" s="494">
        <f>[28]Financials!Z$28</f>
        <v>1272.9207946959607</v>
      </c>
      <c r="W25" s="494">
        <f>[28]Financials!AA$28</f>
        <v>1303.5303267656238</v>
      </c>
      <c r="X25" s="494">
        <f>[28]Financials!AB$28</f>
        <v>0</v>
      </c>
      <c r="Y25" s="494">
        <f>[28]Financials!AC$28</f>
        <v>0</v>
      </c>
      <c r="AA25" s="606">
        <f t="shared" si="1"/>
        <v>29793.01702771815</v>
      </c>
      <c r="AB25" s="607">
        <f t="shared" si="2"/>
        <v>14896.508513859075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1413.5194761367984</v>
      </c>
      <c r="F36" s="90">
        <f t="shared" si="4"/>
        <v>1330.7224389198302</v>
      </c>
      <c r="G36" s="90">
        <f t="shared" si="4"/>
        <v>1497.7590364368414</v>
      </c>
      <c r="H36" s="90">
        <f t="shared" si="4"/>
        <v>1534.9906889718054</v>
      </c>
      <c r="I36" s="90">
        <f t="shared" si="4"/>
        <v>1572.4349945805318</v>
      </c>
      <c r="J36" s="90">
        <f t="shared" si="4"/>
        <v>1611.7818264236321</v>
      </c>
      <c r="K36" s="90">
        <f t="shared" si="4"/>
        <v>1651.756854480258</v>
      </c>
      <c r="L36" s="90">
        <f t="shared" si="4"/>
        <v>1691.3657654599465</v>
      </c>
      <c r="M36" s="90">
        <f t="shared" si="4"/>
        <v>1733.0553096809772</v>
      </c>
      <c r="N36" s="90">
        <f t="shared" si="4"/>
        <v>1774.8803511833632</v>
      </c>
      <c r="O36" s="90">
        <f t="shared" si="4"/>
        <v>1817.8909353303895</v>
      </c>
      <c r="P36" s="90">
        <f t="shared" si="4"/>
        <v>1862.9409270886092</v>
      </c>
      <c r="Q36" s="90">
        <f t="shared" si="4"/>
        <v>1911.1228349254236</v>
      </c>
      <c r="R36" s="90">
        <f t="shared" si="4"/>
        <v>1958.4131195771838</v>
      </c>
      <c r="S36" s="90">
        <f t="shared" si="4"/>
        <v>2007.1578368346634</v>
      </c>
      <c r="T36" s="90">
        <f t="shared" si="4"/>
        <v>2017.1350406728309</v>
      </c>
      <c r="U36" s="90">
        <f t="shared" si="4"/>
        <v>1243.1579456902814</v>
      </c>
      <c r="V36" s="90">
        <f t="shared" si="4"/>
        <v>1272.9207946959607</v>
      </c>
      <c r="W36" s="90">
        <f t="shared" si="4"/>
        <v>1303.5303267656238</v>
      </c>
      <c r="X36" s="90">
        <f t="shared" si="4"/>
        <v>0</v>
      </c>
      <c r="Y36" s="90">
        <f t="shared" si="4"/>
        <v>0</v>
      </c>
      <c r="AA36" s="606">
        <f t="shared" si="1"/>
        <v>29793.01702771815</v>
      </c>
      <c r="AB36" s="607">
        <f t="shared" si="2"/>
        <v>14896.508513859075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3110.7626062596837</v>
      </c>
      <c r="F39" s="93">
        <f t="shared" si="5"/>
        <v>1079.9596996755051</v>
      </c>
      <c r="G39" s="93">
        <f t="shared" si="5"/>
        <v>790.57897149868245</v>
      </c>
      <c r="H39" s="93">
        <f t="shared" si="5"/>
        <v>801.00348068967151</v>
      </c>
      <c r="I39" s="93">
        <f t="shared" si="5"/>
        <v>805.76700044674158</v>
      </c>
      <c r="J39" s="93">
        <f t="shared" si="5"/>
        <v>818.61334236363564</v>
      </c>
      <c r="K39" s="93">
        <f t="shared" si="5"/>
        <v>828.68652129614293</v>
      </c>
      <c r="L39" s="93">
        <f t="shared" si="5"/>
        <v>822.78029054963372</v>
      </c>
      <c r="M39" s="93">
        <f t="shared" si="5"/>
        <v>823.89606377838845</v>
      </c>
      <c r="N39" s="93">
        <f t="shared" si="5"/>
        <v>815.35358904605596</v>
      </c>
      <c r="O39" s="93">
        <f t="shared" si="5"/>
        <v>806.53389836437668</v>
      </c>
      <c r="P39" s="93">
        <f t="shared" si="5"/>
        <v>805.05045763929525</v>
      </c>
      <c r="Q39" s="93">
        <f t="shared" si="5"/>
        <v>815.03305947204058</v>
      </c>
      <c r="R39" s="93">
        <f t="shared" si="5"/>
        <v>805.62277014703659</v>
      </c>
      <c r="S39" s="93">
        <f t="shared" si="5"/>
        <v>795.74801158897139</v>
      </c>
      <c r="T39" s="93">
        <f t="shared" si="5"/>
        <v>821.2279662106364</v>
      </c>
      <c r="U39" s="93">
        <f t="shared" si="5"/>
        <v>128.98912677218686</v>
      </c>
      <c r="V39" s="93">
        <f t="shared" si="5"/>
        <v>110.68404867453432</v>
      </c>
      <c r="W39" s="93">
        <f t="shared" si="5"/>
        <v>91.54907979741688</v>
      </c>
      <c r="X39" s="93">
        <f t="shared" si="5"/>
        <v>0</v>
      </c>
      <c r="Y39" s="93">
        <f t="shared" si="5"/>
        <v>0</v>
      </c>
      <c r="AA39" s="606">
        <f>SUM(F39:Y39)</f>
        <v>12767.077378010952</v>
      </c>
      <c r="AB39" s="607">
        <f t="shared" si="2"/>
        <v>6383.538689005476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181</v>
      </c>
      <c r="G41" s="90">
        <f t="shared" ref="G41:Y41" si="7">+G109</f>
        <v>181</v>
      </c>
      <c r="H41" s="90">
        <f t="shared" si="7"/>
        <v>181</v>
      </c>
      <c r="I41" s="90">
        <f t="shared" si="7"/>
        <v>181</v>
      </c>
      <c r="J41" s="90">
        <f t="shared" si="7"/>
        <v>181</v>
      </c>
      <c r="K41" s="90">
        <f t="shared" si="7"/>
        <v>181</v>
      </c>
      <c r="L41" s="90">
        <f t="shared" si="7"/>
        <v>181</v>
      </c>
      <c r="M41" s="90">
        <f t="shared" si="7"/>
        <v>181</v>
      </c>
      <c r="N41" s="90">
        <f t="shared" si="7"/>
        <v>181</v>
      </c>
      <c r="O41" s="90">
        <f t="shared" si="7"/>
        <v>181</v>
      </c>
      <c r="P41" s="90">
        <f t="shared" si="7"/>
        <v>181</v>
      </c>
      <c r="Q41" s="90">
        <f t="shared" si="7"/>
        <v>181</v>
      </c>
      <c r="R41" s="90">
        <f t="shared" si="7"/>
        <v>181</v>
      </c>
      <c r="S41" s="90">
        <f t="shared" si="7"/>
        <v>181</v>
      </c>
      <c r="T41" s="90">
        <f t="shared" si="7"/>
        <v>181</v>
      </c>
      <c r="U41" s="90">
        <f t="shared" si="7"/>
        <v>181</v>
      </c>
      <c r="V41" s="90">
        <f t="shared" si="7"/>
        <v>181</v>
      </c>
      <c r="W41" s="90">
        <f t="shared" si="7"/>
        <v>181</v>
      </c>
      <c r="X41" s="90">
        <f t="shared" si="7"/>
        <v>0</v>
      </c>
      <c r="Y41" s="90">
        <f t="shared" si="7"/>
        <v>0</v>
      </c>
      <c r="AA41" s="606">
        <f t="shared" si="6"/>
        <v>3258</v>
      </c>
      <c r="AB41" s="607">
        <f t="shared" si="2"/>
        <v>1629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3110.7626062596837</v>
      </c>
      <c r="F44" s="93">
        <f t="shared" si="8"/>
        <v>898.95969967550514</v>
      </c>
      <c r="G44" s="93">
        <f t="shared" si="8"/>
        <v>609.57897149868245</v>
      </c>
      <c r="H44" s="93">
        <f t="shared" si="8"/>
        <v>620.00348068967151</v>
      </c>
      <c r="I44" s="93">
        <f t="shared" si="8"/>
        <v>624.76700044674158</v>
      </c>
      <c r="J44" s="93">
        <f t="shared" si="8"/>
        <v>637.61334236363564</v>
      </c>
      <c r="K44" s="93">
        <f t="shared" si="8"/>
        <v>647.68652129614293</v>
      </c>
      <c r="L44" s="93">
        <f t="shared" si="8"/>
        <v>641.78029054963372</v>
      </c>
      <c r="M44" s="93">
        <f t="shared" si="8"/>
        <v>642.89606377838845</v>
      </c>
      <c r="N44" s="93">
        <f t="shared" si="8"/>
        <v>634.35358904605596</v>
      </c>
      <c r="O44" s="93">
        <f t="shared" si="8"/>
        <v>625.53389836437668</v>
      </c>
      <c r="P44" s="93">
        <f t="shared" si="8"/>
        <v>624.05045763929525</v>
      </c>
      <c r="Q44" s="93">
        <f t="shared" si="8"/>
        <v>634.03305947204058</v>
      </c>
      <c r="R44" s="93">
        <f t="shared" si="8"/>
        <v>624.62277014703659</v>
      </c>
      <c r="S44" s="93">
        <f t="shared" si="8"/>
        <v>614.74801158897139</v>
      </c>
      <c r="T44" s="93">
        <f t="shared" si="8"/>
        <v>640.2279662106364</v>
      </c>
      <c r="U44" s="93">
        <f t="shared" si="8"/>
        <v>-52.010873227813136</v>
      </c>
      <c r="V44" s="93">
        <f t="shared" si="8"/>
        <v>-70.315951325465676</v>
      </c>
      <c r="W44" s="93">
        <f t="shared" si="8"/>
        <v>-89.45092020258312</v>
      </c>
      <c r="X44" s="93">
        <f t="shared" si="8"/>
        <v>0</v>
      </c>
      <c r="Y44" s="93">
        <f t="shared" si="8"/>
        <v>0</v>
      </c>
      <c r="AA44" s="606">
        <f t="shared" si="6"/>
        <v>9509.0773780109521</v>
      </c>
      <c r="AB44" s="607">
        <f t="shared" si="2"/>
        <v>4754.538689005476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3110.7626062596837</v>
      </c>
      <c r="F49" s="93">
        <f t="shared" si="9"/>
        <v>898.95969967550514</v>
      </c>
      <c r="G49" s="93">
        <f t="shared" si="9"/>
        <v>609.57897149868245</v>
      </c>
      <c r="H49" s="93">
        <f t="shared" si="9"/>
        <v>620.00348068967151</v>
      </c>
      <c r="I49" s="93">
        <f t="shared" si="9"/>
        <v>624.76700044674158</v>
      </c>
      <c r="J49" s="93">
        <f t="shared" si="9"/>
        <v>637.61334236363564</v>
      </c>
      <c r="K49" s="93">
        <f t="shared" si="9"/>
        <v>647.68652129614293</v>
      </c>
      <c r="L49" s="93">
        <f t="shared" si="9"/>
        <v>641.78029054963372</v>
      </c>
      <c r="M49" s="93">
        <f t="shared" si="9"/>
        <v>642.89606377838845</v>
      </c>
      <c r="N49" s="93">
        <f t="shared" si="9"/>
        <v>634.35358904605596</v>
      </c>
      <c r="O49" s="93">
        <f t="shared" si="9"/>
        <v>625.53389836437668</v>
      </c>
      <c r="P49" s="93">
        <f t="shared" si="9"/>
        <v>624.05045763929525</v>
      </c>
      <c r="Q49" s="93">
        <f t="shared" si="9"/>
        <v>634.03305947204058</v>
      </c>
      <c r="R49" s="93">
        <f t="shared" si="9"/>
        <v>624.62277014703659</v>
      </c>
      <c r="S49" s="93">
        <f t="shared" si="9"/>
        <v>614.74801158897139</v>
      </c>
      <c r="T49" s="93">
        <f t="shared" si="9"/>
        <v>640.2279662106364</v>
      </c>
      <c r="U49" s="93">
        <f t="shared" si="9"/>
        <v>-52.010873227813136</v>
      </c>
      <c r="V49" s="93">
        <f t="shared" si="9"/>
        <v>-70.315951325465676</v>
      </c>
      <c r="W49" s="93">
        <f t="shared" si="9"/>
        <v>-89.45092020258312</v>
      </c>
      <c r="X49" s="93">
        <f t="shared" si="9"/>
        <v>0</v>
      </c>
      <c r="Y49" s="93">
        <f t="shared" si="9"/>
        <v>0</v>
      </c>
      <c r="AA49" s="606">
        <f t="shared" si="6"/>
        <v>9509.0773780109521</v>
      </c>
      <c r="AB49" s="607">
        <f t="shared" si="2"/>
        <v>4754.538689005476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-155.53813031298421</v>
      </c>
      <c r="F51" s="90">
        <f t="shared" si="10"/>
        <v>-44.947984983775257</v>
      </c>
      <c r="G51" s="55">
        <f t="shared" si="10"/>
        <v>-30.478948574934122</v>
      </c>
      <c r="H51" s="90">
        <f t="shared" si="10"/>
        <v>-31.000174034483578</v>
      </c>
      <c r="I51" s="90">
        <f t="shared" si="10"/>
        <v>-31.23835002233708</v>
      </c>
      <c r="J51" s="90">
        <f t="shared" si="10"/>
        <v>-31.880667118181783</v>
      </c>
      <c r="K51" s="90">
        <f t="shared" si="10"/>
        <v>-32.384326064807148</v>
      </c>
      <c r="L51" s="90">
        <f t="shared" si="10"/>
        <v>-32.089014527481687</v>
      </c>
      <c r="M51" s="90">
        <f t="shared" si="10"/>
        <v>-32.144803188919425</v>
      </c>
      <c r="N51" s="90">
        <f t="shared" si="10"/>
        <v>-31.7176794523028</v>
      </c>
      <c r="O51" s="90">
        <f t="shared" si="10"/>
        <v>-31.276694918218837</v>
      </c>
      <c r="P51" s="90">
        <f t="shared" si="10"/>
        <v>-31.202522881964764</v>
      </c>
      <c r="Q51" s="90">
        <f t="shared" si="10"/>
        <v>-31.70165297360203</v>
      </c>
      <c r="R51" s="90">
        <f t="shared" si="10"/>
        <v>-31.23113850735183</v>
      </c>
      <c r="S51" s="90">
        <f t="shared" si="10"/>
        <v>-30.737400579448572</v>
      </c>
      <c r="T51" s="90">
        <f t="shared" si="10"/>
        <v>-32.011398310531824</v>
      </c>
      <c r="U51" s="90">
        <f t="shared" si="10"/>
        <v>2.600543661390657</v>
      </c>
      <c r="V51" s="90">
        <f t="shared" si="10"/>
        <v>3.5157975662732839</v>
      </c>
      <c r="W51" s="90">
        <f t="shared" si="10"/>
        <v>4.4725460101291565</v>
      </c>
      <c r="X51" s="90">
        <f t="shared" si="10"/>
        <v>0</v>
      </c>
      <c r="Y51" s="90">
        <f t="shared" si="10"/>
        <v>0</v>
      </c>
      <c r="AA51" s="606">
        <f t="shared" si="6"/>
        <v>-475.45386890054755</v>
      </c>
      <c r="AB51" s="607">
        <f t="shared" si="2"/>
        <v>-237.72693445027377</v>
      </c>
    </row>
    <row r="52" spans="1:28">
      <c r="A52" s="4" t="s">
        <v>29</v>
      </c>
      <c r="C52" s="143">
        <v>0.35</v>
      </c>
      <c r="D52" s="89"/>
      <c r="E52" s="89">
        <f>((E49+E51)*-$C$52)+E56</f>
        <v>-1034.3285665813448</v>
      </c>
      <c r="F52" s="89">
        <f t="shared" ref="F52:Y52" si="11">((F49+F51)*-$C$52)+F56</f>
        <v>-298.90410014210539</v>
      </c>
      <c r="G52" s="89">
        <f t="shared" si="11"/>
        <v>-202.68500802331192</v>
      </c>
      <c r="H52" s="89">
        <f t="shared" si="11"/>
        <v>-206.15115732931574</v>
      </c>
      <c r="I52" s="89">
        <f t="shared" si="11"/>
        <v>-207.73502764854157</v>
      </c>
      <c r="J52" s="89">
        <f t="shared" si="11"/>
        <v>-212.00643633590883</v>
      </c>
      <c r="K52" s="89">
        <f t="shared" si="11"/>
        <v>-215.35576833096749</v>
      </c>
      <c r="L52" s="89">
        <f t="shared" si="11"/>
        <v>-213.3919466077532</v>
      </c>
      <c r="M52" s="89">
        <f t="shared" si="11"/>
        <v>-213.76294120631414</v>
      </c>
      <c r="N52" s="89">
        <f t="shared" si="11"/>
        <v>-210.92256835781359</v>
      </c>
      <c r="O52" s="89">
        <f t="shared" si="11"/>
        <v>-207.99002120615523</v>
      </c>
      <c r="P52" s="89">
        <f t="shared" si="11"/>
        <v>-207.49677716506565</v>
      </c>
      <c r="Q52" s="89">
        <f t="shared" si="11"/>
        <v>-210.81599227445349</v>
      </c>
      <c r="R52" s="89">
        <f t="shared" si="11"/>
        <v>-207.68707107388965</v>
      </c>
      <c r="S52" s="89">
        <f t="shared" si="11"/>
        <v>-204.40371385333296</v>
      </c>
      <c r="T52" s="89">
        <f t="shared" si="11"/>
        <v>-212.87579876503659</v>
      </c>
      <c r="U52" s="89">
        <f t="shared" si="11"/>
        <v>17.293615348247865</v>
      </c>
      <c r="V52" s="89">
        <f t="shared" si="11"/>
        <v>23.380053815717339</v>
      </c>
      <c r="W52" s="89">
        <f t="shared" si="11"/>
        <v>29.742430967358889</v>
      </c>
      <c r="X52" s="89">
        <f t="shared" si="11"/>
        <v>0</v>
      </c>
      <c r="Y52" s="89">
        <f t="shared" si="11"/>
        <v>0</v>
      </c>
      <c r="AA52" s="606">
        <f t="shared" si="6"/>
        <v>-3161.7682281886414</v>
      </c>
      <c r="AB52" s="607">
        <f t="shared" si="2"/>
        <v>-1580.8841140943207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1920.8959093653546</v>
      </c>
      <c r="F54" s="93">
        <f t="shared" si="12"/>
        <v>555.10761454962449</v>
      </c>
      <c r="G54" s="93">
        <f t="shared" si="12"/>
        <v>376.41501490043646</v>
      </c>
      <c r="H54" s="93">
        <f t="shared" si="12"/>
        <v>382.85214932587212</v>
      </c>
      <c r="I54" s="93">
        <f t="shared" si="12"/>
        <v>385.79362277586296</v>
      </c>
      <c r="J54" s="93">
        <f t="shared" si="12"/>
        <v>393.72623890954503</v>
      </c>
      <c r="K54" s="93">
        <f t="shared" si="12"/>
        <v>399.94642690036824</v>
      </c>
      <c r="L54" s="93">
        <f t="shared" si="12"/>
        <v>396.29932941439881</v>
      </c>
      <c r="M54" s="93">
        <f t="shared" si="12"/>
        <v>396.98831938315482</v>
      </c>
      <c r="N54" s="93">
        <f t="shared" si="12"/>
        <v>391.71334123593954</v>
      </c>
      <c r="O54" s="93">
        <f t="shared" si="12"/>
        <v>386.26718224000263</v>
      </c>
      <c r="P54" s="93">
        <f t="shared" si="12"/>
        <v>385.35115759226483</v>
      </c>
      <c r="Q54" s="93">
        <f t="shared" si="12"/>
        <v>391.51541422398509</v>
      </c>
      <c r="R54" s="93">
        <f t="shared" si="12"/>
        <v>385.70456056579508</v>
      </c>
      <c r="S54" s="93">
        <f t="shared" si="12"/>
        <v>379.6068971561898</v>
      </c>
      <c r="T54" s="93">
        <f t="shared" si="12"/>
        <v>395.34076913506794</v>
      </c>
      <c r="U54" s="93">
        <f t="shared" si="12"/>
        <v>-32.116714218174607</v>
      </c>
      <c r="V54" s="93">
        <f t="shared" si="12"/>
        <v>-43.420099943475059</v>
      </c>
      <c r="W54" s="93">
        <f t="shared" si="12"/>
        <v>-55.235943225095085</v>
      </c>
      <c r="X54" s="93">
        <f t="shared" si="12"/>
        <v>0</v>
      </c>
      <c r="Y54" s="93">
        <f t="shared" si="12"/>
        <v>0</v>
      </c>
      <c r="AA54" s="606">
        <f t="shared" si="6"/>
        <v>5871.8552809217626</v>
      </c>
      <c r="AB54" s="607">
        <f t="shared" si="2"/>
        <v>2935.9276404608813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3110.7626062596837</v>
      </c>
      <c r="F64" s="20">
        <f t="shared" si="14"/>
        <v>1079.9596996755051</v>
      </c>
      <c r="G64" s="24">
        <f t="shared" si="14"/>
        <v>790.57897149868245</v>
      </c>
      <c r="H64" s="20">
        <f t="shared" si="14"/>
        <v>801.00348068967151</v>
      </c>
      <c r="I64" s="20">
        <f t="shared" si="14"/>
        <v>805.76700044674158</v>
      </c>
      <c r="J64" s="20">
        <f t="shared" si="14"/>
        <v>818.61334236363564</v>
      </c>
      <c r="K64" s="20">
        <f t="shared" si="14"/>
        <v>828.68652129614293</v>
      </c>
      <c r="L64" s="20">
        <f t="shared" si="14"/>
        <v>822.78029054963372</v>
      </c>
      <c r="M64" s="20">
        <f t="shared" si="14"/>
        <v>823.89606377838845</v>
      </c>
      <c r="N64" s="20">
        <f t="shared" si="14"/>
        <v>815.35358904605596</v>
      </c>
      <c r="O64" s="20">
        <f t="shared" si="14"/>
        <v>806.53389836437668</v>
      </c>
      <c r="P64" s="20">
        <f t="shared" si="14"/>
        <v>805.05045763929525</v>
      </c>
      <c r="Q64" s="20">
        <f t="shared" si="14"/>
        <v>815.03305947204058</v>
      </c>
      <c r="R64" s="20">
        <f t="shared" si="14"/>
        <v>805.62277014703659</v>
      </c>
      <c r="S64" s="20">
        <f t="shared" si="14"/>
        <v>795.74801158897139</v>
      </c>
      <c r="T64" s="20">
        <f t="shared" si="14"/>
        <v>821.2279662106364</v>
      </c>
      <c r="U64" s="20">
        <f t="shared" si="14"/>
        <v>128.98912677218686</v>
      </c>
      <c r="V64" s="20">
        <f t="shared" si="14"/>
        <v>110.68404867453432</v>
      </c>
      <c r="W64" s="20">
        <f t="shared" si="14"/>
        <v>91.54907979741688</v>
      </c>
      <c r="X64" s="20">
        <f t="shared" si="14"/>
        <v>0</v>
      </c>
      <c r="Y64" s="20">
        <f t="shared" si="14"/>
        <v>0</v>
      </c>
      <c r="AA64" s="606">
        <f t="shared" si="6"/>
        <v>12767.077378010952</v>
      </c>
      <c r="AB64" s="607">
        <f t="shared" si="2"/>
        <v>6383.538689005476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3110.7626062596837</v>
      </c>
      <c r="F69" s="95">
        <f t="shared" si="15"/>
        <v>1079.9596996755051</v>
      </c>
      <c r="G69" s="95">
        <f t="shared" si="15"/>
        <v>790.57897149868245</v>
      </c>
      <c r="H69" s="95">
        <f t="shared" si="15"/>
        <v>801.00348068967151</v>
      </c>
      <c r="I69" s="95">
        <f t="shared" si="15"/>
        <v>805.76700044674158</v>
      </c>
      <c r="J69" s="95">
        <f t="shared" si="15"/>
        <v>818.61334236363564</v>
      </c>
      <c r="K69" s="95">
        <f t="shared" si="15"/>
        <v>828.68652129614293</v>
      </c>
      <c r="L69" s="95">
        <f t="shared" si="15"/>
        <v>822.78029054963372</v>
      </c>
      <c r="M69" s="95">
        <f t="shared" si="15"/>
        <v>823.89606377838845</v>
      </c>
      <c r="N69" s="95">
        <f t="shared" si="15"/>
        <v>815.35358904605596</v>
      </c>
      <c r="O69" s="95">
        <f t="shared" si="15"/>
        <v>806.53389836437668</v>
      </c>
      <c r="P69" s="95">
        <f t="shared" si="15"/>
        <v>805.05045763929525</v>
      </c>
      <c r="Q69" s="95">
        <f t="shared" si="15"/>
        <v>815.03305947204058</v>
      </c>
      <c r="R69" s="95">
        <f t="shared" si="15"/>
        <v>805.62277014703659</v>
      </c>
      <c r="S69" s="95">
        <f t="shared" si="15"/>
        <v>795.74801158897139</v>
      </c>
      <c r="T69" s="95">
        <f t="shared" si="15"/>
        <v>821.2279662106364</v>
      </c>
      <c r="U69" s="95">
        <f t="shared" si="15"/>
        <v>128.98912677218686</v>
      </c>
      <c r="V69" s="95">
        <f t="shared" si="15"/>
        <v>110.68404867453432</v>
      </c>
      <c r="W69" s="95">
        <f t="shared" si="15"/>
        <v>91.54907979741688</v>
      </c>
      <c r="X69" s="95">
        <f t="shared" si="15"/>
        <v>0</v>
      </c>
      <c r="Y69" s="95">
        <f t="shared" si="15"/>
        <v>0</v>
      </c>
      <c r="AA69" s="606">
        <f t="shared" si="6"/>
        <v>12767.077378010952</v>
      </c>
      <c r="AB69" s="607">
        <f t="shared" si="2"/>
        <v>6383.538689005476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2.3946735189963579</v>
      </c>
      <c r="G71" s="100">
        <f t="shared" si="16"/>
        <v>362.37035723355729</v>
      </c>
      <c r="H71" s="100">
        <f t="shared" si="16"/>
        <v>92.476256935282649</v>
      </c>
      <c r="I71" s="100">
        <f t="shared" si="16"/>
        <v>-68.889824691429439</v>
      </c>
      <c r="J71" s="100">
        <f t="shared" si="16"/>
        <v>-73.803550474641412</v>
      </c>
      <c r="K71" s="100">
        <f t="shared" si="16"/>
        <v>-197.31456790605006</v>
      </c>
      <c r="L71" s="100">
        <f t="shared" si="16"/>
        <v>-314.71346113523487</v>
      </c>
      <c r="M71" s="100">
        <f t="shared" si="16"/>
        <v>-315.14024439523354</v>
      </c>
      <c r="N71" s="100">
        <f t="shared" si="16"/>
        <v>-311.87274781011638</v>
      </c>
      <c r="O71" s="100">
        <f t="shared" si="16"/>
        <v>-308.49921612437407</v>
      </c>
      <c r="P71" s="100">
        <f t="shared" si="16"/>
        <v>-307.93180004703044</v>
      </c>
      <c r="Q71" s="100">
        <f t="shared" si="16"/>
        <v>-311.75014524805545</v>
      </c>
      <c r="R71" s="100">
        <f t="shared" si="16"/>
        <v>-308.15070958124153</v>
      </c>
      <c r="S71" s="100">
        <f t="shared" si="16"/>
        <v>-304.37361443278155</v>
      </c>
      <c r="T71" s="100">
        <f t="shared" si="16"/>
        <v>-314.11969707556841</v>
      </c>
      <c r="U71" s="100">
        <f t="shared" si="16"/>
        <v>-49.338340990361473</v>
      </c>
      <c r="V71" s="100">
        <f t="shared" si="16"/>
        <v>-42.336648618009377</v>
      </c>
      <c r="W71" s="100">
        <f t="shared" si="16"/>
        <v>-35.017523022511952</v>
      </c>
      <c r="X71" s="100">
        <f t="shared" si="16"/>
        <v>0</v>
      </c>
      <c r="Y71" s="100">
        <f t="shared" si="16"/>
        <v>0</v>
      </c>
      <c r="AA71" s="606">
        <f t="shared" si="6"/>
        <v>-2806.0108038648032</v>
      </c>
      <c r="AB71" s="607">
        <f t="shared" si="2"/>
        <v>-1403.0054019324016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3110.7626062596837</v>
      </c>
      <c r="F73" s="28">
        <f t="shared" si="17"/>
        <v>1082.3543731945015</v>
      </c>
      <c r="G73" s="28">
        <f t="shared" si="17"/>
        <v>1152.9493287322398</v>
      </c>
      <c r="H73" s="28">
        <f t="shared" si="17"/>
        <v>893.47973762495417</v>
      </c>
      <c r="I73" s="28">
        <f t="shared" si="17"/>
        <v>736.87717575531212</v>
      </c>
      <c r="J73" s="28">
        <f t="shared" si="17"/>
        <v>744.80979188899425</v>
      </c>
      <c r="K73" s="28">
        <f t="shared" si="17"/>
        <v>631.37195339009281</v>
      </c>
      <c r="L73" s="28">
        <f t="shared" si="17"/>
        <v>508.06682941439885</v>
      </c>
      <c r="M73" s="28">
        <f t="shared" si="17"/>
        <v>508.75581938315491</v>
      </c>
      <c r="N73" s="28">
        <f t="shared" si="17"/>
        <v>503.48084123593958</v>
      </c>
      <c r="O73" s="28">
        <f t="shared" si="17"/>
        <v>498.03468224000261</v>
      </c>
      <c r="P73" s="28">
        <f t="shared" si="17"/>
        <v>497.11865759226481</v>
      </c>
      <c r="Q73" s="28">
        <f t="shared" si="17"/>
        <v>503.28291422398513</v>
      </c>
      <c r="R73" s="28">
        <f t="shared" si="17"/>
        <v>497.47206056579506</v>
      </c>
      <c r="S73" s="28">
        <f t="shared" si="17"/>
        <v>491.37439715618984</v>
      </c>
      <c r="T73" s="28">
        <f t="shared" si="17"/>
        <v>507.10826913506799</v>
      </c>
      <c r="U73" s="28">
        <f t="shared" si="17"/>
        <v>79.650785781825391</v>
      </c>
      <c r="V73" s="28">
        <f t="shared" si="17"/>
        <v>68.347400056524947</v>
      </c>
      <c r="W73" s="28">
        <f t="shared" si="17"/>
        <v>56.531556774904928</v>
      </c>
      <c r="X73" s="28">
        <f t="shared" si="17"/>
        <v>0</v>
      </c>
      <c r="Y73" s="28">
        <f t="shared" si="17"/>
        <v>0</v>
      </c>
      <c r="AA73" s="606">
        <f t="shared" si="6"/>
        <v>9961.0665741461489</v>
      </c>
      <c r="AB73" s="607">
        <f t="shared" si="2"/>
        <v>4980.5332870730745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960.44795468267728</v>
      </c>
      <c r="F76" s="28">
        <f t="shared" si="19"/>
        <v>277.55380727481224</v>
      </c>
      <c r="G76" s="95">
        <f t="shared" si="19"/>
        <v>188.20750745021823</v>
      </c>
      <c r="H76" s="28">
        <f t="shared" si="19"/>
        <v>191.42607466293606</v>
      </c>
      <c r="I76" s="28">
        <f t="shared" si="19"/>
        <v>192.89681138793148</v>
      </c>
      <c r="J76" s="28">
        <f t="shared" si="19"/>
        <v>196.86311945477252</v>
      </c>
      <c r="K76" s="28">
        <f t="shared" si="19"/>
        <v>199.97321345018412</v>
      </c>
      <c r="L76" s="28">
        <f t="shared" si="19"/>
        <v>198.14966470719941</v>
      </c>
      <c r="M76" s="28">
        <f t="shared" si="19"/>
        <v>198.49415969157741</v>
      </c>
      <c r="N76" s="28">
        <f t="shared" si="19"/>
        <v>195.85667061796977</v>
      </c>
      <c r="O76" s="28">
        <f t="shared" si="19"/>
        <v>193.13359112000131</v>
      </c>
      <c r="P76" s="28">
        <f t="shared" si="19"/>
        <v>192.67557879613241</v>
      </c>
      <c r="Q76" s="28">
        <f t="shared" si="19"/>
        <v>195.75770711199254</v>
      </c>
      <c r="R76" s="28">
        <f t="shared" si="19"/>
        <v>192.85228028289754</v>
      </c>
      <c r="S76" s="28">
        <f t="shared" si="19"/>
        <v>189.8034485780949</v>
      </c>
      <c r="T76" s="28">
        <f t="shared" si="19"/>
        <v>197.67038456753397</v>
      </c>
      <c r="U76" s="28">
        <f t="shared" si="19"/>
        <v>-16.058357109087304</v>
      </c>
      <c r="V76" s="28">
        <f t="shared" si="19"/>
        <v>-21.710049971737529</v>
      </c>
      <c r="W76" s="28">
        <f t="shared" si="19"/>
        <v>-27.617971612547542</v>
      </c>
      <c r="X76" s="28">
        <f t="shared" si="19"/>
        <v>0</v>
      </c>
      <c r="Y76" s="28">
        <f t="shared" si="19"/>
        <v>0</v>
      </c>
      <c r="AA76" s="606">
        <f t="shared" si="6"/>
        <v>2935.9276404608813</v>
      </c>
      <c r="AB76" s="607">
        <f>AA76</f>
        <v>2935.9276404608813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1555.3813031298419</v>
      </c>
      <c r="F77" s="28">
        <f t="shared" si="20"/>
        <v>541.17718659725074</v>
      </c>
      <c r="G77" s="95">
        <f t="shared" si="20"/>
        <v>576.4746643661199</v>
      </c>
      <c r="H77" s="28">
        <f t="shared" si="20"/>
        <v>446.73986881247708</v>
      </c>
      <c r="I77" s="28">
        <f t="shared" si="20"/>
        <v>368.43858787765606</v>
      </c>
      <c r="J77" s="28">
        <f t="shared" si="20"/>
        <v>372.40489594449713</v>
      </c>
      <c r="K77" s="28">
        <f t="shared" si="20"/>
        <v>315.68597669504641</v>
      </c>
      <c r="L77" s="28">
        <f t="shared" si="20"/>
        <v>254.03341470719943</v>
      </c>
      <c r="M77" s="28">
        <f t="shared" si="20"/>
        <v>254.37790969157746</v>
      </c>
      <c r="N77" s="28">
        <f t="shared" si="20"/>
        <v>251.74042061796979</v>
      </c>
      <c r="O77" s="28">
        <f t="shared" si="20"/>
        <v>249.0173411200013</v>
      </c>
      <c r="P77" s="28">
        <f t="shared" si="20"/>
        <v>248.55932879613241</v>
      </c>
      <c r="Q77" s="28">
        <f t="shared" si="20"/>
        <v>251.64145711199257</v>
      </c>
      <c r="R77" s="28">
        <f t="shared" si="20"/>
        <v>248.73603028289753</v>
      </c>
      <c r="S77" s="28">
        <f t="shared" si="20"/>
        <v>245.68719857809492</v>
      </c>
      <c r="T77" s="28">
        <f t="shared" si="20"/>
        <v>253.55413456753399</v>
      </c>
      <c r="U77" s="28">
        <f t="shared" si="20"/>
        <v>39.825392890912696</v>
      </c>
      <c r="V77" s="28">
        <f t="shared" si="20"/>
        <v>34.173700028262473</v>
      </c>
      <c r="W77" s="28">
        <f t="shared" si="20"/>
        <v>28.265778387452464</v>
      </c>
      <c r="X77" s="28">
        <f t="shared" si="20"/>
        <v>0</v>
      </c>
      <c r="Y77" s="28">
        <f t="shared" si="20"/>
        <v>0</v>
      </c>
      <c r="AA77" s="606">
        <f t="shared" si="6"/>
        <v>4980.5332870730745</v>
      </c>
      <c r="AB77" s="607">
        <f>AA77</f>
        <v>4980.5332870730745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1079.9596996755051</v>
      </c>
      <c r="G88" s="200">
        <f t="shared" ref="G88:Y88" si="22">G69</f>
        <v>790.57897149868245</v>
      </c>
      <c r="H88" s="200">
        <f t="shared" si="22"/>
        <v>801.00348068967151</v>
      </c>
      <c r="I88" s="200">
        <f t="shared" si="22"/>
        <v>805.76700044674158</v>
      </c>
      <c r="J88" s="200">
        <f t="shared" si="22"/>
        <v>818.61334236363564</v>
      </c>
      <c r="K88" s="200">
        <f t="shared" si="22"/>
        <v>828.68652129614293</v>
      </c>
      <c r="L88" s="200">
        <f t="shared" si="22"/>
        <v>822.78029054963372</v>
      </c>
      <c r="M88" s="200">
        <f t="shared" si="22"/>
        <v>823.89606377838845</v>
      </c>
      <c r="N88" s="200">
        <f t="shared" si="22"/>
        <v>815.35358904605596</v>
      </c>
      <c r="O88" s="200">
        <f t="shared" si="22"/>
        <v>806.53389836437668</v>
      </c>
      <c r="P88" s="200">
        <f t="shared" si="22"/>
        <v>805.05045763929525</v>
      </c>
      <c r="Q88" s="200">
        <f t="shared" si="22"/>
        <v>815.03305947204058</v>
      </c>
      <c r="R88" s="200">
        <f t="shared" si="22"/>
        <v>805.62277014703659</v>
      </c>
      <c r="S88" s="200">
        <f t="shared" si="22"/>
        <v>795.74801158897139</v>
      </c>
      <c r="T88" s="200">
        <f t="shared" si="22"/>
        <v>821.2279662106364</v>
      </c>
      <c r="U88" s="200">
        <f t="shared" si="22"/>
        <v>128.98912677218686</v>
      </c>
      <c r="V88" s="200">
        <f t="shared" si="22"/>
        <v>110.68404867453432</v>
      </c>
      <c r="W88" s="200">
        <f t="shared" si="22"/>
        <v>91.54907979741688</v>
      </c>
      <c r="X88" s="200">
        <f t="shared" si="22"/>
        <v>0</v>
      </c>
      <c r="Y88" s="200">
        <f t="shared" si="22"/>
        <v>0</v>
      </c>
      <c r="AA88" s="606">
        <f t="shared" si="6"/>
        <v>12767.077378010952</v>
      </c>
      <c r="AB88" s="607">
        <f t="shared" si="18"/>
        <v>6383.538689005476</v>
      </c>
    </row>
    <row r="89" spans="1:30" s="199" customFormat="1">
      <c r="A89" s="199" t="s">
        <v>53</v>
      </c>
      <c r="F89" s="110">
        <f>F126+F127</f>
        <v>2.3946735189963579</v>
      </c>
      <c r="G89" s="110">
        <f t="shared" ref="G89:Y89" si="23">G126+G127</f>
        <v>362.37035723355729</v>
      </c>
      <c r="H89" s="110">
        <f t="shared" si="23"/>
        <v>92.476256935282649</v>
      </c>
      <c r="I89" s="110">
        <f t="shared" si="23"/>
        <v>-68.889824691429439</v>
      </c>
      <c r="J89" s="110">
        <f t="shared" si="23"/>
        <v>-73.803550474641412</v>
      </c>
      <c r="K89" s="110">
        <f t="shared" si="23"/>
        <v>-197.31456790605006</v>
      </c>
      <c r="L89" s="110">
        <f t="shared" si="23"/>
        <v>-314.71346113523487</v>
      </c>
      <c r="M89" s="110">
        <f t="shared" si="23"/>
        <v>-315.14024439523354</v>
      </c>
      <c r="N89" s="110">
        <f t="shared" si="23"/>
        <v>-311.87274781011638</v>
      </c>
      <c r="O89" s="110">
        <f t="shared" si="23"/>
        <v>-308.49921612437407</v>
      </c>
      <c r="P89" s="110">
        <f t="shared" si="23"/>
        <v>-307.93180004703044</v>
      </c>
      <c r="Q89" s="110">
        <f t="shared" si="23"/>
        <v>-311.75014524805545</v>
      </c>
      <c r="R89" s="110">
        <f t="shared" si="23"/>
        <v>-308.15070958124153</v>
      </c>
      <c r="S89" s="110">
        <f t="shared" si="23"/>
        <v>-304.37361443278155</v>
      </c>
      <c r="T89" s="110">
        <f t="shared" si="23"/>
        <v>-314.11969707556841</v>
      </c>
      <c r="U89" s="110">
        <f t="shared" si="23"/>
        <v>-49.338340990361473</v>
      </c>
      <c r="V89" s="110">
        <f t="shared" si="23"/>
        <v>-42.336648618009377</v>
      </c>
      <c r="W89" s="110">
        <f t="shared" si="23"/>
        <v>-35.017523022511952</v>
      </c>
      <c r="X89" s="110">
        <f t="shared" si="23"/>
        <v>0</v>
      </c>
      <c r="Y89" s="110">
        <f t="shared" si="23"/>
        <v>0</v>
      </c>
      <c r="AA89" s="606">
        <f t="shared" si="6"/>
        <v>-2806.0108038648032</v>
      </c>
      <c r="AB89" s="607">
        <f t="shared" si="18"/>
        <v>-1403.0054019324016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732.39263837933504</v>
      </c>
      <c r="X91" s="111">
        <v>0</v>
      </c>
      <c r="Y91" s="111"/>
      <c r="AA91" s="606">
        <f t="shared" si="6"/>
        <v>732.39263837933504</v>
      </c>
      <c r="AB91" s="607">
        <f t="shared" si="18"/>
        <v>366.19631918966752</v>
      </c>
    </row>
    <row r="92" spans="1:30" s="199" customFormat="1">
      <c r="A92" s="199" t="s">
        <v>55</v>
      </c>
      <c r="E92" s="502">
        <v>-6034.5571335494133</v>
      </c>
      <c r="F92" s="200">
        <f>SUM(F88:F91)</f>
        <v>1082.3543731945015</v>
      </c>
      <c r="G92" s="200">
        <f t="shared" ref="G92:Y92" si="25">SUM(G88:G91)</f>
        <v>1152.9493287322398</v>
      </c>
      <c r="H92" s="200">
        <f t="shared" si="25"/>
        <v>893.47973762495417</v>
      </c>
      <c r="I92" s="200">
        <f t="shared" si="25"/>
        <v>736.87717575531212</v>
      </c>
      <c r="J92" s="200">
        <f t="shared" si="25"/>
        <v>744.80979188899425</v>
      </c>
      <c r="K92" s="200">
        <f t="shared" si="25"/>
        <v>631.37195339009281</v>
      </c>
      <c r="L92" s="200">
        <f t="shared" si="25"/>
        <v>508.06682941439885</v>
      </c>
      <c r="M92" s="200">
        <f t="shared" si="25"/>
        <v>508.75581938315491</v>
      </c>
      <c r="N92" s="200">
        <f t="shared" si="25"/>
        <v>503.48084123593958</v>
      </c>
      <c r="O92" s="200">
        <f t="shared" si="25"/>
        <v>498.03468224000261</v>
      </c>
      <c r="P92" s="200">
        <f t="shared" si="25"/>
        <v>497.11865759226481</v>
      </c>
      <c r="Q92" s="200">
        <f t="shared" si="25"/>
        <v>503.28291422398513</v>
      </c>
      <c r="R92" s="200">
        <f t="shared" si="25"/>
        <v>497.47206056579506</v>
      </c>
      <c r="S92" s="200">
        <f t="shared" si="25"/>
        <v>491.37439715618984</v>
      </c>
      <c r="T92" s="200">
        <f t="shared" si="25"/>
        <v>507.10826913506799</v>
      </c>
      <c r="U92" s="200">
        <f t="shared" si="25"/>
        <v>79.650785781825391</v>
      </c>
      <c r="V92" s="200">
        <f t="shared" si="25"/>
        <v>68.347400056524947</v>
      </c>
      <c r="W92" s="200">
        <f t="shared" si="25"/>
        <v>788.92419515424001</v>
      </c>
      <c r="X92" s="200">
        <f t="shared" si="25"/>
        <v>0</v>
      </c>
      <c r="Y92" s="200">
        <f t="shared" si="25"/>
        <v>0</v>
      </c>
      <c r="AA92" s="606">
        <f t="shared" si="6"/>
        <v>10693.459212525484</v>
      </c>
      <c r="AB92" s="607">
        <f t="shared" si="18"/>
        <v>5346.729606262742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2.3206716874366575E-12</v>
      </c>
      <c r="R95" s="204"/>
      <c r="U95" s="205" t="s">
        <v>58</v>
      </c>
      <c r="V95" s="206"/>
      <c r="W95" s="206"/>
      <c r="X95" s="206"/>
      <c r="Y95" s="207">
        <f>W88</f>
        <v>91.54907979741688</v>
      </c>
      <c r="AA95" s="606">
        <f t="shared" si="6"/>
        <v>91.54907979741688</v>
      </c>
      <c r="AB95" s="607">
        <f t="shared" si="18"/>
        <v>45.77453989870844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91.54907979741688</v>
      </c>
      <c r="AA97" s="606">
        <f t="shared" si="6"/>
        <v>91.54907979741688</v>
      </c>
      <c r="AB97" s="607">
        <f t="shared" si="18"/>
        <v>45.77453989870844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732.39263837933504</v>
      </c>
      <c r="AA99" s="606">
        <f t="shared" si="6"/>
        <v>732.39263837933504</v>
      </c>
      <c r="AB99" s="607">
        <f t="shared" si="18"/>
        <v>366.19631918966752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6034.5571335494133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6034.5571335494133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5431.1014201944718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5431.1014201944718</v>
      </c>
      <c r="F109" s="203">
        <f>ROUND(D109/$B$109,0)</f>
        <v>181</v>
      </c>
      <c r="G109" s="203">
        <f>F109</f>
        <v>181</v>
      </c>
      <c r="H109" s="203">
        <f t="shared" ref="H109:W110" si="28">G109</f>
        <v>181</v>
      </c>
      <c r="I109" s="203">
        <f t="shared" si="28"/>
        <v>181</v>
      </c>
      <c r="J109" s="203">
        <f t="shared" si="28"/>
        <v>181</v>
      </c>
      <c r="K109" s="203">
        <f t="shared" si="28"/>
        <v>181</v>
      </c>
      <c r="L109" s="203">
        <f t="shared" si="28"/>
        <v>181</v>
      </c>
      <c r="M109" s="203">
        <f t="shared" si="28"/>
        <v>181</v>
      </c>
      <c r="N109" s="203">
        <f t="shared" si="28"/>
        <v>181</v>
      </c>
      <c r="O109" s="203">
        <f t="shared" si="28"/>
        <v>181</v>
      </c>
      <c r="P109" s="203">
        <f t="shared" si="28"/>
        <v>181</v>
      </c>
      <c r="Q109" s="203">
        <f t="shared" si="28"/>
        <v>181</v>
      </c>
      <c r="R109" s="203">
        <f t="shared" si="28"/>
        <v>181</v>
      </c>
      <c r="S109" s="203">
        <f t="shared" si="28"/>
        <v>181</v>
      </c>
      <c r="T109" s="203">
        <f t="shared" si="28"/>
        <v>181</v>
      </c>
      <c r="U109" s="203">
        <f t="shared" si="28"/>
        <v>181</v>
      </c>
      <c r="V109" s="203">
        <f t="shared" si="28"/>
        <v>181</v>
      </c>
      <c r="W109" s="203">
        <f t="shared" si="28"/>
        <v>181</v>
      </c>
      <c r="X109" s="739"/>
      <c r="Y109" s="739"/>
      <c r="AA109" s="606">
        <f t="shared" si="26"/>
        <v>3258</v>
      </c>
      <c r="AB109" s="607">
        <f t="shared" si="18"/>
        <v>1629</v>
      </c>
    </row>
    <row r="110" spans="1:28" s="199" customFormat="1">
      <c r="A110" s="199" t="s">
        <v>571</v>
      </c>
      <c r="D110" s="214">
        <f>D104*'FPLE_Wind Summary'!V33</f>
        <v>409.4537921294496</v>
      </c>
      <c r="F110" s="203">
        <f>ROUND(D110/$B$109,0)</f>
        <v>14</v>
      </c>
      <c r="G110" s="203">
        <f>F110</f>
        <v>14</v>
      </c>
      <c r="H110" s="203">
        <f t="shared" si="28"/>
        <v>14</v>
      </c>
      <c r="I110" s="203">
        <f t="shared" si="28"/>
        <v>14</v>
      </c>
      <c r="J110" s="203">
        <f t="shared" si="28"/>
        <v>14</v>
      </c>
      <c r="K110" s="203">
        <f t="shared" si="28"/>
        <v>14</v>
      </c>
      <c r="L110" s="203">
        <f t="shared" si="28"/>
        <v>14</v>
      </c>
      <c r="M110" s="203">
        <f t="shared" si="28"/>
        <v>14</v>
      </c>
      <c r="N110" s="203">
        <f t="shared" si="28"/>
        <v>14</v>
      </c>
      <c r="O110" s="203">
        <f t="shared" si="28"/>
        <v>14</v>
      </c>
      <c r="P110" s="203">
        <f t="shared" si="28"/>
        <v>14</v>
      </c>
      <c r="Q110" s="203">
        <f t="shared" si="28"/>
        <v>14</v>
      </c>
      <c r="R110" s="203">
        <f t="shared" si="28"/>
        <v>14</v>
      </c>
      <c r="S110" s="203">
        <f t="shared" si="28"/>
        <v>14</v>
      </c>
      <c r="T110" s="203">
        <f t="shared" si="28"/>
        <v>14</v>
      </c>
      <c r="U110" s="203">
        <f t="shared" si="28"/>
        <v>14</v>
      </c>
      <c r="V110" s="203">
        <f t="shared" si="28"/>
        <v>14</v>
      </c>
      <c r="W110" s="203">
        <f t="shared" si="28"/>
        <v>14</v>
      </c>
      <c r="X110" s="739"/>
      <c r="Y110" s="739"/>
      <c r="AA110" s="606">
        <f t="shared" si="26"/>
        <v>252</v>
      </c>
      <c r="AB110" s="607">
        <f t="shared" si="18"/>
        <v>126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5431.1014201944718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1086.2202840388943</v>
      </c>
      <c r="G115" s="203">
        <f t="shared" si="29"/>
        <v>1737.9524544622309</v>
      </c>
      <c r="H115" s="203">
        <f t="shared" si="29"/>
        <v>1042.7714726773386</v>
      </c>
      <c r="I115" s="203">
        <f t="shared" si="29"/>
        <v>625.66288360640317</v>
      </c>
      <c r="J115" s="203">
        <f t="shared" si="29"/>
        <v>625.66288360640317</v>
      </c>
      <c r="K115" s="203">
        <f t="shared" si="29"/>
        <v>312.83144180320159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5431.1014201944708</v>
      </c>
      <c r="AB115" s="607">
        <f t="shared" si="18"/>
        <v>2715.5507100972354</v>
      </c>
    </row>
    <row r="116" spans="1:28" s="199" customFormat="1">
      <c r="A116" s="199" t="s">
        <v>571</v>
      </c>
      <c r="D116" s="214">
        <f>D110</f>
        <v>409.4537921294496</v>
      </c>
      <c r="F116" s="203">
        <f>$D$116*F114</f>
        <v>81.890758425889928</v>
      </c>
      <c r="G116" s="203">
        <f t="shared" ref="G116:W116" si="30">$D$116*G114</f>
        <v>131.02521348142386</v>
      </c>
      <c r="H116" s="203">
        <f t="shared" si="30"/>
        <v>78.61512808885432</v>
      </c>
      <c r="I116" s="203">
        <f t="shared" si="30"/>
        <v>47.169076853312589</v>
      </c>
      <c r="J116" s="203">
        <f t="shared" si="30"/>
        <v>47.169076853312589</v>
      </c>
      <c r="K116" s="203">
        <f t="shared" si="30"/>
        <v>23.584538426656295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 t="shared" si="26"/>
        <v>409.45379212944965</v>
      </c>
      <c r="AB116" s="607">
        <f t="shared" si="18"/>
        <v>204.72689606472483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1079.9596996755051</v>
      </c>
      <c r="G121" s="203">
        <f t="shared" ref="G121:Y121" si="32">G39</f>
        <v>790.57897149868245</v>
      </c>
      <c r="H121" s="203">
        <f t="shared" si="32"/>
        <v>801.00348068967151</v>
      </c>
      <c r="I121" s="203">
        <f t="shared" si="32"/>
        <v>805.76700044674158</v>
      </c>
      <c r="J121" s="203">
        <f>J39</f>
        <v>818.61334236363564</v>
      </c>
      <c r="K121" s="203">
        <f t="shared" si="32"/>
        <v>828.68652129614293</v>
      </c>
      <c r="L121" s="203">
        <f t="shared" si="32"/>
        <v>822.78029054963372</v>
      </c>
      <c r="M121" s="203">
        <f t="shared" si="32"/>
        <v>823.89606377838845</v>
      </c>
      <c r="N121" s="203">
        <f t="shared" si="32"/>
        <v>815.35358904605596</v>
      </c>
      <c r="O121" s="203">
        <f t="shared" si="32"/>
        <v>806.53389836437668</v>
      </c>
      <c r="P121" s="203">
        <f t="shared" si="32"/>
        <v>805.05045763929525</v>
      </c>
      <c r="Q121" s="203">
        <f t="shared" si="32"/>
        <v>815.03305947204058</v>
      </c>
      <c r="R121" s="203">
        <f t="shared" si="32"/>
        <v>805.62277014703659</v>
      </c>
      <c r="S121" s="203">
        <f t="shared" si="32"/>
        <v>795.74801158897139</v>
      </c>
      <c r="T121" s="203">
        <f t="shared" si="32"/>
        <v>821.2279662106364</v>
      </c>
      <c r="U121" s="203">
        <f t="shared" si="32"/>
        <v>128.98912677218686</v>
      </c>
      <c r="V121" s="203">
        <f t="shared" si="32"/>
        <v>110.68404867453432</v>
      </c>
      <c r="W121" s="203">
        <f t="shared" si="32"/>
        <v>91.54907979741688</v>
      </c>
      <c r="X121" s="203">
        <f t="shared" si="32"/>
        <v>0</v>
      </c>
      <c r="Y121" s="203">
        <f t="shared" si="32"/>
        <v>0</v>
      </c>
      <c r="AA121" s="606">
        <f t="shared" si="26"/>
        <v>12767.077378010952</v>
      </c>
      <c r="AB121" s="607">
        <f t="shared" si="18"/>
        <v>6383.538689005476</v>
      </c>
    </row>
    <row r="122" spans="1:28" s="199" customFormat="1">
      <c r="A122" s="199" t="s">
        <v>74</v>
      </c>
      <c r="F122" s="203">
        <f>-F115</f>
        <v>-1086.2202840388943</v>
      </c>
      <c r="G122" s="203">
        <f t="shared" ref="G122:Y122" si="33">-G115</f>
        <v>-1737.9524544622309</v>
      </c>
      <c r="H122" s="203">
        <f t="shared" si="33"/>
        <v>-1042.7714726773386</v>
      </c>
      <c r="I122" s="203">
        <f t="shared" si="33"/>
        <v>-625.66288360640317</v>
      </c>
      <c r="J122" s="203">
        <f t="shared" si="33"/>
        <v>-625.66288360640317</v>
      </c>
      <c r="K122" s="203">
        <f t="shared" si="33"/>
        <v>-312.83144180320159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-5431.1014201944708</v>
      </c>
      <c r="AB122" s="607">
        <f t="shared" si="18"/>
        <v>-2715.5507100972354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-6.2605843633891709</v>
      </c>
      <c r="G124" s="203">
        <f t="shared" ref="G124:Y124" si="35">SUM(G121:G123)</f>
        <v>-947.37348296354844</v>
      </c>
      <c r="H124" s="203">
        <f t="shared" si="35"/>
        <v>-241.76799198766707</v>
      </c>
      <c r="I124" s="203">
        <f t="shared" si="35"/>
        <v>180.10411684033841</v>
      </c>
      <c r="J124" s="203">
        <f t="shared" si="35"/>
        <v>192.95045875723247</v>
      </c>
      <c r="K124" s="203">
        <f t="shared" si="35"/>
        <v>515.85507949294129</v>
      </c>
      <c r="L124" s="203">
        <f t="shared" si="35"/>
        <v>822.78029054963372</v>
      </c>
      <c r="M124" s="203">
        <f t="shared" si="35"/>
        <v>823.89606377838845</v>
      </c>
      <c r="N124" s="203">
        <f t="shared" si="35"/>
        <v>815.35358904605596</v>
      </c>
      <c r="O124" s="203">
        <f t="shared" si="35"/>
        <v>806.53389836437668</v>
      </c>
      <c r="P124" s="203">
        <f t="shared" si="35"/>
        <v>805.05045763929525</v>
      </c>
      <c r="Q124" s="203">
        <f t="shared" si="35"/>
        <v>815.03305947204058</v>
      </c>
      <c r="R124" s="203">
        <f t="shared" si="35"/>
        <v>805.62277014703659</v>
      </c>
      <c r="S124" s="203">
        <f t="shared" si="35"/>
        <v>795.74801158897139</v>
      </c>
      <c r="T124" s="203">
        <f t="shared" si="35"/>
        <v>821.2279662106364</v>
      </c>
      <c r="U124" s="203">
        <f t="shared" si="35"/>
        <v>128.98912677218686</v>
      </c>
      <c r="V124" s="203">
        <f t="shared" si="35"/>
        <v>110.68404867453432</v>
      </c>
      <c r="W124" s="203">
        <f t="shared" si="35"/>
        <v>91.54907979741688</v>
      </c>
      <c r="X124" s="203">
        <f t="shared" si="35"/>
        <v>0</v>
      </c>
      <c r="Y124" s="203">
        <f t="shared" si="35"/>
        <v>0</v>
      </c>
      <c r="AA124" s="606">
        <f t="shared" si="26"/>
        <v>7335.9759578164812</v>
      </c>
      <c r="AB124" s="607">
        <f t="shared" si="18"/>
        <v>3667.9879789082406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0.31302921816945856</v>
      </c>
      <c r="G126" s="203">
        <f t="shared" ref="G126:Y126" si="36">-G124*$C$126</f>
        <v>47.368674148177426</v>
      </c>
      <c r="H126" s="203">
        <f t="shared" si="36"/>
        <v>12.088399599383354</v>
      </c>
      <c r="I126" s="203">
        <f t="shared" si="36"/>
        <v>-9.0052058420169203</v>
      </c>
      <c r="J126" s="203">
        <f t="shared" si="36"/>
        <v>-9.6475229378616234</v>
      </c>
      <c r="K126" s="203">
        <f t="shared" si="36"/>
        <v>-25.792753974647066</v>
      </c>
      <c r="L126" s="203">
        <f t="shared" si="36"/>
        <v>-41.139014527481692</v>
      </c>
      <c r="M126" s="203">
        <f t="shared" si="36"/>
        <v>-41.194803188919423</v>
      </c>
      <c r="N126" s="203">
        <f t="shared" si="36"/>
        <v>-40.767679452302801</v>
      </c>
      <c r="O126" s="203">
        <f t="shared" si="36"/>
        <v>-40.326694918218834</v>
      </c>
      <c r="P126" s="203">
        <f t="shared" si="36"/>
        <v>-40.252522881964765</v>
      </c>
      <c r="Q126" s="203">
        <f t="shared" si="36"/>
        <v>-40.751652973602035</v>
      </c>
      <c r="R126" s="203">
        <f t="shared" si="36"/>
        <v>-40.281138507351834</v>
      </c>
      <c r="S126" s="203">
        <f t="shared" si="36"/>
        <v>-39.787400579448573</v>
      </c>
      <c r="T126" s="203">
        <f t="shared" si="36"/>
        <v>-41.061398310531821</v>
      </c>
      <c r="U126" s="203">
        <f t="shared" si="36"/>
        <v>-6.4494563386093438</v>
      </c>
      <c r="V126" s="203">
        <f t="shared" si="36"/>
        <v>-5.5342024337267164</v>
      </c>
      <c r="W126" s="203">
        <f t="shared" si="36"/>
        <v>-4.5774539898708442</v>
      </c>
      <c r="X126" s="203">
        <f t="shared" si="36"/>
        <v>0</v>
      </c>
      <c r="Y126" s="203">
        <f t="shared" si="36"/>
        <v>0</v>
      </c>
      <c r="AA126" s="606">
        <f t="shared" si="26"/>
        <v>-366.79879789082401</v>
      </c>
      <c r="AB126" s="607">
        <f t="shared" si="18"/>
        <v>-183.399398945412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2.0816443008268992</v>
      </c>
      <c r="G127" s="203">
        <f t="shared" ref="G127:Y127" si="37">-(G124+G126)*$C$127</f>
        <v>315.00168308537985</v>
      </c>
      <c r="H127" s="203">
        <f t="shared" si="37"/>
        <v>80.387857335899298</v>
      </c>
      <c r="I127" s="203">
        <f t="shared" si="37"/>
        <v>-59.884618849412519</v>
      </c>
      <c r="J127" s="203">
        <f t="shared" si="37"/>
        <v>-64.156027536779789</v>
      </c>
      <c r="K127" s="203">
        <f t="shared" si="37"/>
        <v>-171.52181393140299</v>
      </c>
      <c r="L127" s="203">
        <f t="shared" si="37"/>
        <v>-273.5744466077532</v>
      </c>
      <c r="M127" s="203">
        <f t="shared" si="37"/>
        <v>-273.94544120631411</v>
      </c>
      <c r="N127" s="203">
        <f t="shared" si="37"/>
        <v>-271.10506835781359</v>
      </c>
      <c r="O127" s="203">
        <f t="shared" si="37"/>
        <v>-268.17252120615524</v>
      </c>
      <c r="P127" s="203">
        <f t="shared" si="37"/>
        <v>-267.67927716506568</v>
      </c>
      <c r="Q127" s="203">
        <f t="shared" si="37"/>
        <v>-270.99849227445344</v>
      </c>
      <c r="R127" s="203">
        <f t="shared" si="37"/>
        <v>-267.86957107388969</v>
      </c>
      <c r="S127" s="203">
        <f t="shared" si="37"/>
        <v>-264.58621385333299</v>
      </c>
      <c r="T127" s="203">
        <f t="shared" si="37"/>
        <v>-273.05829876503657</v>
      </c>
      <c r="U127" s="203">
        <f t="shared" si="37"/>
        <v>-42.888884651752129</v>
      </c>
      <c r="V127" s="203">
        <f t="shared" si="37"/>
        <v>-36.802446184282658</v>
      </c>
      <c r="W127" s="203">
        <f t="shared" si="37"/>
        <v>-30.440069032641109</v>
      </c>
      <c r="X127" s="203">
        <f t="shared" si="37"/>
        <v>0</v>
      </c>
      <c r="Y127" s="203">
        <f t="shared" si="37"/>
        <v>0</v>
      </c>
      <c r="AA127" s="606">
        <f t="shared" si="26"/>
        <v>-2439.2120059739796</v>
      </c>
      <c r="AB127" s="607">
        <f t="shared" si="18"/>
        <v>-1219.6060029869898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277.55380727481224</v>
      </c>
      <c r="G144" s="220">
        <f t="shared" ref="G144:Y144" si="46">G76</f>
        <v>188.20750745021823</v>
      </c>
      <c r="H144" s="220">
        <f t="shared" si="46"/>
        <v>191.42607466293606</v>
      </c>
      <c r="I144" s="220">
        <f t="shared" si="46"/>
        <v>192.89681138793148</v>
      </c>
      <c r="J144" s="220">
        <f t="shared" si="46"/>
        <v>196.86311945477252</v>
      </c>
      <c r="K144" s="220">
        <f t="shared" si="46"/>
        <v>199.97321345018412</v>
      </c>
      <c r="L144" s="220">
        <f t="shared" si="46"/>
        <v>198.14966470719941</v>
      </c>
      <c r="M144" s="220">
        <f t="shared" si="46"/>
        <v>198.49415969157741</v>
      </c>
      <c r="N144" s="220">
        <f t="shared" si="46"/>
        <v>195.85667061796977</v>
      </c>
      <c r="O144" s="220">
        <f t="shared" si="46"/>
        <v>193.13359112000131</v>
      </c>
      <c r="P144" s="220">
        <f t="shared" si="46"/>
        <v>192.67557879613241</v>
      </c>
      <c r="Q144" s="220">
        <f t="shared" si="46"/>
        <v>195.75770711199254</v>
      </c>
      <c r="R144" s="220">
        <f t="shared" si="46"/>
        <v>192.85228028289754</v>
      </c>
      <c r="S144" s="220">
        <f t="shared" si="46"/>
        <v>189.8034485780949</v>
      </c>
      <c r="T144" s="220">
        <f t="shared" si="46"/>
        <v>197.67038456753397</v>
      </c>
      <c r="U144" s="220">
        <f t="shared" si="46"/>
        <v>-16.058357109087304</v>
      </c>
      <c r="V144" s="220">
        <f t="shared" si="46"/>
        <v>-21.710049971737529</v>
      </c>
      <c r="W144" s="220">
        <f t="shared" si="46"/>
        <v>-27.617971612547542</v>
      </c>
      <c r="X144" s="220">
        <f t="shared" si="46"/>
        <v>0</v>
      </c>
      <c r="Y144" s="220">
        <f t="shared" si="46"/>
        <v>0</v>
      </c>
      <c r="AA144" s="606">
        <f t="shared" si="26"/>
        <v>2935.9276404608813</v>
      </c>
      <c r="AB144" s="607">
        <f t="shared" si="39"/>
        <v>2935.9276404608813</v>
      </c>
    </row>
    <row r="145" spans="1:28" s="199" customFormat="1">
      <c r="A145" s="124" t="s">
        <v>91</v>
      </c>
      <c r="F145" s="213">
        <f>F142+F144</f>
        <v>277.55380727481224</v>
      </c>
      <c r="G145" s="213">
        <f t="shared" ref="G145:Y145" si="47">G142+G144</f>
        <v>188.20750745021823</v>
      </c>
      <c r="H145" s="213">
        <f t="shared" si="47"/>
        <v>191.42607466293606</v>
      </c>
      <c r="I145" s="213">
        <f t="shared" si="47"/>
        <v>192.89681138793148</v>
      </c>
      <c r="J145" s="213">
        <f t="shared" si="47"/>
        <v>196.86311945477252</v>
      </c>
      <c r="K145" s="213">
        <f t="shared" si="47"/>
        <v>199.97321345018412</v>
      </c>
      <c r="L145" s="213">
        <f t="shared" si="47"/>
        <v>198.14966470719941</v>
      </c>
      <c r="M145" s="213">
        <f t="shared" si="47"/>
        <v>198.49415969157741</v>
      </c>
      <c r="N145" s="213">
        <f t="shared" si="47"/>
        <v>195.85667061796977</v>
      </c>
      <c r="O145" s="213">
        <f t="shared" si="47"/>
        <v>193.13359112000131</v>
      </c>
      <c r="P145" s="213">
        <f t="shared" si="47"/>
        <v>192.67557879613241</v>
      </c>
      <c r="Q145" s="213">
        <f t="shared" si="47"/>
        <v>195.75770711199254</v>
      </c>
      <c r="R145" s="213">
        <f t="shared" si="47"/>
        <v>192.85228028289754</v>
      </c>
      <c r="S145" s="213">
        <f t="shared" si="47"/>
        <v>189.8034485780949</v>
      </c>
      <c r="T145" s="213">
        <f t="shared" si="47"/>
        <v>197.67038456753397</v>
      </c>
      <c r="U145" s="213">
        <f t="shared" si="47"/>
        <v>-16.058357109087304</v>
      </c>
      <c r="V145" s="213">
        <f t="shared" si="47"/>
        <v>-21.710049971737529</v>
      </c>
      <c r="W145" s="213">
        <f t="shared" si="47"/>
        <v>-27.617971612547542</v>
      </c>
      <c r="X145" s="213">
        <f t="shared" si="47"/>
        <v>0</v>
      </c>
      <c r="Y145" s="213">
        <f t="shared" si="47"/>
        <v>0</v>
      </c>
      <c r="AA145" s="606">
        <f t="shared" si="26"/>
        <v>2935.9276404608813</v>
      </c>
      <c r="AB145" s="607">
        <f t="shared" si="39"/>
        <v>2935.9276404608813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3017.2785667747066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3017.2785667747066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[27]Financials!H$11</f>
        <v>716.09760667062505</v>
      </c>
      <c r="F10" s="494">
        <f>[27]Financials!I$11</f>
        <v>716.09760667062505</v>
      </c>
      <c r="G10" s="494">
        <f>[27]Financials!J$11</f>
        <v>716.09760667062505</v>
      </c>
      <c r="H10" s="494">
        <f>[27]Financials!K$11</f>
        <v>716.09760667062505</v>
      </c>
      <c r="I10" s="494">
        <f>[27]Financials!L$11</f>
        <v>716.09760667062505</v>
      </c>
      <c r="J10" s="494">
        <f>[27]Financials!M$11</f>
        <v>716.09760667062505</v>
      </c>
      <c r="K10" s="494">
        <f>[27]Financials!N$11</f>
        <v>716.09760667062505</v>
      </c>
      <c r="L10" s="494">
        <f>[27]Financials!O$11</f>
        <v>716.09760667062505</v>
      </c>
      <c r="M10" s="494">
        <f>[27]Financials!P$11</f>
        <v>716.09760667062505</v>
      </c>
      <c r="N10" s="494">
        <f>[27]Financials!Q$11</f>
        <v>716.09760667062505</v>
      </c>
      <c r="O10" s="494">
        <f>[27]Financials!R$11</f>
        <v>716.09760667062505</v>
      </c>
      <c r="P10" s="494">
        <f>[27]Financials!S$11</f>
        <v>716.09760667062505</v>
      </c>
      <c r="Q10" s="494">
        <f>[27]Financials!T$11</f>
        <v>716.09760667062505</v>
      </c>
      <c r="R10" s="494">
        <f>[27]Financials!U$11</f>
        <v>716.09760667062505</v>
      </c>
      <c r="S10" s="494">
        <f>[27]Financials!V$11</f>
        <v>716.09760667062505</v>
      </c>
      <c r="T10" s="494">
        <f>[27]Financials!W$11</f>
        <v>716.09760667062505</v>
      </c>
      <c r="U10" s="494">
        <f>[27]Financials!X$11</f>
        <v>716.09760667062505</v>
      </c>
      <c r="V10" s="494">
        <f>[27]Financials!Y$11</f>
        <v>716.09760667062505</v>
      </c>
      <c r="W10" s="494">
        <f>[27]Financials!Z$11</f>
        <v>716.09760667062505</v>
      </c>
      <c r="X10" s="494">
        <f>[27]Financials!AA$11</f>
        <v>0</v>
      </c>
      <c r="Y10" s="494">
        <f>[27]Financials!AB$11</f>
        <v>0</v>
      </c>
      <c r="Z10" s="22"/>
      <c r="AA10" s="606">
        <f t="shared" ref="AA10:AA38" si="1">SUM(F10:Y10)</f>
        <v>12889.756920071248</v>
      </c>
      <c r="AB10" s="607">
        <f>AA10*$C$60</f>
        <v>6444.8784600356239</v>
      </c>
    </row>
    <row r="11" spans="1:28">
      <c r="A11" s="4" t="s">
        <v>9</v>
      </c>
      <c r="B11" s="12"/>
      <c r="C11" s="12"/>
      <c r="D11" s="193">
        <v>1</v>
      </c>
      <c r="E11" s="494">
        <f>[27]Financials!H$10</f>
        <v>4527.9030380711856</v>
      </c>
      <c r="F11" s="494">
        <f>[27]Financials!I$10</f>
        <v>851.51817392503017</v>
      </c>
      <c r="G11" s="494">
        <f>[27]Financials!J$10</f>
        <v>879.21674329530924</v>
      </c>
      <c r="H11" s="494">
        <f>[27]Financials!K$10</f>
        <v>917.7635974898127</v>
      </c>
      <c r="I11" s="494">
        <f>[27]Financials!L$10</f>
        <v>948.51988771596189</v>
      </c>
      <c r="J11" s="494">
        <f>[27]Financials!M$10</f>
        <v>991.56794194279439</v>
      </c>
      <c r="K11" s="494">
        <f>[27]Financials!N$10</f>
        <v>1030.5712830835241</v>
      </c>
      <c r="L11" s="494">
        <f>[27]Financials!O$10</f>
        <v>1070.9480255620813</v>
      </c>
      <c r="M11" s="494">
        <f>[27]Financials!P$10</f>
        <v>1123.5389866351238</v>
      </c>
      <c r="N11" s="494">
        <f>[27]Financials!Q$10</f>
        <v>1162.9460817401275</v>
      </c>
      <c r="O11" s="494">
        <f>[27]Financials!R$10</f>
        <v>1203.9590746318556</v>
      </c>
      <c r="P11" s="494">
        <f>[27]Financials!S$10</f>
        <v>1246.0245201647926</v>
      </c>
      <c r="Q11" s="494">
        <f>[27]Financials!T$10</f>
        <v>1307.3852191836463</v>
      </c>
      <c r="R11" s="494">
        <f>[27]Financials!U$10</f>
        <v>1339.9686033276209</v>
      </c>
      <c r="S11" s="494">
        <f>[27]Financials!V$10</f>
        <v>1373.5780828940133</v>
      </c>
      <c r="T11" s="494">
        <f>[27]Financials!W$10</f>
        <v>1407.6980001910026</v>
      </c>
      <c r="U11" s="494">
        <f>[27]Financials!X$10</f>
        <v>1442.8779323807516</v>
      </c>
      <c r="V11" s="494">
        <f>[27]Financials!Y$10</f>
        <v>1478.8315728665627</v>
      </c>
      <c r="W11" s="494">
        <f>[27]Financials!Z$10</f>
        <v>1552.0484782320038</v>
      </c>
      <c r="X11" s="494">
        <f>[27]Financials!AA$10</f>
        <v>0</v>
      </c>
      <c r="Y11" s="494">
        <f>[27]Financials!AB$10</f>
        <v>0</v>
      </c>
      <c r="Z11" s="22"/>
      <c r="AA11" s="606">
        <f t="shared" si="1"/>
        <v>21328.962205262014</v>
      </c>
      <c r="AB11" s="607">
        <f t="shared" ref="AB11:AB74" si="2">AA11*$C$60</f>
        <v>10664.481102631007</v>
      </c>
    </row>
    <row r="12" spans="1:28">
      <c r="A12" s="4" t="s">
        <v>10</v>
      </c>
      <c r="B12" s="12"/>
      <c r="C12" s="12"/>
      <c r="D12" s="193">
        <v>1</v>
      </c>
      <c r="E12" s="494">
        <f>[27]Financials!H$12</f>
        <v>1053.2670000000001</v>
      </c>
      <c r="F12" s="494">
        <f>[27]Financials!I$12</f>
        <v>0</v>
      </c>
      <c r="G12" s="494">
        <f>[27]Financials!J$12</f>
        <v>0</v>
      </c>
      <c r="H12" s="494">
        <f>[27]Financials!K$12</f>
        <v>0</v>
      </c>
      <c r="I12" s="494">
        <f>[27]Financials!L$12</f>
        <v>0</v>
      </c>
      <c r="J12" s="494">
        <f>[27]Financials!M$12</f>
        <v>0</v>
      </c>
      <c r="K12" s="494">
        <f>[27]Financials!N$12</f>
        <v>0</v>
      </c>
      <c r="L12" s="494">
        <f>[27]Financials!O$12</f>
        <v>0</v>
      </c>
      <c r="M12" s="494">
        <f>[27]Financials!P$12</f>
        <v>0</v>
      </c>
      <c r="N12" s="494">
        <f>[27]Financials!Q$12</f>
        <v>0</v>
      </c>
      <c r="O12" s="494">
        <f>[27]Financials!R$12</f>
        <v>0</v>
      </c>
      <c r="P12" s="494">
        <f>[27]Financials!S$12</f>
        <v>0</v>
      </c>
      <c r="Q12" s="494">
        <f>[27]Financials!T$12</f>
        <v>0</v>
      </c>
      <c r="R12" s="494">
        <f>[27]Financials!U$12</f>
        <v>0</v>
      </c>
      <c r="S12" s="494">
        <f>[27]Financials!V$12</f>
        <v>0</v>
      </c>
      <c r="T12" s="494">
        <f>[27]Financials!W$12</f>
        <v>0</v>
      </c>
      <c r="U12" s="494">
        <f>[27]Financials!X$12</f>
        <v>0</v>
      </c>
      <c r="V12" s="494">
        <f>[27]Financials!Y$12</f>
        <v>0</v>
      </c>
      <c r="W12" s="494">
        <f>[27]Financials!Z$12</f>
        <v>0</v>
      </c>
      <c r="X12" s="494">
        <f>[27]Financials!AA$12</f>
        <v>0</v>
      </c>
      <c r="Y12" s="494">
        <f>[27]Financials!AB$12</f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6297.2676447418107</v>
      </c>
      <c r="F20" s="90">
        <f t="shared" si="3"/>
        <v>1567.6157805956552</v>
      </c>
      <c r="G20" s="90">
        <f t="shared" si="3"/>
        <v>1595.3143499659343</v>
      </c>
      <c r="H20" s="90">
        <f t="shared" si="3"/>
        <v>1633.8612041604379</v>
      </c>
      <c r="I20" s="90">
        <f t="shared" si="3"/>
        <v>1664.6174943865869</v>
      </c>
      <c r="J20" s="90">
        <f t="shared" si="3"/>
        <v>1707.6655486134196</v>
      </c>
      <c r="K20" s="90">
        <f t="shared" si="3"/>
        <v>1746.6688897541492</v>
      </c>
      <c r="L20" s="90">
        <f t="shared" si="3"/>
        <v>1787.0456322327063</v>
      </c>
      <c r="M20" s="90">
        <f t="shared" si="3"/>
        <v>1839.6365933057489</v>
      </c>
      <c r="N20" s="90">
        <f t="shared" si="3"/>
        <v>1879.0436884107526</v>
      </c>
      <c r="O20" s="90">
        <f t="shared" si="3"/>
        <v>1920.0566813024807</v>
      </c>
      <c r="P20" s="90">
        <f t="shared" si="3"/>
        <v>1962.1221268354177</v>
      </c>
      <c r="Q20" s="90">
        <f t="shared" si="3"/>
        <v>2023.4828258542714</v>
      </c>
      <c r="R20" s="90">
        <f t="shared" si="3"/>
        <v>2056.066209998246</v>
      </c>
      <c r="S20" s="90">
        <f t="shared" si="3"/>
        <v>2089.6756895646386</v>
      </c>
      <c r="T20" s="90">
        <f t="shared" si="3"/>
        <v>2123.7956068616277</v>
      </c>
      <c r="U20" s="90">
        <f t="shared" si="3"/>
        <v>2158.9755390513765</v>
      </c>
      <c r="V20" s="90">
        <f t="shared" si="3"/>
        <v>2194.9291795371878</v>
      </c>
      <c r="W20" s="90">
        <f t="shared" si="3"/>
        <v>2268.1460849026289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34218.719125333271</v>
      </c>
      <c r="AB20" s="607">
        <f t="shared" si="2"/>
        <v>17109.359562666636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[27]Financials!H$27</f>
        <v>1433.3695101949716</v>
      </c>
      <c r="F25" s="494">
        <f>[27]Financials!I$27</f>
        <v>1083.3964013074901</v>
      </c>
      <c r="G25" s="494">
        <f>[27]Financials!J$27</f>
        <v>1092.503110889952</v>
      </c>
      <c r="H25" s="494">
        <f>[27]Financials!K$27</f>
        <v>1118.9254578600107</v>
      </c>
      <c r="I25" s="494">
        <f>[27]Financials!L$27</f>
        <v>1144.8022924707864</v>
      </c>
      <c r="J25" s="494">
        <f>[27]Financials!M$27</f>
        <v>1172.9533110029063</v>
      </c>
      <c r="K25" s="494">
        <f>[27]Financials!N$27</f>
        <v>1224.5878751074733</v>
      </c>
      <c r="L25" s="494">
        <f>[27]Financials!O$27</f>
        <v>1259.4880749682752</v>
      </c>
      <c r="M25" s="494">
        <f>[27]Financials!P$27</f>
        <v>1292.0004481686763</v>
      </c>
      <c r="N25" s="494">
        <f>[27]Financials!Q$27</f>
        <v>1323.9746285298595</v>
      </c>
      <c r="O25" s="494">
        <f>[27]Financials!R$27</f>
        <v>1356.8706365678177</v>
      </c>
      <c r="P25" s="494">
        <f>[27]Financials!S$27</f>
        <v>1391.924530428146</v>
      </c>
      <c r="Q25" s="494">
        <f>[27]Financials!T$27</f>
        <v>1430.860019098383</v>
      </c>
      <c r="R25" s="494">
        <f>[27]Financials!U$27</f>
        <v>1467.9504441591382</v>
      </c>
      <c r="S25" s="494">
        <f>[27]Financials!V$27</f>
        <v>1506.1243928021267</v>
      </c>
      <c r="T25" s="494">
        <f>[27]Financials!W$27</f>
        <v>1545.3602002038845</v>
      </c>
      <c r="U25" s="494">
        <f>[27]Financials!X$27</f>
        <v>1585.7407116499642</v>
      </c>
      <c r="V25" s="494">
        <f>[27]Financials!Y$27</f>
        <v>1613.7682643135367</v>
      </c>
      <c r="W25" s="494">
        <f>[27]Financials!Z$27</f>
        <v>1660.025588643425</v>
      </c>
      <c r="X25" s="494">
        <f>[27]Financials!AA$27</f>
        <v>0</v>
      </c>
      <c r="Y25" s="494">
        <f>[27]Financials!AB$27</f>
        <v>0</v>
      </c>
      <c r="AA25" s="606">
        <f t="shared" si="1"/>
        <v>24271.256388171852</v>
      </c>
      <c r="AB25" s="607">
        <f t="shared" si="2"/>
        <v>12135.628194085926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1433.3695101949716</v>
      </c>
      <c r="F36" s="90">
        <f t="shared" si="4"/>
        <v>1083.3964013074901</v>
      </c>
      <c r="G36" s="90">
        <f t="shared" si="4"/>
        <v>1092.503110889952</v>
      </c>
      <c r="H36" s="90">
        <f t="shared" si="4"/>
        <v>1118.9254578600107</v>
      </c>
      <c r="I36" s="90">
        <f t="shared" si="4"/>
        <v>1144.8022924707864</v>
      </c>
      <c r="J36" s="90">
        <f t="shared" si="4"/>
        <v>1172.9533110029063</v>
      </c>
      <c r="K36" s="90">
        <f t="shared" si="4"/>
        <v>1224.5878751074733</v>
      </c>
      <c r="L36" s="90">
        <f t="shared" si="4"/>
        <v>1259.4880749682752</v>
      </c>
      <c r="M36" s="90">
        <f t="shared" si="4"/>
        <v>1292.0004481686763</v>
      </c>
      <c r="N36" s="90">
        <f t="shared" si="4"/>
        <v>1323.9746285298595</v>
      </c>
      <c r="O36" s="90">
        <f t="shared" si="4"/>
        <v>1356.8706365678177</v>
      </c>
      <c r="P36" s="90">
        <f t="shared" si="4"/>
        <v>1391.924530428146</v>
      </c>
      <c r="Q36" s="90">
        <f t="shared" si="4"/>
        <v>1430.860019098383</v>
      </c>
      <c r="R36" s="90">
        <f t="shared" si="4"/>
        <v>1467.9504441591382</v>
      </c>
      <c r="S36" s="90">
        <f t="shared" si="4"/>
        <v>1506.1243928021267</v>
      </c>
      <c r="T36" s="90">
        <f t="shared" si="4"/>
        <v>1545.3602002038845</v>
      </c>
      <c r="U36" s="90">
        <f t="shared" si="4"/>
        <v>1585.7407116499642</v>
      </c>
      <c r="V36" s="90">
        <f t="shared" si="4"/>
        <v>1613.7682643135367</v>
      </c>
      <c r="W36" s="90">
        <f t="shared" si="4"/>
        <v>1660.025588643425</v>
      </c>
      <c r="X36" s="90">
        <f t="shared" si="4"/>
        <v>0</v>
      </c>
      <c r="Y36" s="90">
        <f t="shared" si="4"/>
        <v>0</v>
      </c>
      <c r="AA36" s="606">
        <f t="shared" si="1"/>
        <v>24271.256388171852</v>
      </c>
      <c r="AB36" s="607">
        <f t="shared" si="2"/>
        <v>12135.628194085926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4863.8981345468392</v>
      </c>
      <c r="F39" s="93">
        <f t="shared" si="5"/>
        <v>484.2193792881651</v>
      </c>
      <c r="G39" s="93">
        <f t="shared" si="5"/>
        <v>502.81123907598226</v>
      </c>
      <c r="H39" s="93">
        <f t="shared" si="5"/>
        <v>514.93574630042713</v>
      </c>
      <c r="I39" s="93">
        <f t="shared" si="5"/>
        <v>519.81520191580057</v>
      </c>
      <c r="J39" s="93">
        <f t="shared" si="5"/>
        <v>534.71223761051328</v>
      </c>
      <c r="K39" s="93">
        <f t="shared" si="5"/>
        <v>522.08101464667584</v>
      </c>
      <c r="L39" s="93">
        <f t="shared" si="5"/>
        <v>527.55755726443113</v>
      </c>
      <c r="M39" s="93">
        <f t="shared" si="5"/>
        <v>547.63614513707262</v>
      </c>
      <c r="N39" s="93">
        <f t="shared" si="5"/>
        <v>555.06905988089306</v>
      </c>
      <c r="O39" s="93">
        <f t="shared" si="5"/>
        <v>563.18604473466303</v>
      </c>
      <c r="P39" s="93">
        <f t="shared" si="5"/>
        <v>570.1975964072717</v>
      </c>
      <c r="Q39" s="93">
        <f t="shared" si="5"/>
        <v>592.6228067558884</v>
      </c>
      <c r="R39" s="93">
        <f t="shared" si="5"/>
        <v>588.11576583910778</v>
      </c>
      <c r="S39" s="93">
        <f t="shared" si="5"/>
        <v>583.55129676251181</v>
      </c>
      <c r="T39" s="93">
        <f t="shared" si="5"/>
        <v>578.43540665774321</v>
      </c>
      <c r="U39" s="93">
        <f t="shared" si="5"/>
        <v>573.2348274014123</v>
      </c>
      <c r="V39" s="93">
        <f t="shared" si="5"/>
        <v>581.16091522365105</v>
      </c>
      <c r="W39" s="93">
        <f t="shared" si="5"/>
        <v>608.12049625920395</v>
      </c>
      <c r="X39" s="93">
        <f t="shared" si="5"/>
        <v>0</v>
      </c>
      <c r="Y39" s="93">
        <f t="shared" si="5"/>
        <v>0</v>
      </c>
      <c r="AA39" s="606">
        <f>SUM(F39:Y39)</f>
        <v>9947.4627371614151</v>
      </c>
      <c r="AB39" s="607">
        <f t="shared" si="2"/>
        <v>4973.7313685807076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163</v>
      </c>
      <c r="G41" s="90">
        <f t="shared" ref="G41:Y41" si="7">+G109</f>
        <v>163</v>
      </c>
      <c r="H41" s="90">
        <f t="shared" si="7"/>
        <v>163</v>
      </c>
      <c r="I41" s="90">
        <f t="shared" si="7"/>
        <v>163</v>
      </c>
      <c r="J41" s="90">
        <f t="shared" si="7"/>
        <v>163</v>
      </c>
      <c r="K41" s="90">
        <f t="shared" si="7"/>
        <v>163</v>
      </c>
      <c r="L41" s="90">
        <f t="shared" si="7"/>
        <v>163</v>
      </c>
      <c r="M41" s="90">
        <f t="shared" si="7"/>
        <v>163</v>
      </c>
      <c r="N41" s="90">
        <f t="shared" si="7"/>
        <v>163</v>
      </c>
      <c r="O41" s="90">
        <f t="shared" si="7"/>
        <v>163</v>
      </c>
      <c r="P41" s="90">
        <f t="shared" si="7"/>
        <v>163</v>
      </c>
      <c r="Q41" s="90">
        <f t="shared" si="7"/>
        <v>163</v>
      </c>
      <c r="R41" s="90">
        <f t="shared" si="7"/>
        <v>163</v>
      </c>
      <c r="S41" s="90">
        <f t="shared" si="7"/>
        <v>163</v>
      </c>
      <c r="T41" s="90">
        <f t="shared" si="7"/>
        <v>163</v>
      </c>
      <c r="U41" s="90">
        <f t="shared" si="7"/>
        <v>163</v>
      </c>
      <c r="V41" s="90">
        <f t="shared" si="7"/>
        <v>163</v>
      </c>
      <c r="W41" s="90">
        <f t="shared" si="7"/>
        <v>163</v>
      </c>
      <c r="X41" s="90">
        <f t="shared" si="7"/>
        <v>0</v>
      </c>
      <c r="Y41" s="90">
        <f t="shared" si="7"/>
        <v>0</v>
      </c>
      <c r="AA41" s="606">
        <f t="shared" si="6"/>
        <v>2934</v>
      </c>
      <c r="AB41" s="607">
        <f t="shared" si="2"/>
        <v>1467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4863.8981345468392</v>
      </c>
      <c r="F44" s="93">
        <f t="shared" si="8"/>
        <v>321.2193792881651</v>
      </c>
      <c r="G44" s="93">
        <f t="shared" si="8"/>
        <v>339.81123907598226</v>
      </c>
      <c r="H44" s="93">
        <f t="shared" si="8"/>
        <v>351.93574630042713</v>
      </c>
      <c r="I44" s="93">
        <f t="shared" si="8"/>
        <v>356.81520191580057</v>
      </c>
      <c r="J44" s="93">
        <f t="shared" si="8"/>
        <v>371.71223761051328</v>
      </c>
      <c r="K44" s="93">
        <f t="shared" si="8"/>
        <v>359.08101464667584</v>
      </c>
      <c r="L44" s="93">
        <f t="shared" si="8"/>
        <v>364.55755726443113</v>
      </c>
      <c r="M44" s="93">
        <f t="shared" si="8"/>
        <v>384.63614513707262</v>
      </c>
      <c r="N44" s="93">
        <f t="shared" si="8"/>
        <v>392.06905988089306</v>
      </c>
      <c r="O44" s="93">
        <f t="shared" si="8"/>
        <v>400.18604473466303</v>
      </c>
      <c r="P44" s="93">
        <f t="shared" si="8"/>
        <v>407.1975964072717</v>
      </c>
      <c r="Q44" s="93">
        <f t="shared" si="8"/>
        <v>429.6228067558884</v>
      </c>
      <c r="R44" s="93">
        <f t="shared" si="8"/>
        <v>425.11576583910778</v>
      </c>
      <c r="S44" s="93">
        <f t="shared" si="8"/>
        <v>420.55129676251181</v>
      </c>
      <c r="T44" s="93">
        <f t="shared" si="8"/>
        <v>415.43540665774321</v>
      </c>
      <c r="U44" s="93">
        <f t="shared" si="8"/>
        <v>410.2348274014123</v>
      </c>
      <c r="V44" s="93">
        <f t="shared" si="8"/>
        <v>418.16091522365105</v>
      </c>
      <c r="W44" s="93">
        <f t="shared" si="8"/>
        <v>445.12049625920395</v>
      </c>
      <c r="X44" s="93">
        <f t="shared" si="8"/>
        <v>0</v>
      </c>
      <c r="Y44" s="93">
        <f t="shared" si="8"/>
        <v>0</v>
      </c>
      <c r="AA44" s="606">
        <f t="shared" si="6"/>
        <v>7013.4627371614133</v>
      </c>
      <c r="AB44" s="607">
        <f t="shared" si="2"/>
        <v>3506.7313685807067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4863.8981345468392</v>
      </c>
      <c r="F49" s="93">
        <f t="shared" si="9"/>
        <v>321.2193792881651</v>
      </c>
      <c r="G49" s="93">
        <f t="shared" si="9"/>
        <v>339.81123907598226</v>
      </c>
      <c r="H49" s="93">
        <f t="shared" si="9"/>
        <v>351.93574630042713</v>
      </c>
      <c r="I49" s="93">
        <f t="shared" si="9"/>
        <v>356.81520191580057</v>
      </c>
      <c r="J49" s="93">
        <f t="shared" si="9"/>
        <v>371.71223761051328</v>
      </c>
      <c r="K49" s="93">
        <f t="shared" si="9"/>
        <v>359.08101464667584</v>
      </c>
      <c r="L49" s="93">
        <f t="shared" si="9"/>
        <v>364.55755726443113</v>
      </c>
      <c r="M49" s="93">
        <f t="shared" si="9"/>
        <v>384.63614513707262</v>
      </c>
      <c r="N49" s="93">
        <f t="shared" si="9"/>
        <v>392.06905988089306</v>
      </c>
      <c r="O49" s="93">
        <f t="shared" si="9"/>
        <v>400.18604473466303</v>
      </c>
      <c r="P49" s="93">
        <f t="shared" si="9"/>
        <v>407.1975964072717</v>
      </c>
      <c r="Q49" s="93">
        <f t="shared" si="9"/>
        <v>429.6228067558884</v>
      </c>
      <c r="R49" s="93">
        <f t="shared" si="9"/>
        <v>425.11576583910778</v>
      </c>
      <c r="S49" s="93">
        <f t="shared" si="9"/>
        <v>420.55129676251181</v>
      </c>
      <c r="T49" s="93">
        <f t="shared" si="9"/>
        <v>415.43540665774321</v>
      </c>
      <c r="U49" s="93">
        <f t="shared" si="9"/>
        <v>410.2348274014123</v>
      </c>
      <c r="V49" s="93">
        <f t="shared" si="9"/>
        <v>418.16091522365105</v>
      </c>
      <c r="W49" s="93">
        <f t="shared" si="9"/>
        <v>445.12049625920395</v>
      </c>
      <c r="X49" s="93">
        <f t="shared" si="9"/>
        <v>0</v>
      </c>
      <c r="Y49" s="93">
        <f t="shared" si="9"/>
        <v>0</v>
      </c>
      <c r="AA49" s="606">
        <f t="shared" si="6"/>
        <v>7013.4627371614133</v>
      </c>
      <c r="AB49" s="607">
        <f t="shared" si="2"/>
        <v>3506.7313685807067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-243.19490672734196</v>
      </c>
      <c r="F51" s="90">
        <f t="shared" si="10"/>
        <v>-16.060968964408257</v>
      </c>
      <c r="G51" s="55">
        <f t="shared" si="10"/>
        <v>-16.990561953799112</v>
      </c>
      <c r="H51" s="90">
        <f t="shared" si="10"/>
        <v>-17.596787315021356</v>
      </c>
      <c r="I51" s="90">
        <f t="shared" si="10"/>
        <v>-17.840760095790028</v>
      </c>
      <c r="J51" s="90">
        <f t="shared" si="10"/>
        <v>-18.585611880525665</v>
      </c>
      <c r="K51" s="90">
        <f t="shared" si="10"/>
        <v>-17.954050732333794</v>
      </c>
      <c r="L51" s="90">
        <f t="shared" si="10"/>
        <v>-18.227877863221558</v>
      </c>
      <c r="M51" s="90">
        <f t="shared" si="10"/>
        <v>-19.231807256853632</v>
      </c>
      <c r="N51" s="90">
        <f t="shared" si="10"/>
        <v>-19.603452994044655</v>
      </c>
      <c r="O51" s="90">
        <f t="shared" si="10"/>
        <v>-20.009302236733152</v>
      </c>
      <c r="P51" s="90">
        <f t="shared" si="10"/>
        <v>-20.359879820363588</v>
      </c>
      <c r="Q51" s="90">
        <f t="shared" si="10"/>
        <v>-21.481140337794422</v>
      </c>
      <c r="R51" s="90">
        <f t="shared" si="10"/>
        <v>-21.25578829195539</v>
      </c>
      <c r="S51" s="90">
        <f t="shared" si="10"/>
        <v>-21.027564838125592</v>
      </c>
      <c r="T51" s="90">
        <f t="shared" si="10"/>
        <v>-20.771770332887161</v>
      </c>
      <c r="U51" s="90">
        <f t="shared" si="10"/>
        <v>-20.511741370070617</v>
      </c>
      <c r="V51" s="90">
        <f t="shared" si="10"/>
        <v>-20.908045761182553</v>
      </c>
      <c r="W51" s="90">
        <f t="shared" si="10"/>
        <v>-22.256024812960199</v>
      </c>
      <c r="X51" s="90">
        <f t="shared" si="10"/>
        <v>0</v>
      </c>
      <c r="Y51" s="90">
        <f t="shared" si="10"/>
        <v>0</v>
      </c>
      <c r="AA51" s="606">
        <f t="shared" si="6"/>
        <v>-350.67313685807085</v>
      </c>
      <c r="AB51" s="607">
        <f t="shared" si="2"/>
        <v>-175.33656842903542</v>
      </c>
    </row>
    <row r="52" spans="1:28">
      <c r="A52" s="4" t="s">
        <v>29</v>
      </c>
      <c r="C52" s="143">
        <v>0.35</v>
      </c>
      <c r="D52" s="89"/>
      <c r="E52" s="89">
        <f>((E49+E51)*-$C$52)+E56</f>
        <v>-1617.2461297368241</v>
      </c>
      <c r="F52" s="89">
        <f t="shared" ref="F52:Y52" si="11">((F49+F51)*-$C$52)+F56</f>
        <v>-106.80544361331489</v>
      </c>
      <c r="G52" s="89">
        <f t="shared" si="11"/>
        <v>-112.9872369927641</v>
      </c>
      <c r="H52" s="89">
        <f t="shared" si="11"/>
        <v>-117.01863564489202</v>
      </c>
      <c r="I52" s="89">
        <f t="shared" si="11"/>
        <v>-118.64105463700369</v>
      </c>
      <c r="J52" s="89">
        <f t="shared" si="11"/>
        <v>-123.59431900549565</v>
      </c>
      <c r="K52" s="89">
        <f t="shared" si="11"/>
        <v>-119.39443737001972</v>
      </c>
      <c r="L52" s="89">
        <f t="shared" si="11"/>
        <v>-121.21538779042334</v>
      </c>
      <c r="M52" s="89">
        <f t="shared" si="11"/>
        <v>-127.89151825807663</v>
      </c>
      <c r="N52" s="89">
        <f t="shared" si="11"/>
        <v>-130.36296241039693</v>
      </c>
      <c r="O52" s="89">
        <f t="shared" si="11"/>
        <v>-133.06185987427546</v>
      </c>
      <c r="P52" s="89">
        <f t="shared" si="11"/>
        <v>-135.39320080541785</v>
      </c>
      <c r="Q52" s="89">
        <f t="shared" si="11"/>
        <v>-142.84958324633288</v>
      </c>
      <c r="R52" s="89">
        <f t="shared" si="11"/>
        <v>-141.35099214150333</v>
      </c>
      <c r="S52" s="89">
        <f t="shared" si="11"/>
        <v>-139.83330617353516</v>
      </c>
      <c r="T52" s="89">
        <f t="shared" si="11"/>
        <v>-138.13227271369959</v>
      </c>
      <c r="U52" s="89">
        <f t="shared" si="11"/>
        <v>-136.40308011096957</v>
      </c>
      <c r="V52" s="89">
        <f t="shared" si="11"/>
        <v>-139.03850431186396</v>
      </c>
      <c r="W52" s="89">
        <f t="shared" si="11"/>
        <v>-148.00256500618531</v>
      </c>
      <c r="X52" s="89">
        <f t="shared" si="11"/>
        <v>0</v>
      </c>
      <c r="Y52" s="89">
        <f t="shared" si="11"/>
        <v>0</v>
      </c>
      <c r="AA52" s="606">
        <f t="shared" si="6"/>
        <v>-2331.9763601061704</v>
      </c>
      <c r="AB52" s="607">
        <f t="shared" si="2"/>
        <v>-1165.9881800530852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3003.4570980826734</v>
      </c>
      <c r="F54" s="93">
        <f t="shared" si="12"/>
        <v>198.35296671044199</v>
      </c>
      <c r="G54" s="93">
        <f t="shared" si="12"/>
        <v>209.83344012941905</v>
      </c>
      <c r="H54" s="93">
        <f t="shared" si="12"/>
        <v>217.32032334051377</v>
      </c>
      <c r="I54" s="93">
        <f t="shared" si="12"/>
        <v>220.33338718300686</v>
      </c>
      <c r="J54" s="93">
        <f t="shared" si="12"/>
        <v>229.53230672449195</v>
      </c>
      <c r="K54" s="93">
        <f t="shared" si="12"/>
        <v>221.73252654432235</v>
      </c>
      <c r="L54" s="93">
        <f t="shared" si="12"/>
        <v>225.11429161078621</v>
      </c>
      <c r="M54" s="93">
        <f t="shared" si="12"/>
        <v>237.51281962214233</v>
      </c>
      <c r="N54" s="93">
        <f t="shared" si="12"/>
        <v>242.1026444764515</v>
      </c>
      <c r="O54" s="93">
        <f t="shared" si="12"/>
        <v>247.11488262365441</v>
      </c>
      <c r="P54" s="93">
        <f t="shared" si="12"/>
        <v>251.44451578149028</v>
      </c>
      <c r="Q54" s="93">
        <f t="shared" si="12"/>
        <v>265.29208317176108</v>
      </c>
      <c r="R54" s="93">
        <f t="shared" si="12"/>
        <v>262.50898540564901</v>
      </c>
      <c r="S54" s="93">
        <f t="shared" si="12"/>
        <v>259.69042575085103</v>
      </c>
      <c r="T54" s="93">
        <f t="shared" si="12"/>
        <v>256.53136361115645</v>
      </c>
      <c r="U54" s="93">
        <f t="shared" si="12"/>
        <v>253.3200059203721</v>
      </c>
      <c r="V54" s="93">
        <f t="shared" si="12"/>
        <v>258.21436515060452</v>
      </c>
      <c r="W54" s="93">
        <f t="shared" si="12"/>
        <v>274.86190644005842</v>
      </c>
      <c r="X54" s="93">
        <f t="shared" si="12"/>
        <v>0</v>
      </c>
      <c r="Y54" s="93">
        <f t="shared" si="12"/>
        <v>0</v>
      </c>
      <c r="AA54" s="606">
        <f t="shared" si="6"/>
        <v>4330.8132401971734</v>
      </c>
      <c r="AB54" s="607">
        <f t="shared" si="2"/>
        <v>2165.4066200985867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4863.8981345468392</v>
      </c>
      <c r="F64" s="20">
        <f t="shared" si="14"/>
        <v>484.2193792881651</v>
      </c>
      <c r="G64" s="24">
        <f t="shared" si="14"/>
        <v>502.81123907598226</v>
      </c>
      <c r="H64" s="20">
        <f t="shared" si="14"/>
        <v>514.93574630042713</v>
      </c>
      <c r="I64" s="20">
        <f t="shared" si="14"/>
        <v>519.81520191580057</v>
      </c>
      <c r="J64" s="20">
        <f t="shared" si="14"/>
        <v>534.71223761051328</v>
      </c>
      <c r="K64" s="20">
        <f t="shared" si="14"/>
        <v>522.08101464667584</v>
      </c>
      <c r="L64" s="20">
        <f t="shared" si="14"/>
        <v>527.55755726443113</v>
      </c>
      <c r="M64" s="20">
        <f t="shared" si="14"/>
        <v>547.63614513707262</v>
      </c>
      <c r="N64" s="20">
        <f t="shared" si="14"/>
        <v>555.06905988089306</v>
      </c>
      <c r="O64" s="20">
        <f t="shared" si="14"/>
        <v>563.18604473466303</v>
      </c>
      <c r="P64" s="20">
        <f t="shared" si="14"/>
        <v>570.1975964072717</v>
      </c>
      <c r="Q64" s="20">
        <f t="shared" si="14"/>
        <v>592.6228067558884</v>
      </c>
      <c r="R64" s="20">
        <f t="shared" si="14"/>
        <v>588.11576583910778</v>
      </c>
      <c r="S64" s="20">
        <f t="shared" si="14"/>
        <v>583.55129676251181</v>
      </c>
      <c r="T64" s="20">
        <f t="shared" si="14"/>
        <v>578.43540665774321</v>
      </c>
      <c r="U64" s="20">
        <f t="shared" si="14"/>
        <v>573.2348274014123</v>
      </c>
      <c r="V64" s="20">
        <f t="shared" si="14"/>
        <v>581.16091522365105</v>
      </c>
      <c r="W64" s="20">
        <f t="shared" si="14"/>
        <v>608.12049625920395</v>
      </c>
      <c r="X64" s="20">
        <f t="shared" si="14"/>
        <v>0</v>
      </c>
      <c r="Y64" s="20">
        <f t="shared" si="14"/>
        <v>0</v>
      </c>
      <c r="AA64" s="606">
        <f t="shared" si="6"/>
        <v>9947.4627371614151</v>
      </c>
      <c r="AB64" s="607">
        <f t="shared" si="2"/>
        <v>4973.7313685807076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4863.8981345468392</v>
      </c>
      <c r="F69" s="95">
        <f t="shared" si="15"/>
        <v>484.2193792881651</v>
      </c>
      <c r="G69" s="95">
        <f t="shared" si="15"/>
        <v>502.81123907598226</v>
      </c>
      <c r="H69" s="95">
        <f t="shared" si="15"/>
        <v>514.93574630042713</v>
      </c>
      <c r="I69" s="95">
        <f t="shared" si="15"/>
        <v>519.81520191580057</v>
      </c>
      <c r="J69" s="95">
        <f t="shared" si="15"/>
        <v>534.71223761051328</v>
      </c>
      <c r="K69" s="95">
        <f t="shared" si="15"/>
        <v>522.08101464667584</v>
      </c>
      <c r="L69" s="95">
        <f t="shared" si="15"/>
        <v>527.55755726443113</v>
      </c>
      <c r="M69" s="95">
        <f t="shared" si="15"/>
        <v>547.63614513707262</v>
      </c>
      <c r="N69" s="95">
        <f t="shared" si="15"/>
        <v>555.06905988089306</v>
      </c>
      <c r="O69" s="95">
        <f t="shared" si="15"/>
        <v>563.18604473466303</v>
      </c>
      <c r="P69" s="95">
        <f t="shared" si="15"/>
        <v>570.1975964072717</v>
      </c>
      <c r="Q69" s="95">
        <f t="shared" si="15"/>
        <v>592.6228067558884</v>
      </c>
      <c r="R69" s="95">
        <f t="shared" si="15"/>
        <v>588.11576583910778</v>
      </c>
      <c r="S69" s="95">
        <f t="shared" si="15"/>
        <v>583.55129676251181</v>
      </c>
      <c r="T69" s="95">
        <f t="shared" si="15"/>
        <v>578.43540665774321</v>
      </c>
      <c r="U69" s="95">
        <f t="shared" si="15"/>
        <v>573.2348274014123</v>
      </c>
      <c r="V69" s="95">
        <f t="shared" si="15"/>
        <v>581.16091522365105</v>
      </c>
      <c r="W69" s="95">
        <f t="shared" si="15"/>
        <v>608.12049625920395</v>
      </c>
      <c r="X69" s="95">
        <f t="shared" si="15"/>
        <v>0</v>
      </c>
      <c r="Y69" s="95">
        <f t="shared" si="15"/>
        <v>0</v>
      </c>
      <c r="AA69" s="606">
        <f t="shared" si="6"/>
        <v>9947.4627371614151</v>
      </c>
      <c r="AB69" s="607">
        <f t="shared" si="2"/>
        <v>4973.7313685807076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187.90947502806998</v>
      </c>
      <c r="G71" s="100">
        <f t="shared" si="16"/>
        <v>404.67212122270581</v>
      </c>
      <c r="H71" s="100">
        <f t="shared" si="16"/>
        <v>161.23552914164799</v>
      </c>
      <c r="I71" s="100">
        <f t="shared" si="16"/>
        <v>16.089756528143106</v>
      </c>
      <c r="J71" s="100">
        <f t="shared" si="16"/>
        <v>10.391640374915493</v>
      </c>
      <c r="K71" s="100">
        <f t="shared" si="16"/>
        <v>-92.236452471885102</v>
      </c>
      <c r="L71" s="100">
        <f t="shared" si="16"/>
        <v>-201.79076565364488</v>
      </c>
      <c r="M71" s="100">
        <f t="shared" si="16"/>
        <v>-209.47082551493025</v>
      </c>
      <c r="N71" s="100">
        <f t="shared" si="16"/>
        <v>-212.31391540444159</v>
      </c>
      <c r="O71" s="100">
        <f t="shared" si="16"/>
        <v>-215.41866211100859</v>
      </c>
      <c r="P71" s="100">
        <f t="shared" si="16"/>
        <v>-218.10058062578139</v>
      </c>
      <c r="Q71" s="100">
        <f t="shared" si="16"/>
        <v>-226.67822358412729</v>
      </c>
      <c r="R71" s="100">
        <f t="shared" si="16"/>
        <v>-224.95428043345873</v>
      </c>
      <c r="S71" s="100">
        <f t="shared" si="16"/>
        <v>-223.20837101166074</v>
      </c>
      <c r="T71" s="100">
        <f t="shared" si="16"/>
        <v>-221.25154304658679</v>
      </c>
      <c r="U71" s="100">
        <f t="shared" si="16"/>
        <v>-219.2623214810402</v>
      </c>
      <c r="V71" s="100">
        <f t="shared" si="16"/>
        <v>-222.29405007304649</v>
      </c>
      <c r="W71" s="100">
        <f t="shared" si="16"/>
        <v>-232.60608981914552</v>
      </c>
      <c r="X71" s="100">
        <f t="shared" si="16"/>
        <v>0</v>
      </c>
      <c r="Y71" s="100">
        <f t="shared" si="16"/>
        <v>0</v>
      </c>
      <c r="AA71" s="606">
        <f t="shared" si="6"/>
        <v>-1939.287558935275</v>
      </c>
      <c r="AB71" s="607">
        <f t="shared" si="2"/>
        <v>-969.6437794676375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4863.8981345468392</v>
      </c>
      <c r="F73" s="28">
        <f t="shared" si="17"/>
        <v>672.12885431623511</v>
      </c>
      <c r="G73" s="28">
        <f t="shared" si="17"/>
        <v>907.48336029868801</v>
      </c>
      <c r="H73" s="28">
        <f t="shared" si="17"/>
        <v>676.17127544207506</v>
      </c>
      <c r="I73" s="28">
        <f t="shared" si="17"/>
        <v>535.90495844394366</v>
      </c>
      <c r="J73" s="28">
        <f t="shared" si="17"/>
        <v>545.10387798542877</v>
      </c>
      <c r="K73" s="28">
        <f t="shared" si="17"/>
        <v>429.84456217479072</v>
      </c>
      <c r="L73" s="28">
        <f t="shared" si="17"/>
        <v>325.76679161078624</v>
      </c>
      <c r="M73" s="28">
        <f t="shared" si="17"/>
        <v>338.16531962214236</v>
      </c>
      <c r="N73" s="28">
        <f t="shared" si="17"/>
        <v>342.75514447645151</v>
      </c>
      <c r="O73" s="28">
        <f t="shared" si="17"/>
        <v>347.76738262365444</v>
      </c>
      <c r="P73" s="28">
        <f t="shared" si="17"/>
        <v>352.09701578149031</v>
      </c>
      <c r="Q73" s="28">
        <f t="shared" si="17"/>
        <v>365.94458317176111</v>
      </c>
      <c r="R73" s="28">
        <f t="shared" si="17"/>
        <v>363.16148540564905</v>
      </c>
      <c r="S73" s="28">
        <f t="shared" si="17"/>
        <v>360.34292575085107</v>
      </c>
      <c r="T73" s="28">
        <f t="shared" si="17"/>
        <v>357.18386361115643</v>
      </c>
      <c r="U73" s="28">
        <f t="shared" si="17"/>
        <v>353.9725059203721</v>
      </c>
      <c r="V73" s="28">
        <f t="shared" si="17"/>
        <v>358.86686515060455</v>
      </c>
      <c r="W73" s="28">
        <f t="shared" si="17"/>
        <v>375.51440644005845</v>
      </c>
      <c r="X73" s="28">
        <f t="shared" si="17"/>
        <v>0</v>
      </c>
      <c r="Y73" s="28">
        <f t="shared" si="17"/>
        <v>0</v>
      </c>
      <c r="AA73" s="606">
        <f t="shared" si="6"/>
        <v>8008.1751782261372</v>
      </c>
      <c r="AB73" s="607">
        <f t="shared" si="2"/>
        <v>4004.0875891130686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1501.7285490413367</v>
      </c>
      <c r="F76" s="28">
        <f t="shared" si="19"/>
        <v>99.176483355220995</v>
      </c>
      <c r="G76" s="95">
        <f t="shared" si="19"/>
        <v>104.91672006470952</v>
      </c>
      <c r="H76" s="28">
        <f t="shared" si="19"/>
        <v>108.66016167025688</v>
      </c>
      <c r="I76" s="28">
        <f t="shared" si="19"/>
        <v>110.16669359150343</v>
      </c>
      <c r="J76" s="28">
        <f t="shared" si="19"/>
        <v>114.76615336224597</v>
      </c>
      <c r="K76" s="28">
        <f t="shared" si="19"/>
        <v>110.86626327216118</v>
      </c>
      <c r="L76" s="28">
        <f t="shared" si="19"/>
        <v>112.55714580539311</v>
      </c>
      <c r="M76" s="28">
        <f t="shared" si="19"/>
        <v>118.75640981107117</v>
      </c>
      <c r="N76" s="28">
        <f t="shared" si="19"/>
        <v>121.05132223822575</v>
      </c>
      <c r="O76" s="28">
        <f t="shared" si="19"/>
        <v>123.5574413118272</v>
      </c>
      <c r="P76" s="28">
        <f t="shared" si="19"/>
        <v>125.72225789074514</v>
      </c>
      <c r="Q76" s="28">
        <f t="shared" si="19"/>
        <v>132.64604158588054</v>
      </c>
      <c r="R76" s="28">
        <f t="shared" si="19"/>
        <v>131.25449270282451</v>
      </c>
      <c r="S76" s="28">
        <f t="shared" si="19"/>
        <v>129.84521287542552</v>
      </c>
      <c r="T76" s="28">
        <f t="shared" si="19"/>
        <v>128.26568180557823</v>
      </c>
      <c r="U76" s="28">
        <f t="shared" si="19"/>
        <v>126.66000296018605</v>
      </c>
      <c r="V76" s="28">
        <f t="shared" si="19"/>
        <v>129.10718257530226</v>
      </c>
      <c r="W76" s="28">
        <f t="shared" si="19"/>
        <v>137.43095322002921</v>
      </c>
      <c r="X76" s="28">
        <f t="shared" si="19"/>
        <v>0</v>
      </c>
      <c r="Y76" s="28">
        <f t="shared" si="19"/>
        <v>0</v>
      </c>
      <c r="AA76" s="606">
        <f t="shared" si="6"/>
        <v>2165.4066200985867</v>
      </c>
      <c r="AB76" s="607">
        <f>AA76</f>
        <v>2165.4066200985867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2431.9490672734196</v>
      </c>
      <c r="F77" s="28">
        <f t="shared" si="20"/>
        <v>336.06442715811755</v>
      </c>
      <c r="G77" s="95">
        <f t="shared" si="20"/>
        <v>453.74168014934401</v>
      </c>
      <c r="H77" s="28">
        <f t="shared" si="20"/>
        <v>338.08563772103753</v>
      </c>
      <c r="I77" s="28">
        <f t="shared" si="20"/>
        <v>267.95247922197183</v>
      </c>
      <c r="J77" s="28">
        <f t="shared" si="20"/>
        <v>272.55193899271438</v>
      </c>
      <c r="K77" s="28">
        <f t="shared" si="20"/>
        <v>214.92228108739536</v>
      </c>
      <c r="L77" s="28">
        <f t="shared" si="20"/>
        <v>162.88339580539312</v>
      </c>
      <c r="M77" s="28">
        <f t="shared" si="20"/>
        <v>169.08265981107118</v>
      </c>
      <c r="N77" s="28">
        <f t="shared" si="20"/>
        <v>171.37757223822575</v>
      </c>
      <c r="O77" s="28">
        <f t="shared" si="20"/>
        <v>173.88369131182722</v>
      </c>
      <c r="P77" s="28">
        <f t="shared" si="20"/>
        <v>176.04850789074516</v>
      </c>
      <c r="Q77" s="28">
        <f t="shared" si="20"/>
        <v>182.97229158588055</v>
      </c>
      <c r="R77" s="28">
        <f t="shared" si="20"/>
        <v>181.58074270282452</v>
      </c>
      <c r="S77" s="28">
        <f t="shared" si="20"/>
        <v>180.17146287542553</v>
      </c>
      <c r="T77" s="28">
        <f t="shared" si="20"/>
        <v>178.59193180557821</v>
      </c>
      <c r="U77" s="28">
        <f t="shared" si="20"/>
        <v>176.98625296018605</v>
      </c>
      <c r="V77" s="28">
        <f t="shared" si="20"/>
        <v>179.43343257530228</v>
      </c>
      <c r="W77" s="28">
        <f t="shared" si="20"/>
        <v>187.75720322002923</v>
      </c>
      <c r="X77" s="28">
        <f t="shared" si="20"/>
        <v>0</v>
      </c>
      <c r="Y77" s="28">
        <f t="shared" si="20"/>
        <v>0</v>
      </c>
      <c r="AA77" s="606">
        <f t="shared" si="6"/>
        <v>4004.0875891130686</v>
      </c>
      <c r="AB77" s="607">
        <f>AA77</f>
        <v>4004.0875891130686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484.2193792881651</v>
      </c>
      <c r="G88" s="200">
        <f t="shared" ref="G88:Y88" si="22">G69</f>
        <v>502.81123907598226</v>
      </c>
      <c r="H88" s="200">
        <f t="shared" si="22"/>
        <v>514.93574630042713</v>
      </c>
      <c r="I88" s="200">
        <f t="shared" si="22"/>
        <v>519.81520191580057</v>
      </c>
      <c r="J88" s="200">
        <f t="shared" si="22"/>
        <v>534.71223761051328</v>
      </c>
      <c r="K88" s="200">
        <f t="shared" si="22"/>
        <v>522.08101464667584</v>
      </c>
      <c r="L88" s="200">
        <f t="shared" si="22"/>
        <v>527.55755726443113</v>
      </c>
      <c r="M88" s="200">
        <f t="shared" si="22"/>
        <v>547.63614513707262</v>
      </c>
      <c r="N88" s="200">
        <f t="shared" si="22"/>
        <v>555.06905988089306</v>
      </c>
      <c r="O88" s="200">
        <f t="shared" si="22"/>
        <v>563.18604473466303</v>
      </c>
      <c r="P88" s="200">
        <f t="shared" si="22"/>
        <v>570.1975964072717</v>
      </c>
      <c r="Q88" s="200">
        <f t="shared" si="22"/>
        <v>592.6228067558884</v>
      </c>
      <c r="R88" s="200">
        <f t="shared" si="22"/>
        <v>588.11576583910778</v>
      </c>
      <c r="S88" s="200">
        <f t="shared" si="22"/>
        <v>583.55129676251181</v>
      </c>
      <c r="T88" s="200">
        <f t="shared" si="22"/>
        <v>578.43540665774321</v>
      </c>
      <c r="U88" s="200">
        <f t="shared" si="22"/>
        <v>573.2348274014123</v>
      </c>
      <c r="V88" s="200">
        <f t="shared" si="22"/>
        <v>581.16091522365105</v>
      </c>
      <c r="W88" s="200">
        <f t="shared" si="22"/>
        <v>608.12049625920395</v>
      </c>
      <c r="X88" s="200">
        <f t="shared" si="22"/>
        <v>0</v>
      </c>
      <c r="Y88" s="200">
        <f t="shared" si="22"/>
        <v>0</v>
      </c>
      <c r="AA88" s="606">
        <f t="shared" si="6"/>
        <v>9947.4627371614151</v>
      </c>
      <c r="AB88" s="607">
        <f t="shared" si="18"/>
        <v>4973.7313685807076</v>
      </c>
    </row>
    <row r="89" spans="1:30" s="199" customFormat="1">
      <c r="A89" s="199" t="s">
        <v>53</v>
      </c>
      <c r="F89" s="110">
        <f>F126+F127</f>
        <v>187.90947502806998</v>
      </c>
      <c r="G89" s="110">
        <f t="shared" ref="G89:Y89" si="23">G126+G127</f>
        <v>404.67212122270581</v>
      </c>
      <c r="H89" s="110">
        <f t="shared" si="23"/>
        <v>161.23552914164799</v>
      </c>
      <c r="I89" s="110">
        <f t="shared" si="23"/>
        <v>16.089756528143106</v>
      </c>
      <c r="J89" s="110">
        <f t="shared" si="23"/>
        <v>10.391640374915493</v>
      </c>
      <c r="K89" s="110">
        <f t="shared" si="23"/>
        <v>-92.236452471885102</v>
      </c>
      <c r="L89" s="110">
        <f t="shared" si="23"/>
        <v>-201.79076565364488</v>
      </c>
      <c r="M89" s="110">
        <f t="shared" si="23"/>
        <v>-209.47082551493025</v>
      </c>
      <c r="N89" s="110">
        <f t="shared" si="23"/>
        <v>-212.31391540444159</v>
      </c>
      <c r="O89" s="110">
        <f t="shared" si="23"/>
        <v>-215.41866211100859</v>
      </c>
      <c r="P89" s="110">
        <f t="shared" si="23"/>
        <v>-218.10058062578139</v>
      </c>
      <c r="Q89" s="110">
        <f t="shared" si="23"/>
        <v>-226.67822358412729</v>
      </c>
      <c r="R89" s="110">
        <f t="shared" si="23"/>
        <v>-224.95428043345873</v>
      </c>
      <c r="S89" s="110">
        <f t="shared" si="23"/>
        <v>-223.20837101166074</v>
      </c>
      <c r="T89" s="110">
        <f t="shared" si="23"/>
        <v>-221.25154304658679</v>
      </c>
      <c r="U89" s="110">
        <f t="shared" si="23"/>
        <v>-219.2623214810402</v>
      </c>
      <c r="V89" s="110">
        <f t="shared" si="23"/>
        <v>-222.29405007304649</v>
      </c>
      <c r="W89" s="110">
        <f t="shared" si="23"/>
        <v>-232.60608981914552</v>
      </c>
      <c r="X89" s="110">
        <f t="shared" si="23"/>
        <v>0</v>
      </c>
      <c r="Y89" s="110">
        <f t="shared" si="23"/>
        <v>0</v>
      </c>
      <c r="AA89" s="606">
        <f t="shared" si="6"/>
        <v>-1939.287558935275</v>
      </c>
      <c r="AB89" s="607">
        <f t="shared" si="18"/>
        <v>-969.6437794676375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4864.9639700736316</v>
      </c>
      <c r="X91" s="111">
        <v>0</v>
      </c>
      <c r="Y91" s="111">
        <v>0</v>
      </c>
      <c r="AA91" s="606">
        <f t="shared" si="6"/>
        <v>4864.9639700736316</v>
      </c>
      <c r="AB91" s="607">
        <f t="shared" si="18"/>
        <v>2432.4819850368158</v>
      </c>
    </row>
    <row r="92" spans="1:30" s="199" customFormat="1">
      <c r="A92" s="199" t="s">
        <v>55</v>
      </c>
      <c r="E92" s="502">
        <v>-5419.3665592707785</v>
      </c>
      <c r="F92" s="200">
        <f>SUM(F88:F91)</f>
        <v>672.12885431623511</v>
      </c>
      <c r="G92" s="200">
        <f t="shared" ref="G92:Y92" si="25">SUM(G88:G91)</f>
        <v>907.48336029868801</v>
      </c>
      <c r="H92" s="200">
        <f t="shared" si="25"/>
        <v>676.17127544207506</v>
      </c>
      <c r="I92" s="200">
        <f t="shared" si="25"/>
        <v>535.90495844394366</v>
      </c>
      <c r="J92" s="200">
        <f t="shared" si="25"/>
        <v>545.10387798542877</v>
      </c>
      <c r="K92" s="200">
        <f t="shared" si="25"/>
        <v>429.84456217479072</v>
      </c>
      <c r="L92" s="200">
        <f t="shared" si="25"/>
        <v>325.76679161078624</v>
      </c>
      <c r="M92" s="200">
        <f t="shared" si="25"/>
        <v>338.16531962214236</v>
      </c>
      <c r="N92" s="200">
        <f t="shared" si="25"/>
        <v>342.75514447645151</v>
      </c>
      <c r="O92" s="200">
        <f t="shared" si="25"/>
        <v>347.76738262365444</v>
      </c>
      <c r="P92" s="200">
        <f t="shared" si="25"/>
        <v>352.09701578149031</v>
      </c>
      <c r="Q92" s="200">
        <f t="shared" si="25"/>
        <v>365.94458317176111</v>
      </c>
      <c r="R92" s="200">
        <f t="shared" si="25"/>
        <v>363.16148540564905</v>
      </c>
      <c r="S92" s="200">
        <f t="shared" si="25"/>
        <v>360.34292575085107</v>
      </c>
      <c r="T92" s="200">
        <f t="shared" si="25"/>
        <v>357.18386361115643</v>
      </c>
      <c r="U92" s="200">
        <f t="shared" si="25"/>
        <v>353.9725059203721</v>
      </c>
      <c r="V92" s="200">
        <f t="shared" si="25"/>
        <v>358.86686515060455</v>
      </c>
      <c r="W92" s="200">
        <f t="shared" si="25"/>
        <v>5240.4783765136899</v>
      </c>
      <c r="X92" s="200">
        <f t="shared" si="25"/>
        <v>0</v>
      </c>
      <c r="Y92" s="200">
        <f t="shared" si="25"/>
        <v>0</v>
      </c>
      <c r="AA92" s="606">
        <f t="shared" si="6"/>
        <v>12873.139148299768</v>
      </c>
      <c r="AB92" s="607">
        <f t="shared" si="18"/>
        <v>6436.5695741498839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58</v>
      </c>
      <c r="V95" s="206"/>
      <c r="W95" s="206"/>
      <c r="X95" s="206"/>
      <c r="Y95" s="207">
        <f>W88</f>
        <v>608.12049625920395</v>
      </c>
      <c r="AA95" s="606">
        <f t="shared" si="6"/>
        <v>608.12049625920395</v>
      </c>
      <c r="AB95" s="607">
        <f t="shared" si="18"/>
        <v>304.06024812960197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608.12049625920395</v>
      </c>
      <c r="AA97" s="606">
        <f t="shared" si="6"/>
        <v>608.12049625920395</v>
      </c>
      <c r="AB97" s="607">
        <f t="shared" si="18"/>
        <v>304.06024812960197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4864.9639700736316</v>
      </c>
      <c r="AA99" s="606">
        <f t="shared" si="6"/>
        <v>4864.9639700736316</v>
      </c>
      <c r="AB99" s="607">
        <f t="shared" si="18"/>
        <v>2432.4819850368158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5419.3665592707785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5419.3665592707785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4877.429903343701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4877.429903343701</v>
      </c>
      <c r="F109" s="203">
        <f>ROUND(D109/$B$109,0)</f>
        <v>163</v>
      </c>
      <c r="G109" s="203">
        <f>F109</f>
        <v>163</v>
      </c>
      <c r="H109" s="203">
        <f t="shared" ref="H109:W110" si="28">G109</f>
        <v>163</v>
      </c>
      <c r="I109" s="203">
        <f t="shared" si="28"/>
        <v>163</v>
      </c>
      <c r="J109" s="203">
        <f t="shared" si="28"/>
        <v>163</v>
      </c>
      <c r="K109" s="203">
        <f t="shared" si="28"/>
        <v>163</v>
      </c>
      <c r="L109" s="203">
        <f t="shared" si="28"/>
        <v>163</v>
      </c>
      <c r="M109" s="203">
        <f t="shared" si="28"/>
        <v>163</v>
      </c>
      <c r="N109" s="203">
        <f t="shared" si="28"/>
        <v>163</v>
      </c>
      <c r="O109" s="203">
        <f t="shared" si="28"/>
        <v>163</v>
      </c>
      <c r="P109" s="203">
        <f t="shared" si="28"/>
        <v>163</v>
      </c>
      <c r="Q109" s="203">
        <f t="shared" si="28"/>
        <v>163</v>
      </c>
      <c r="R109" s="203">
        <f t="shared" si="28"/>
        <v>163</v>
      </c>
      <c r="S109" s="203">
        <f t="shared" si="28"/>
        <v>163</v>
      </c>
      <c r="T109" s="203">
        <f t="shared" si="28"/>
        <v>163</v>
      </c>
      <c r="U109" s="203">
        <f t="shared" si="28"/>
        <v>163</v>
      </c>
      <c r="V109" s="203">
        <f t="shared" si="28"/>
        <v>163</v>
      </c>
      <c r="W109" s="203">
        <f t="shared" si="28"/>
        <v>163</v>
      </c>
      <c r="X109" s="739"/>
      <c r="Y109" s="739"/>
      <c r="AA109" s="606">
        <f t="shared" si="26"/>
        <v>2934</v>
      </c>
      <c r="AB109" s="607">
        <f t="shared" si="18"/>
        <v>1467</v>
      </c>
    </row>
    <row r="110" spans="1:28" s="199" customFormat="1">
      <c r="A110" s="199" t="s">
        <v>571</v>
      </c>
      <c r="D110" s="214">
        <f>D104*'FPLE_Wind Summary'!V34</f>
        <v>367.71218492512395</v>
      </c>
      <c r="F110" s="203">
        <f>ROUND(D110/$B$109,0)</f>
        <v>12</v>
      </c>
      <c r="G110" s="203">
        <f>F110</f>
        <v>12</v>
      </c>
      <c r="H110" s="203">
        <f t="shared" si="28"/>
        <v>12</v>
      </c>
      <c r="I110" s="203">
        <f t="shared" si="28"/>
        <v>12</v>
      </c>
      <c r="J110" s="203">
        <f t="shared" si="28"/>
        <v>12</v>
      </c>
      <c r="K110" s="203">
        <f t="shared" si="28"/>
        <v>12</v>
      </c>
      <c r="L110" s="203">
        <f t="shared" si="28"/>
        <v>12</v>
      </c>
      <c r="M110" s="203">
        <f t="shared" si="28"/>
        <v>12</v>
      </c>
      <c r="N110" s="203">
        <f t="shared" si="28"/>
        <v>12</v>
      </c>
      <c r="O110" s="203">
        <f t="shared" si="28"/>
        <v>12</v>
      </c>
      <c r="P110" s="203">
        <f t="shared" si="28"/>
        <v>12</v>
      </c>
      <c r="Q110" s="203">
        <f t="shared" si="28"/>
        <v>12</v>
      </c>
      <c r="R110" s="203">
        <f t="shared" si="28"/>
        <v>12</v>
      </c>
      <c r="S110" s="203">
        <f t="shared" si="28"/>
        <v>12</v>
      </c>
      <c r="T110" s="203">
        <f t="shared" si="28"/>
        <v>12</v>
      </c>
      <c r="U110" s="203">
        <f t="shared" si="28"/>
        <v>12</v>
      </c>
      <c r="V110" s="203">
        <f t="shared" si="28"/>
        <v>12</v>
      </c>
      <c r="W110" s="203">
        <f t="shared" si="28"/>
        <v>12</v>
      </c>
      <c r="X110" s="739"/>
      <c r="Y110" s="739"/>
      <c r="AA110" s="606">
        <f t="shared" si="26"/>
        <v>216</v>
      </c>
      <c r="AB110" s="607">
        <f t="shared" si="18"/>
        <v>108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4877.429903343701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975.48598066874024</v>
      </c>
      <c r="G115" s="203">
        <f t="shared" si="29"/>
        <v>1560.7775690699843</v>
      </c>
      <c r="H115" s="203">
        <f t="shared" si="29"/>
        <v>936.46654144199056</v>
      </c>
      <c r="I115" s="203">
        <f t="shared" si="29"/>
        <v>561.87992486519431</v>
      </c>
      <c r="J115" s="203">
        <f t="shared" si="29"/>
        <v>561.87992486519431</v>
      </c>
      <c r="K115" s="203">
        <f t="shared" si="29"/>
        <v>280.93996243259716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4877.429903343701</v>
      </c>
      <c r="AB115" s="607">
        <f t="shared" si="18"/>
        <v>2438.7149516718505</v>
      </c>
    </row>
    <row r="116" spans="1:28" s="199" customFormat="1">
      <c r="A116" s="199" t="s">
        <v>571</v>
      </c>
      <c r="D116" s="214">
        <f>D110</f>
        <v>367.71218492512395</v>
      </c>
      <c r="F116" s="203">
        <f>$D$116*F114</f>
        <v>73.542436985024793</v>
      </c>
      <c r="G116" s="203">
        <f t="shared" ref="G116:W116" si="30">$D$116*G114</f>
        <v>117.66789917603967</v>
      </c>
      <c r="H116" s="203">
        <f t="shared" si="30"/>
        <v>70.600739505623807</v>
      </c>
      <c r="I116" s="203">
        <f t="shared" si="30"/>
        <v>42.36044370337428</v>
      </c>
      <c r="J116" s="203">
        <f t="shared" si="30"/>
        <v>42.36044370337428</v>
      </c>
      <c r="K116" s="203">
        <f t="shared" si="30"/>
        <v>21.18022185168714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>SUM(F116:Y116)</f>
        <v>367.71218492512395</v>
      </c>
      <c r="AB116" s="607">
        <f t="shared" si="18"/>
        <v>183.85609246256197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484.2193792881651</v>
      </c>
      <c r="G121" s="203">
        <f t="shared" ref="G121:Y121" si="32">G39</f>
        <v>502.81123907598226</v>
      </c>
      <c r="H121" s="203">
        <f t="shared" si="32"/>
        <v>514.93574630042713</v>
      </c>
      <c r="I121" s="203">
        <f t="shared" si="32"/>
        <v>519.81520191580057</v>
      </c>
      <c r="J121" s="203">
        <f>J39</f>
        <v>534.71223761051328</v>
      </c>
      <c r="K121" s="203">
        <f t="shared" si="32"/>
        <v>522.08101464667584</v>
      </c>
      <c r="L121" s="203">
        <f t="shared" si="32"/>
        <v>527.55755726443113</v>
      </c>
      <c r="M121" s="203">
        <f t="shared" si="32"/>
        <v>547.63614513707262</v>
      </c>
      <c r="N121" s="203">
        <f t="shared" si="32"/>
        <v>555.06905988089306</v>
      </c>
      <c r="O121" s="203">
        <f t="shared" si="32"/>
        <v>563.18604473466303</v>
      </c>
      <c r="P121" s="203">
        <f t="shared" si="32"/>
        <v>570.1975964072717</v>
      </c>
      <c r="Q121" s="203">
        <f t="shared" si="32"/>
        <v>592.6228067558884</v>
      </c>
      <c r="R121" s="203">
        <f t="shared" si="32"/>
        <v>588.11576583910778</v>
      </c>
      <c r="S121" s="203">
        <f t="shared" si="32"/>
        <v>583.55129676251181</v>
      </c>
      <c r="T121" s="203">
        <f t="shared" si="32"/>
        <v>578.43540665774321</v>
      </c>
      <c r="U121" s="203">
        <f t="shared" si="32"/>
        <v>573.2348274014123</v>
      </c>
      <c r="V121" s="203">
        <f t="shared" si="32"/>
        <v>581.16091522365105</v>
      </c>
      <c r="W121" s="203">
        <f t="shared" si="32"/>
        <v>608.12049625920395</v>
      </c>
      <c r="X121" s="203">
        <f t="shared" si="32"/>
        <v>0</v>
      </c>
      <c r="Y121" s="203">
        <f t="shared" si="32"/>
        <v>0</v>
      </c>
      <c r="AA121" s="606">
        <f t="shared" si="26"/>
        <v>9947.4627371614151</v>
      </c>
      <c r="AB121" s="607">
        <f t="shared" si="18"/>
        <v>4973.7313685807076</v>
      </c>
    </row>
    <row r="122" spans="1:28" s="199" customFormat="1">
      <c r="A122" s="199" t="s">
        <v>74</v>
      </c>
      <c r="F122" s="203">
        <f>-F115</f>
        <v>-975.48598066874024</v>
      </c>
      <c r="G122" s="203">
        <f t="shared" ref="G122:W122" si="33">-G115</f>
        <v>-1560.7775690699843</v>
      </c>
      <c r="H122" s="203">
        <f t="shared" si="33"/>
        <v>-936.46654144199056</v>
      </c>
      <c r="I122" s="203">
        <f t="shared" si="33"/>
        <v>-561.87992486519431</v>
      </c>
      <c r="J122" s="203">
        <f t="shared" si="33"/>
        <v>-561.87992486519431</v>
      </c>
      <c r="K122" s="203">
        <f t="shared" si="33"/>
        <v>-280.93996243259716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>-X115</f>
        <v>0</v>
      </c>
      <c r="Y122" s="203">
        <f>-Y115</f>
        <v>0</v>
      </c>
      <c r="AA122" s="606">
        <f t="shared" si="26"/>
        <v>-4877.429903343701</v>
      </c>
      <c r="AB122" s="607">
        <f t="shared" si="18"/>
        <v>-2438.7149516718505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-491.26660138057514</v>
      </c>
      <c r="G124" s="203">
        <f t="shared" ref="G124:Y124" si="35">SUM(G121:G123)</f>
        <v>-1057.9663299940021</v>
      </c>
      <c r="H124" s="203">
        <f t="shared" si="35"/>
        <v>-421.53079514156343</v>
      </c>
      <c r="I124" s="203">
        <f t="shared" si="35"/>
        <v>-42.06472294939374</v>
      </c>
      <c r="J124" s="203">
        <f t="shared" si="35"/>
        <v>-27.167687254681027</v>
      </c>
      <c r="K124" s="203">
        <f t="shared" si="35"/>
        <v>241.14105221407868</v>
      </c>
      <c r="L124" s="203">
        <f t="shared" si="35"/>
        <v>527.55755726443113</v>
      </c>
      <c r="M124" s="203">
        <f t="shared" si="35"/>
        <v>547.63614513707262</v>
      </c>
      <c r="N124" s="203">
        <f t="shared" si="35"/>
        <v>555.06905988089306</v>
      </c>
      <c r="O124" s="203">
        <f t="shared" si="35"/>
        <v>563.18604473466303</v>
      </c>
      <c r="P124" s="203">
        <f t="shared" si="35"/>
        <v>570.1975964072717</v>
      </c>
      <c r="Q124" s="203">
        <f t="shared" si="35"/>
        <v>592.6228067558884</v>
      </c>
      <c r="R124" s="203">
        <f t="shared" si="35"/>
        <v>588.11576583910778</v>
      </c>
      <c r="S124" s="203">
        <f t="shared" si="35"/>
        <v>583.55129676251181</v>
      </c>
      <c r="T124" s="203">
        <f t="shared" si="35"/>
        <v>578.43540665774321</v>
      </c>
      <c r="U124" s="203">
        <f t="shared" si="35"/>
        <v>573.2348274014123</v>
      </c>
      <c r="V124" s="203">
        <f t="shared" si="35"/>
        <v>581.16091522365105</v>
      </c>
      <c r="W124" s="203">
        <f t="shared" si="35"/>
        <v>608.12049625920395</v>
      </c>
      <c r="X124" s="203">
        <f t="shared" si="35"/>
        <v>0</v>
      </c>
      <c r="Y124" s="203">
        <f t="shared" si="35"/>
        <v>0</v>
      </c>
      <c r="AA124" s="606">
        <f t="shared" si="26"/>
        <v>5070.0328338177133</v>
      </c>
      <c r="AB124" s="607">
        <f t="shared" si="18"/>
        <v>2535.0164169088566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24.563330069028758</v>
      </c>
      <c r="G126" s="203">
        <f t="shared" ref="G126:Y126" si="36">-G124*$C$126</f>
        <v>52.898316499700108</v>
      </c>
      <c r="H126" s="203">
        <f t="shared" si="36"/>
        <v>21.076539757078173</v>
      </c>
      <c r="I126" s="203">
        <f t="shared" si="36"/>
        <v>2.103236147469687</v>
      </c>
      <c r="J126" s="203">
        <f t="shared" si="36"/>
        <v>1.3583843627340515</v>
      </c>
      <c r="K126" s="203">
        <f t="shared" si="36"/>
        <v>-12.057052610703934</v>
      </c>
      <c r="L126" s="203">
        <f t="shared" si="36"/>
        <v>-26.377877863221556</v>
      </c>
      <c r="M126" s="203">
        <f t="shared" si="36"/>
        <v>-27.381807256853634</v>
      </c>
      <c r="N126" s="203">
        <f t="shared" si="36"/>
        <v>-27.753452994044654</v>
      </c>
      <c r="O126" s="203">
        <f t="shared" si="36"/>
        <v>-28.159302236733154</v>
      </c>
      <c r="P126" s="203">
        <f t="shared" si="36"/>
        <v>-28.509879820363587</v>
      </c>
      <c r="Q126" s="203">
        <f t="shared" si="36"/>
        <v>-29.63114033779442</v>
      </c>
      <c r="R126" s="203">
        <f t="shared" si="36"/>
        <v>-29.405788291955389</v>
      </c>
      <c r="S126" s="203">
        <f t="shared" si="36"/>
        <v>-29.177564838125591</v>
      </c>
      <c r="T126" s="203">
        <f t="shared" si="36"/>
        <v>-28.921770332887164</v>
      </c>
      <c r="U126" s="203">
        <f t="shared" si="36"/>
        <v>-28.661741370070615</v>
      </c>
      <c r="V126" s="203">
        <f t="shared" si="36"/>
        <v>-29.058045761182555</v>
      </c>
      <c r="W126" s="203">
        <f t="shared" si="36"/>
        <v>-30.406024812960197</v>
      </c>
      <c r="X126" s="203">
        <f t="shared" si="36"/>
        <v>0</v>
      </c>
      <c r="Y126" s="203">
        <f t="shared" si="36"/>
        <v>0</v>
      </c>
      <c r="AA126" s="606">
        <f t="shared" si="26"/>
        <v>-253.50164169088566</v>
      </c>
      <c r="AB126" s="607">
        <f t="shared" si="18"/>
        <v>-126.75082084544283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163.34614495904123</v>
      </c>
      <c r="G127" s="203">
        <f t="shared" ref="G127:Y127" si="37">-(G124+G126)*$C$127</f>
        <v>351.7738047230057</v>
      </c>
      <c r="H127" s="203">
        <f t="shared" si="37"/>
        <v>140.15898938456982</v>
      </c>
      <c r="I127" s="203">
        <f t="shared" si="37"/>
        <v>13.986520380673419</v>
      </c>
      <c r="J127" s="203">
        <f t="shared" si="37"/>
        <v>9.0332560121814414</v>
      </c>
      <c r="K127" s="203">
        <f t="shared" si="37"/>
        <v>-80.179399861181167</v>
      </c>
      <c r="L127" s="203">
        <f t="shared" si="37"/>
        <v>-175.41288779042333</v>
      </c>
      <c r="M127" s="203">
        <f t="shared" si="37"/>
        <v>-182.08901825807661</v>
      </c>
      <c r="N127" s="203">
        <f t="shared" si="37"/>
        <v>-184.56046241039692</v>
      </c>
      <c r="O127" s="203">
        <f t="shared" si="37"/>
        <v>-187.25935987427542</v>
      </c>
      <c r="P127" s="203">
        <f t="shared" si="37"/>
        <v>-189.59070080541781</v>
      </c>
      <c r="Q127" s="203">
        <f t="shared" si="37"/>
        <v>-197.04708324633287</v>
      </c>
      <c r="R127" s="203">
        <f t="shared" si="37"/>
        <v>-195.54849214150335</v>
      </c>
      <c r="S127" s="203">
        <f t="shared" si="37"/>
        <v>-194.03080617353515</v>
      </c>
      <c r="T127" s="203">
        <f t="shared" si="37"/>
        <v>-192.32977271369961</v>
      </c>
      <c r="U127" s="203">
        <f t="shared" si="37"/>
        <v>-190.60058011096959</v>
      </c>
      <c r="V127" s="203">
        <f t="shared" si="37"/>
        <v>-193.23600431186395</v>
      </c>
      <c r="W127" s="203">
        <f t="shared" si="37"/>
        <v>-202.20006500618533</v>
      </c>
      <c r="X127" s="203">
        <f t="shared" si="37"/>
        <v>0</v>
      </c>
      <c r="Y127" s="203">
        <f t="shared" si="37"/>
        <v>0</v>
      </c>
      <c r="AA127" s="606">
        <f t="shared" si="26"/>
        <v>-1685.7859172443896</v>
      </c>
      <c r="AB127" s="607">
        <f t="shared" si="18"/>
        <v>-842.89295862219478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99.176483355220995</v>
      </c>
      <c r="G144" s="220">
        <f t="shared" ref="G144:Y144" si="46">G76</f>
        <v>104.91672006470952</v>
      </c>
      <c r="H144" s="220">
        <f t="shared" si="46"/>
        <v>108.66016167025688</v>
      </c>
      <c r="I144" s="220">
        <f t="shared" si="46"/>
        <v>110.16669359150343</v>
      </c>
      <c r="J144" s="220">
        <f t="shared" si="46"/>
        <v>114.76615336224597</v>
      </c>
      <c r="K144" s="220">
        <f t="shared" si="46"/>
        <v>110.86626327216118</v>
      </c>
      <c r="L144" s="220">
        <f t="shared" si="46"/>
        <v>112.55714580539311</v>
      </c>
      <c r="M144" s="220">
        <f t="shared" si="46"/>
        <v>118.75640981107117</v>
      </c>
      <c r="N144" s="220">
        <f t="shared" si="46"/>
        <v>121.05132223822575</v>
      </c>
      <c r="O144" s="220">
        <f t="shared" si="46"/>
        <v>123.5574413118272</v>
      </c>
      <c r="P144" s="220">
        <f t="shared" si="46"/>
        <v>125.72225789074514</v>
      </c>
      <c r="Q144" s="220">
        <f t="shared" si="46"/>
        <v>132.64604158588054</v>
      </c>
      <c r="R144" s="220">
        <f t="shared" si="46"/>
        <v>131.25449270282451</v>
      </c>
      <c r="S144" s="220">
        <f t="shared" si="46"/>
        <v>129.84521287542552</v>
      </c>
      <c r="T144" s="220">
        <f t="shared" si="46"/>
        <v>128.26568180557823</v>
      </c>
      <c r="U144" s="220">
        <f t="shared" si="46"/>
        <v>126.66000296018605</v>
      </c>
      <c r="V144" s="220">
        <f t="shared" si="46"/>
        <v>129.10718257530226</v>
      </c>
      <c r="W144" s="220">
        <f t="shared" si="46"/>
        <v>137.43095322002921</v>
      </c>
      <c r="X144" s="220">
        <f t="shared" si="46"/>
        <v>0</v>
      </c>
      <c r="Y144" s="220">
        <f t="shared" si="46"/>
        <v>0</v>
      </c>
      <c r="AA144" s="606">
        <f t="shared" si="26"/>
        <v>2165.4066200985867</v>
      </c>
      <c r="AB144" s="607">
        <f t="shared" si="39"/>
        <v>2165.4066200985867</v>
      </c>
    </row>
    <row r="145" spans="1:28" s="199" customFormat="1">
      <c r="A145" s="124" t="s">
        <v>91</v>
      </c>
      <c r="F145" s="213">
        <f>F142+F144</f>
        <v>99.176483355220995</v>
      </c>
      <c r="G145" s="213">
        <f t="shared" ref="G145:Y145" si="47">G142+G144</f>
        <v>104.91672006470952</v>
      </c>
      <c r="H145" s="213">
        <f t="shared" si="47"/>
        <v>108.66016167025688</v>
      </c>
      <c r="I145" s="213">
        <f t="shared" si="47"/>
        <v>110.16669359150343</v>
      </c>
      <c r="J145" s="213">
        <f t="shared" si="47"/>
        <v>114.76615336224597</v>
      </c>
      <c r="K145" s="213">
        <f t="shared" si="47"/>
        <v>110.86626327216118</v>
      </c>
      <c r="L145" s="213">
        <f t="shared" si="47"/>
        <v>112.55714580539311</v>
      </c>
      <c r="M145" s="213">
        <f t="shared" si="47"/>
        <v>118.75640981107117</v>
      </c>
      <c r="N145" s="213">
        <f t="shared" si="47"/>
        <v>121.05132223822575</v>
      </c>
      <c r="O145" s="213">
        <f t="shared" si="47"/>
        <v>123.5574413118272</v>
      </c>
      <c r="P145" s="213">
        <f t="shared" si="47"/>
        <v>125.72225789074514</v>
      </c>
      <c r="Q145" s="213">
        <f t="shared" si="47"/>
        <v>132.64604158588054</v>
      </c>
      <c r="R145" s="213">
        <f t="shared" si="47"/>
        <v>131.25449270282451</v>
      </c>
      <c r="S145" s="213">
        <f t="shared" si="47"/>
        <v>129.84521287542552</v>
      </c>
      <c r="T145" s="213">
        <f t="shared" si="47"/>
        <v>128.26568180557823</v>
      </c>
      <c r="U145" s="213">
        <f t="shared" si="47"/>
        <v>126.66000296018605</v>
      </c>
      <c r="V145" s="213">
        <f t="shared" si="47"/>
        <v>129.10718257530226</v>
      </c>
      <c r="W145" s="213">
        <f t="shared" si="47"/>
        <v>137.43095322002921</v>
      </c>
      <c r="X145" s="213">
        <f t="shared" si="47"/>
        <v>0</v>
      </c>
      <c r="Y145" s="213">
        <f t="shared" si="47"/>
        <v>0</v>
      </c>
      <c r="AA145" s="606">
        <f t="shared" si="26"/>
        <v>2165.4066200985867</v>
      </c>
      <c r="AB145" s="607">
        <f t="shared" si="39"/>
        <v>2165.4066200985867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2709.6832796353892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2709.6832796353892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AH94"/>
  <sheetViews>
    <sheetView topLeftCell="A2" zoomScale="75" zoomScaleNormal="75" workbookViewId="0">
      <selection activeCell="A2" sqref="A2"/>
    </sheetView>
  </sheetViews>
  <sheetFormatPr defaultRowHeight="12.75"/>
  <cols>
    <col min="1" max="1" width="66" style="271" bestFit="1" customWidth="1"/>
    <col min="2" max="2" width="19.28515625" style="271" customWidth="1"/>
    <col min="3" max="3" width="20.7109375" style="271" customWidth="1"/>
    <col min="4" max="4" width="21.140625" style="271" customWidth="1"/>
    <col min="5" max="5" width="24.7109375" style="271" bestFit="1" customWidth="1"/>
    <col min="6" max="6" width="21.28515625" style="271" bestFit="1" customWidth="1"/>
    <col min="7" max="7" width="17.7109375" style="271" customWidth="1"/>
    <col min="8" max="8" width="9.85546875" style="271" customWidth="1"/>
    <col min="9" max="9" width="14.140625" style="271" customWidth="1"/>
    <col min="10" max="10" width="23" style="271" bestFit="1" customWidth="1"/>
    <col min="11" max="11" width="14.42578125" style="271" customWidth="1"/>
    <col min="12" max="12" width="13.85546875" style="271" customWidth="1"/>
    <col min="13" max="13" width="5.140625" style="271" customWidth="1"/>
    <col min="14" max="16" width="14.42578125" style="271" customWidth="1"/>
    <col min="17" max="17" width="5.7109375" style="271" customWidth="1"/>
    <col min="18" max="18" width="12.28515625" style="271" customWidth="1"/>
    <col min="19" max="19" width="9" style="271" customWidth="1"/>
    <col min="20" max="20" width="12" style="271" customWidth="1"/>
    <col min="21" max="21" width="12.85546875" style="271" customWidth="1"/>
    <col min="22" max="22" width="12" style="271" customWidth="1"/>
    <col min="23" max="23" width="23" style="271" bestFit="1" customWidth="1"/>
    <col min="24" max="29" width="12" style="271" customWidth="1"/>
    <col min="30" max="30" width="9.140625" style="271"/>
    <col min="31" max="33" width="10" style="271" customWidth="1"/>
    <col min="34" max="34" width="12" style="271" customWidth="1"/>
    <col min="35" max="35" width="17.5703125" style="271" customWidth="1"/>
    <col min="36" max="36" width="22.42578125" style="271" customWidth="1"/>
    <col min="37" max="37" width="19" style="271" customWidth="1"/>
    <col min="38" max="38" width="10.28515625" style="271" customWidth="1"/>
    <col min="39" max="58" width="13.140625" style="271" customWidth="1"/>
    <col min="59" max="59" width="9.140625" style="271"/>
    <col min="60" max="69" width="10" style="271" customWidth="1"/>
    <col min="70" max="70" width="9.140625" style="271"/>
    <col min="71" max="76" width="10" style="271" customWidth="1"/>
    <col min="77" max="77" width="9.140625" style="271"/>
    <col min="78" max="83" width="10" style="271" customWidth="1"/>
    <col min="84" max="16384" width="9.140625" style="271"/>
  </cols>
  <sheetData>
    <row r="1" spans="1:34" ht="25.5" hidden="1">
      <c r="A1" s="758" t="s">
        <v>286</v>
      </c>
      <c r="T1" s="759"/>
      <c r="AH1" s="759"/>
    </row>
    <row r="2" spans="1:34" ht="12.75" customHeight="1">
      <c r="A2" s="758"/>
      <c r="T2" s="759"/>
      <c r="AH2" s="759"/>
    </row>
    <row r="3" spans="1:34" ht="18.75">
      <c r="A3" s="710" t="s">
        <v>687</v>
      </c>
      <c r="B3" s="7"/>
      <c r="C3" s="7"/>
      <c r="D3" s="7"/>
    </row>
    <row r="5" spans="1:34" ht="13.5" thickBot="1">
      <c r="S5" s="283"/>
    </row>
    <row r="6" spans="1:34" ht="15.75">
      <c r="A6" s="760" t="s">
        <v>367</v>
      </c>
      <c r="B6" s="761"/>
      <c r="C6" s="761"/>
      <c r="D6" s="761"/>
      <c r="E6" s="762"/>
      <c r="F6" s="762"/>
      <c r="G6" s="763"/>
      <c r="T6" s="764"/>
    </row>
    <row r="7" spans="1:34" ht="15.75">
      <c r="A7" s="765" t="s">
        <v>368</v>
      </c>
      <c r="B7" s="766" t="s">
        <v>267</v>
      </c>
      <c r="C7" s="767" t="s">
        <v>277</v>
      </c>
      <c r="D7" s="768"/>
      <c r="E7" s="769" t="s">
        <v>369</v>
      </c>
      <c r="F7" s="766" t="s">
        <v>267</v>
      </c>
      <c r="G7" s="770" t="s">
        <v>277</v>
      </c>
      <c r="X7" s="512"/>
      <c r="Y7" s="512"/>
      <c r="Z7" s="512"/>
    </row>
    <row r="8" spans="1:34" ht="15.75">
      <c r="A8" s="771" t="s">
        <v>370</v>
      </c>
      <c r="B8" s="772">
        <f>C8/$C$14</f>
        <v>0.39140700670938566</v>
      </c>
      <c r="C8" s="773">
        <f>B33</f>
        <v>577000</v>
      </c>
      <c r="D8" s="774"/>
      <c r="E8" s="775" t="s">
        <v>371</v>
      </c>
      <c r="F8" s="776">
        <f>G8/G14</f>
        <v>0.37523454272798834</v>
      </c>
      <c r="G8" s="777">
        <f>(C14-G12)*ENA_Allocation!C10</f>
        <v>553159.05807175592</v>
      </c>
      <c r="H8" s="20"/>
      <c r="X8" s="512"/>
      <c r="Y8" s="512"/>
      <c r="Z8" s="512"/>
    </row>
    <row r="9" spans="1:34" ht="15.75">
      <c r="A9" s="765" t="s">
        <v>293</v>
      </c>
      <c r="B9" s="778">
        <f>C9/$C$14</f>
        <v>0.49858604840796966</v>
      </c>
      <c r="C9" s="779">
        <f>E20</f>
        <v>735000</v>
      </c>
      <c r="D9" s="780"/>
      <c r="E9" s="769" t="s">
        <v>372</v>
      </c>
      <c r="F9" s="781">
        <f>G9/G14</f>
        <v>0.51475851238936698</v>
      </c>
      <c r="G9" s="782">
        <f>(C14-G12)*ENA_Allocation!C15</f>
        <v>758840.94192824385</v>
      </c>
      <c r="H9" s="7"/>
      <c r="T9" s="783"/>
      <c r="X9" s="512"/>
      <c r="Y9" s="512"/>
      <c r="Z9" s="512"/>
    </row>
    <row r="10" spans="1:34" ht="15.75">
      <c r="A10" s="771" t="s">
        <v>373</v>
      </c>
      <c r="B10" s="772">
        <f>SUM(B8:B9)</f>
        <v>0.88999305511735538</v>
      </c>
      <c r="C10" s="773">
        <f>SUM(C8:C9)</f>
        <v>1312000</v>
      </c>
      <c r="D10" s="313"/>
      <c r="E10" s="775" t="s">
        <v>373</v>
      </c>
      <c r="F10" s="776">
        <f>SUM(F8:F9)</f>
        <v>0.88999305511735538</v>
      </c>
      <c r="G10" s="777">
        <f>SUM(G8:G9)</f>
        <v>1311999.9999999998</v>
      </c>
      <c r="H10" s="90"/>
      <c r="T10" s="783"/>
      <c r="X10" s="512"/>
      <c r="Y10" s="512"/>
      <c r="Z10" s="512"/>
    </row>
    <row r="11" spans="1:34" ht="15.75">
      <c r="A11" s="784"/>
      <c r="B11" s="313"/>
      <c r="C11" s="313"/>
      <c r="D11" s="313"/>
      <c r="E11" s="313"/>
      <c r="F11" s="313"/>
      <c r="G11" s="785"/>
      <c r="H11" s="7"/>
      <c r="T11" s="783"/>
      <c r="X11" s="512"/>
      <c r="Y11" s="512"/>
      <c r="Z11" s="512"/>
    </row>
    <row r="12" spans="1:34" ht="15.75">
      <c r="A12" s="786" t="s">
        <v>374</v>
      </c>
      <c r="B12" s="772">
        <f>C12/$C$14</f>
        <v>0.11000694488264462</v>
      </c>
      <c r="C12" s="773">
        <f>'Amortization of Power Contract'!C54</f>
        <v>162168.80666220296</v>
      </c>
      <c r="D12" s="768"/>
      <c r="E12" s="768" t="s">
        <v>374</v>
      </c>
      <c r="F12" s="776">
        <f>G12/G14</f>
        <v>0.11000694488264463</v>
      </c>
      <c r="G12" s="777">
        <f>'Amortization of Power Contract'!C54</f>
        <v>162168.80666220296</v>
      </c>
      <c r="H12" s="787"/>
      <c r="T12" s="783"/>
      <c r="W12" s="512"/>
      <c r="X12" s="512"/>
      <c r="Y12" s="512"/>
      <c r="Z12" s="512"/>
    </row>
    <row r="13" spans="1:34" ht="15.75">
      <c r="A13" s="784"/>
      <c r="B13" s="313"/>
      <c r="C13" s="322"/>
      <c r="D13" s="313"/>
      <c r="E13" s="313"/>
      <c r="F13" s="313"/>
      <c r="G13" s="785"/>
      <c r="H13" s="7"/>
      <c r="T13" s="783"/>
      <c r="W13" s="512"/>
      <c r="X13" s="512"/>
      <c r="Y13" s="512"/>
      <c r="Z13" s="512"/>
    </row>
    <row r="14" spans="1:34" ht="16.5" thickBot="1">
      <c r="A14" s="788" t="s">
        <v>375</v>
      </c>
      <c r="B14" s="789">
        <f>C14/$C$14</f>
        <v>1</v>
      </c>
      <c r="C14" s="790">
        <f>C12+C10</f>
        <v>1474168.806662203</v>
      </c>
      <c r="D14" s="791"/>
      <c r="E14" s="792" t="s">
        <v>376</v>
      </c>
      <c r="F14" s="793">
        <f>SUM(F12,F10)</f>
        <v>1</v>
      </c>
      <c r="G14" s="794">
        <f>G12+G10</f>
        <v>1474168.8066622028</v>
      </c>
      <c r="H14" s="7"/>
      <c r="T14" s="783"/>
    </row>
    <row r="15" spans="1:34" ht="16.5" thickBot="1">
      <c r="A15" s="795"/>
      <c r="B15" s="796"/>
      <c r="C15" s="779"/>
      <c r="D15" s="768"/>
      <c r="E15" s="768"/>
      <c r="F15" s="797"/>
      <c r="G15" s="798"/>
      <c r="H15" s="7"/>
      <c r="T15" s="783"/>
    </row>
    <row r="16" spans="1:34" ht="15.75">
      <c r="A16" s="760" t="s">
        <v>377</v>
      </c>
      <c r="B16" s="762"/>
      <c r="C16" s="762"/>
      <c r="D16" s="799"/>
      <c r="E16" s="762"/>
      <c r="F16" s="762"/>
      <c r="G16" s="763"/>
      <c r="H16" s="7"/>
      <c r="T16" s="783"/>
    </row>
    <row r="17" spans="1:20" ht="15.75">
      <c r="A17" s="784"/>
      <c r="B17" s="800" t="s">
        <v>297</v>
      </c>
      <c r="C17" s="800" t="s">
        <v>298</v>
      </c>
      <c r="D17" s="800" t="s">
        <v>299</v>
      </c>
      <c r="E17" s="800" t="s">
        <v>128</v>
      </c>
      <c r="F17" s="314"/>
      <c r="G17" s="801"/>
      <c r="H17" s="7"/>
      <c r="T17" s="783"/>
    </row>
    <row r="18" spans="1:20" ht="15.75">
      <c r="A18" s="802" t="s">
        <v>378</v>
      </c>
      <c r="B18" s="803"/>
      <c r="C18" s="803"/>
      <c r="D18" s="803"/>
      <c r="E18" s="313"/>
      <c r="F18" s="313"/>
      <c r="G18" s="785"/>
      <c r="H18" s="7"/>
      <c r="T18" s="783"/>
    </row>
    <row r="19" spans="1:20" ht="15.75">
      <c r="A19" s="804" t="s">
        <v>303</v>
      </c>
      <c r="B19" s="805">
        <v>36892</v>
      </c>
      <c r="C19" s="313"/>
      <c r="D19" s="313"/>
      <c r="E19" s="313"/>
      <c r="F19" s="313"/>
      <c r="G19" s="785"/>
      <c r="H19" s="7"/>
      <c r="T19" s="783"/>
    </row>
    <row r="20" spans="1:20" ht="15.75">
      <c r="A20" s="804" t="s">
        <v>304</v>
      </c>
      <c r="B20" s="806">
        <v>50000</v>
      </c>
      <c r="C20" s="806">
        <v>210000</v>
      </c>
      <c r="D20" s="806">
        <v>475000</v>
      </c>
      <c r="E20" s="807">
        <f>SUM(B20:D20)</f>
        <v>735000</v>
      </c>
      <c r="F20" s="808"/>
      <c r="G20" s="809"/>
      <c r="H20" s="7"/>
      <c r="T20" s="783"/>
    </row>
    <row r="21" spans="1:20" ht="15.75">
      <c r="A21" s="804" t="s">
        <v>305</v>
      </c>
      <c r="B21" s="810">
        <f>ENA_Debt!E98</f>
        <v>2.9952087611225187</v>
      </c>
      <c r="C21" s="810">
        <f>ENA_Debt!J98</f>
        <v>9.9958932238193015</v>
      </c>
      <c r="D21" s="810">
        <f>ENA_Debt!O98</f>
        <v>19.997262149212869</v>
      </c>
      <c r="E21" s="811"/>
      <c r="F21" s="808"/>
      <c r="G21" s="809"/>
      <c r="H21" s="90"/>
      <c r="T21" s="783"/>
    </row>
    <row r="22" spans="1:20" ht="15.75">
      <c r="A22" s="804" t="s">
        <v>306</v>
      </c>
      <c r="B22" s="805">
        <v>37986</v>
      </c>
      <c r="C22" s="805">
        <v>40543</v>
      </c>
      <c r="D22" s="805">
        <v>44196</v>
      </c>
      <c r="E22" s="807"/>
      <c r="F22" s="313"/>
      <c r="G22" s="785"/>
      <c r="H22" s="90"/>
      <c r="T22" s="783"/>
    </row>
    <row r="23" spans="1:20" ht="15.75">
      <c r="A23" s="804" t="s">
        <v>379</v>
      </c>
      <c r="B23" s="812">
        <f>ENA_Debt!E99</f>
        <v>1.7562149212867901</v>
      </c>
      <c r="C23" s="812">
        <f>ENA_Debt!J99</f>
        <v>7.1548336755646815</v>
      </c>
      <c r="D23" s="812">
        <f>ENA_Debt!O99</f>
        <v>15.030609171800139</v>
      </c>
      <c r="E23" s="813"/>
      <c r="F23" s="313"/>
      <c r="G23" s="785"/>
      <c r="H23" s="7"/>
      <c r="T23" s="783"/>
    </row>
    <row r="24" spans="1:20" ht="15.75">
      <c r="A24" s="804"/>
      <c r="B24" s="313"/>
      <c r="C24" s="313"/>
      <c r="D24" s="313"/>
      <c r="E24" s="807"/>
      <c r="F24" s="313"/>
      <c r="G24" s="785"/>
      <c r="T24" s="783"/>
    </row>
    <row r="25" spans="1:20" ht="15.75">
      <c r="A25" s="786" t="s">
        <v>307</v>
      </c>
      <c r="B25" s="814">
        <v>6.8000000000000005E-2</v>
      </c>
      <c r="C25" s="814">
        <v>6.5000000000000002E-2</v>
      </c>
      <c r="D25" s="814">
        <v>6.2E-2</v>
      </c>
      <c r="E25" s="815">
        <f>SUMPRODUCT(B25:D25,$B$20:$D$20)/E20</f>
        <v>6.3265306122448975E-2</v>
      </c>
      <c r="F25" s="313"/>
      <c r="G25" s="785"/>
      <c r="T25" s="783"/>
    </row>
    <row r="26" spans="1:20" ht="15.75">
      <c r="A26" s="816" t="s">
        <v>173</v>
      </c>
      <c r="B26" s="817">
        <v>2.2499999999999999E-2</v>
      </c>
      <c r="C26" s="817">
        <v>4.4999999999999998E-2</v>
      </c>
      <c r="D26" s="817">
        <v>0.05</v>
      </c>
      <c r="E26" s="818">
        <f>SUMPRODUCT(B26:D26,$B$20:$D$20)/E20</f>
        <v>4.6700680272108844E-2</v>
      </c>
      <c r="F26" s="313"/>
      <c r="G26" s="785"/>
      <c r="T26" s="783"/>
    </row>
    <row r="27" spans="1:20" ht="15.75">
      <c r="A27" s="804" t="s">
        <v>308</v>
      </c>
      <c r="B27" s="819">
        <f>SUM(B25:B26)</f>
        <v>9.0499999999999997E-2</v>
      </c>
      <c r="C27" s="819">
        <f>SUM(C25:C26)</f>
        <v>0.11</v>
      </c>
      <c r="D27" s="819">
        <f>SUM(D25:D26)</f>
        <v>0.112</v>
      </c>
      <c r="E27" s="815">
        <f>SUMPRODUCT(B27:D27,$B$20:$D$20)/E20</f>
        <v>0.10996598639455782</v>
      </c>
      <c r="F27" s="313"/>
      <c r="G27" s="785"/>
      <c r="T27" s="783"/>
    </row>
    <row r="28" spans="1:20" ht="15.75">
      <c r="A28" s="786"/>
      <c r="B28" s="768"/>
      <c r="C28" s="768"/>
      <c r="D28" s="768"/>
      <c r="E28" s="820"/>
      <c r="F28" s="313"/>
      <c r="G28" s="785"/>
      <c r="T28" s="783"/>
    </row>
    <row r="29" spans="1:20" ht="15.75">
      <c r="A29" s="786" t="s">
        <v>380</v>
      </c>
      <c r="B29" s="821">
        <v>0.05</v>
      </c>
      <c r="C29" s="313"/>
      <c r="D29" s="313"/>
      <c r="E29" s="822"/>
      <c r="F29" s="823"/>
      <c r="G29" s="824"/>
      <c r="T29" s="783"/>
    </row>
    <row r="30" spans="1:20" ht="15.75">
      <c r="A30" s="784"/>
      <c r="B30" s="313"/>
      <c r="C30" s="313"/>
      <c r="D30" s="313"/>
      <c r="E30" s="313"/>
      <c r="F30" s="825"/>
      <c r="G30" s="785"/>
      <c r="T30" s="783"/>
    </row>
    <row r="31" spans="1:20" ht="15.75">
      <c r="A31" s="802" t="s">
        <v>381</v>
      </c>
      <c r="B31" s="313"/>
      <c r="C31" s="313"/>
      <c r="D31" s="313"/>
      <c r="E31" s="313"/>
      <c r="F31" s="313"/>
      <c r="G31" s="785"/>
      <c r="T31" s="783"/>
    </row>
    <row r="32" spans="1:20" ht="15.75">
      <c r="A32" s="804" t="s">
        <v>382</v>
      </c>
      <c r="B32" s="805">
        <v>36892</v>
      </c>
      <c r="C32" s="313"/>
      <c r="D32" s="313"/>
      <c r="E32" s="313"/>
      <c r="F32" s="313"/>
      <c r="G32" s="785"/>
      <c r="T32" s="783"/>
    </row>
    <row r="33" spans="1:20" ht="15.75">
      <c r="A33" s="804" t="s">
        <v>304</v>
      </c>
      <c r="B33" s="826">
        <v>577000</v>
      </c>
      <c r="C33" s="313"/>
      <c r="D33" s="313"/>
      <c r="E33" s="313"/>
      <c r="F33" s="313"/>
      <c r="G33" s="785"/>
      <c r="T33" s="783"/>
    </row>
    <row r="34" spans="1:20" ht="16.5" thickBot="1">
      <c r="A34" s="827" t="s">
        <v>383</v>
      </c>
      <c r="B34" s="828">
        <v>0.14000000000000001</v>
      </c>
      <c r="C34" s="320"/>
      <c r="D34" s="320"/>
      <c r="E34" s="320"/>
      <c r="F34" s="320"/>
      <c r="G34" s="829"/>
      <c r="T34" s="783"/>
    </row>
    <row r="35" spans="1:20" ht="16.5" thickBot="1">
      <c r="A35" s="313"/>
      <c r="B35" s="313"/>
      <c r="C35" s="313"/>
      <c r="D35" s="313"/>
      <c r="E35" s="313"/>
      <c r="F35" s="313"/>
      <c r="G35" s="313"/>
      <c r="T35" s="783"/>
    </row>
    <row r="36" spans="1:20" ht="15.75">
      <c r="A36" s="830" t="s">
        <v>384</v>
      </c>
      <c r="B36" s="831"/>
      <c r="C36" s="832"/>
      <c r="D36" s="832"/>
      <c r="E36" s="833"/>
      <c r="F36" s="833"/>
      <c r="G36" s="763"/>
      <c r="T36" s="783"/>
    </row>
    <row r="37" spans="1:20" ht="15.75">
      <c r="A37" s="784"/>
      <c r="B37" s="834" t="s">
        <v>385</v>
      </c>
      <c r="C37" s="835"/>
      <c r="D37" s="313"/>
      <c r="E37" s="313"/>
      <c r="F37" s="768"/>
      <c r="G37" s="785"/>
      <c r="T37" s="783"/>
    </row>
    <row r="38" spans="1:20" ht="15.75">
      <c r="A38" s="786"/>
      <c r="B38" s="836">
        <v>1999</v>
      </c>
      <c r="C38" s="836">
        <v>2000</v>
      </c>
      <c r="D38" s="836" t="s">
        <v>386</v>
      </c>
      <c r="E38" s="836" t="s">
        <v>387</v>
      </c>
      <c r="F38" s="766" t="s">
        <v>388</v>
      </c>
      <c r="G38" s="785"/>
      <c r="T38" s="783"/>
    </row>
    <row r="39" spans="1:20" ht="15.75">
      <c r="A39" s="837" t="s">
        <v>389</v>
      </c>
      <c r="B39" s="838"/>
      <c r="C39" s="313"/>
      <c r="D39" s="838"/>
      <c r="E39" s="838"/>
      <c r="F39" s="768"/>
      <c r="G39" s="785"/>
      <c r="T39" s="783"/>
    </row>
    <row r="40" spans="1:20" ht="15.75">
      <c r="A40" s="839" t="s">
        <v>390</v>
      </c>
      <c r="B40" s="840">
        <f>G8</f>
        <v>553159.05807175592</v>
      </c>
      <c r="C40" s="798">
        <f>G9</f>
        <v>758840.94192824385</v>
      </c>
      <c r="D40" s="840">
        <v>15</v>
      </c>
      <c r="E40" s="841" t="s">
        <v>391</v>
      </c>
      <c r="F40" s="842">
        <v>0</v>
      </c>
      <c r="G40" s="785"/>
      <c r="T40" s="783"/>
    </row>
    <row r="41" spans="1:20" ht="15.75">
      <c r="A41" s="839"/>
      <c r="B41" s="840"/>
      <c r="C41" s="798"/>
      <c r="D41" s="840"/>
      <c r="E41" s="841"/>
      <c r="F41" s="842"/>
      <c r="G41" s="785"/>
      <c r="T41" s="783"/>
    </row>
    <row r="42" spans="1:20" ht="15.75">
      <c r="A42" s="837" t="s">
        <v>392</v>
      </c>
      <c r="B42" s="843"/>
      <c r="C42" s="844"/>
      <c r="D42" s="843"/>
      <c r="E42" s="843"/>
      <c r="F42" s="842"/>
      <c r="G42" s="785"/>
      <c r="T42" s="783"/>
    </row>
    <row r="43" spans="1:20" ht="16.5" thickBot="1">
      <c r="A43" s="845" t="s">
        <v>393</v>
      </c>
      <c r="B43" s="846">
        <f>G8+'Amortization of Power Contract'!C46</f>
        <v>622011.41976317111</v>
      </c>
      <c r="C43" s="847">
        <f>G9+'Amortization of Power Contract'!C50</f>
        <v>852157.38689903158</v>
      </c>
      <c r="D43" s="846">
        <v>30</v>
      </c>
      <c r="E43" s="848" t="s">
        <v>0</v>
      </c>
      <c r="F43" s="849">
        <v>0.1</v>
      </c>
      <c r="G43" s="829"/>
      <c r="T43" s="783"/>
    </row>
    <row r="44" spans="1:20" ht="16.5" thickBot="1">
      <c r="T44" s="783"/>
    </row>
    <row r="45" spans="1:20" ht="15.75">
      <c r="A45" s="760" t="s">
        <v>309</v>
      </c>
      <c r="B45" s="833"/>
      <c r="C45" s="833"/>
      <c r="D45" s="833"/>
      <c r="E45" s="833"/>
      <c r="F45" s="833"/>
      <c r="G45" s="850"/>
      <c r="T45" s="783"/>
    </row>
    <row r="46" spans="1:20" ht="15.75">
      <c r="A46" s="786"/>
      <c r="B46" s="768"/>
      <c r="C46" s="768"/>
      <c r="D46" s="768"/>
      <c r="E46" s="768"/>
      <c r="F46" s="768"/>
      <c r="G46" s="851"/>
      <c r="T46" s="783"/>
    </row>
    <row r="47" spans="1:20" ht="15.75">
      <c r="A47" s="816" t="s">
        <v>394</v>
      </c>
      <c r="B47" s="852"/>
      <c r="C47" s="313"/>
      <c r="D47" s="766" t="s">
        <v>311</v>
      </c>
      <c r="E47" s="766" t="s">
        <v>312</v>
      </c>
      <c r="F47" s="768"/>
      <c r="G47" s="851"/>
      <c r="T47" s="783"/>
    </row>
    <row r="48" spans="1:20" ht="15.75">
      <c r="A48" s="786" t="s">
        <v>314</v>
      </c>
      <c r="B48" s="768"/>
      <c r="C48" s="313"/>
      <c r="D48" s="853">
        <f>ENA_Debt!D84</f>
        <v>1.2868053405518789</v>
      </c>
      <c r="E48" s="853">
        <f>ENA_Debt!D85</f>
        <v>1.2887131558040943</v>
      </c>
      <c r="F48" s="768"/>
      <c r="G48" s="851"/>
      <c r="T48" s="783"/>
    </row>
    <row r="49" spans="1:24" ht="15.75">
      <c r="A49" s="786" t="s">
        <v>316</v>
      </c>
      <c r="B49" s="768"/>
      <c r="C49" s="313"/>
      <c r="D49" s="853">
        <f>ENA_Debt!G84</f>
        <v>2.2267734556179191</v>
      </c>
      <c r="E49" s="853">
        <f>ENA_Debt!G85</f>
        <v>3.2060863386116569</v>
      </c>
      <c r="F49" s="768"/>
      <c r="G49" s="851"/>
      <c r="T49" s="783"/>
    </row>
    <row r="50" spans="1:24" ht="15.75">
      <c r="A50" s="786"/>
      <c r="B50" s="768"/>
      <c r="C50" s="768"/>
      <c r="D50" s="768"/>
      <c r="E50" s="768"/>
      <c r="F50" s="768"/>
      <c r="G50" s="851"/>
      <c r="T50" s="783"/>
    </row>
    <row r="51" spans="1:24" ht="15.75">
      <c r="A51" s="786"/>
      <c r="B51" s="768"/>
      <c r="C51" s="768"/>
      <c r="D51" s="766" t="s">
        <v>395</v>
      </c>
      <c r="E51" s="766" t="s">
        <v>396</v>
      </c>
      <c r="F51" s="766" t="s">
        <v>397</v>
      </c>
      <c r="G51" s="851"/>
      <c r="T51" s="783"/>
    </row>
    <row r="52" spans="1:24" ht="15.75">
      <c r="A52" s="786" t="s">
        <v>398</v>
      </c>
      <c r="B52" s="768"/>
      <c r="C52" s="768"/>
      <c r="D52" s="798">
        <f>SUMPRODUCT(ENA_Assumptions!C9:E9,ENA_Assumptions!C10:E10)/SUM(ENA_Assumptions!C9:E9)</f>
        <v>11956.194594594595</v>
      </c>
      <c r="E52" s="798">
        <f>SUMPRODUCT(ENA_Assumptions!G9:I9,ENA_Assumptions!G10:I10)/SUM(ENA_Assumptions!G9:I9)</f>
        <v>11458.743073047859</v>
      </c>
      <c r="F52" s="798">
        <f>SUMPRODUCT(ENA_Assumptions!C9:I9,ENA_Assumptions!C10:I10)/ENA_Assumptions!K9</f>
        <v>11682.190773499826</v>
      </c>
      <c r="G52" s="851"/>
      <c r="T52" s="783"/>
    </row>
    <row r="53" spans="1:24" ht="15.75">
      <c r="A53" s="784"/>
      <c r="B53" s="313"/>
      <c r="C53" s="313"/>
      <c r="D53" s="313"/>
      <c r="E53" s="313"/>
      <c r="F53" s="313"/>
      <c r="G53" s="785"/>
      <c r="T53" s="783"/>
    </row>
    <row r="54" spans="1:24" ht="15.75">
      <c r="A54" s="786" t="s">
        <v>399</v>
      </c>
      <c r="B54" s="768"/>
      <c r="C54" s="768"/>
      <c r="D54" s="798">
        <f>SUM(ENA_Assumptions!C9:E9)</f>
        <v>1295</v>
      </c>
      <c r="E54" s="798">
        <f>SUM(ENA_Assumptions!G9:I9)</f>
        <v>1588</v>
      </c>
      <c r="F54" s="798">
        <f>SUM(D54:E54)</f>
        <v>2883</v>
      </c>
      <c r="G54" s="851"/>
      <c r="T54" s="783"/>
    </row>
    <row r="55" spans="1:24" ht="15.75">
      <c r="A55" s="786"/>
      <c r="B55" s="313"/>
      <c r="C55" s="313"/>
      <c r="D55" s="798"/>
      <c r="E55" s="798"/>
      <c r="F55" s="798"/>
      <c r="G55" s="785"/>
      <c r="T55" s="783"/>
    </row>
    <row r="56" spans="1:24" ht="15.75">
      <c r="A56" s="786" t="s">
        <v>400</v>
      </c>
      <c r="B56" s="313"/>
      <c r="C56" s="313"/>
      <c r="D56" s="798">
        <f>ENA_CF!V31/F54</f>
        <v>191.87914163090016</v>
      </c>
      <c r="E56" s="313"/>
      <c r="F56" s="313"/>
      <c r="G56" s="785"/>
      <c r="T56" s="783"/>
    </row>
    <row r="57" spans="1:24">
      <c r="A57" s="784"/>
      <c r="B57" s="313"/>
      <c r="C57" s="313"/>
      <c r="D57" s="313"/>
      <c r="E57" s="313"/>
      <c r="F57" s="313"/>
      <c r="G57" s="785"/>
      <c r="T57" s="729"/>
      <c r="U57" s="729"/>
      <c r="V57" s="729"/>
      <c r="W57" s="729"/>
      <c r="X57" s="729"/>
    </row>
    <row r="58" spans="1:24" ht="15.75">
      <c r="A58" s="786" t="s">
        <v>401</v>
      </c>
      <c r="B58" s="768"/>
      <c r="C58" s="768"/>
      <c r="D58" s="854">
        <f>ENA_CF!B33</f>
        <v>0.13966240286827084</v>
      </c>
      <c r="E58" s="768"/>
      <c r="F58" s="768"/>
      <c r="G58" s="851"/>
      <c r="T58" s="729"/>
      <c r="U58" s="729"/>
      <c r="V58" s="729"/>
      <c r="W58" s="729"/>
      <c r="X58" s="729"/>
    </row>
    <row r="59" spans="1:24" ht="15.75">
      <c r="A59" s="786"/>
      <c r="B59" s="838"/>
      <c r="C59" s="855"/>
      <c r="D59" s="856"/>
      <c r="E59" s="768"/>
      <c r="F59" s="768"/>
      <c r="G59" s="851"/>
      <c r="T59" s="857"/>
      <c r="U59" s="729"/>
      <c r="V59" s="729"/>
      <c r="W59" s="729"/>
      <c r="X59" s="729"/>
    </row>
    <row r="60" spans="1:24" ht="15.75">
      <c r="A60" s="786"/>
      <c r="B60" s="766">
        <v>2001</v>
      </c>
      <c r="C60" s="766">
        <v>2002</v>
      </c>
      <c r="D60" s="766">
        <v>2003</v>
      </c>
      <c r="E60" s="766">
        <v>2004</v>
      </c>
      <c r="F60" s="766">
        <v>2005</v>
      </c>
      <c r="G60" s="785"/>
      <c r="T60" s="857"/>
      <c r="U60" s="729"/>
      <c r="V60" s="729"/>
      <c r="W60" s="729"/>
      <c r="X60" s="729"/>
    </row>
    <row r="61" spans="1:24" ht="15.75">
      <c r="A61" s="786" t="s">
        <v>402</v>
      </c>
      <c r="B61" s="798">
        <f>ENA_IS!B32</f>
        <v>177680.30256335178</v>
      </c>
      <c r="C61" s="798">
        <f>ENA_IS!C32</f>
        <v>177096.43303075299</v>
      </c>
      <c r="D61" s="798">
        <f>ENA_IS!D32</f>
        <v>176585.08990364039</v>
      </c>
      <c r="E61" s="798">
        <f>ENA_IS!E32</f>
        <v>208898.30003993292</v>
      </c>
      <c r="F61" s="798">
        <f>ENA_IS!F32</f>
        <v>219835.48571459821</v>
      </c>
      <c r="G61" s="785"/>
      <c r="T61" s="857"/>
      <c r="U61" s="729"/>
      <c r="V61" s="729"/>
      <c r="W61" s="729"/>
      <c r="X61" s="729"/>
    </row>
    <row r="62" spans="1:24" ht="15.75">
      <c r="A62" s="786" t="s">
        <v>403</v>
      </c>
      <c r="B62" s="798">
        <f>ENA_IS!B45</f>
        <v>32647.552142934972</v>
      </c>
      <c r="C62" s="798">
        <f>ENA_IS!C45</f>
        <v>33025.692048995639</v>
      </c>
      <c r="D62" s="798">
        <f>ENA_IS!D45</f>
        <v>33751.572936501405</v>
      </c>
      <c r="E62" s="798">
        <f>ENA_IS!E45</f>
        <v>54372.655927693078</v>
      </c>
      <c r="F62" s="798">
        <f>ENA_IS!F45</f>
        <v>62521.778918915821</v>
      </c>
      <c r="G62" s="785"/>
      <c r="T62" s="857"/>
      <c r="U62" s="729"/>
      <c r="V62" s="729"/>
      <c r="W62" s="729"/>
      <c r="X62" s="729"/>
    </row>
    <row r="63" spans="1:24" ht="15.75">
      <c r="A63" s="786" t="s">
        <v>404</v>
      </c>
      <c r="B63" s="798">
        <f>ENA_CF!C17</f>
        <v>28108.531919519999</v>
      </c>
      <c r="C63" s="798">
        <f>ENA_CF!D17</f>
        <v>27770.045914057016</v>
      </c>
      <c r="D63" s="798">
        <f>ENA_CF!E17</f>
        <v>27549.434908094307</v>
      </c>
      <c r="E63" s="798">
        <f>ENA_CF!F17</f>
        <v>115163.4393705284</v>
      </c>
      <c r="F63" s="798">
        <f>ENA_CF!G17</f>
        <v>121708.29449351679</v>
      </c>
      <c r="G63" s="785"/>
      <c r="T63" s="857"/>
      <c r="U63" s="729"/>
      <c r="V63" s="729"/>
      <c r="W63" s="729"/>
      <c r="X63" s="729"/>
    </row>
    <row r="64" spans="1:24" ht="16.5" thickBot="1">
      <c r="A64" s="858" t="s">
        <v>405</v>
      </c>
      <c r="B64" s="847">
        <f>ENA_CF!C22</f>
        <v>27812.041951754571</v>
      </c>
      <c r="C64" s="847">
        <f>ENA_CF!D22</f>
        <v>27472.902065308626</v>
      </c>
      <c r="D64" s="847">
        <f>ENA_CF!E22</f>
        <v>27251.614161341964</v>
      </c>
      <c r="E64" s="847">
        <f>ENA_CF!F22</f>
        <v>114623.24919670008</v>
      </c>
      <c r="F64" s="847">
        <f>ENA_CF!G22</f>
        <v>120920.16934931693</v>
      </c>
      <c r="G64" s="829"/>
      <c r="I64" s="4"/>
      <c r="J64" s="859"/>
      <c r="K64" s="859"/>
      <c r="L64" s="859"/>
      <c r="M64" s="859"/>
      <c r="N64" s="859"/>
      <c r="O64" s="859"/>
      <c r="P64" s="859"/>
      <c r="Q64" s="859"/>
      <c r="R64" s="859"/>
      <c r="S64" s="729"/>
      <c r="T64" s="857"/>
      <c r="U64" s="729"/>
      <c r="V64" s="729"/>
      <c r="W64" s="729"/>
      <c r="X64" s="729"/>
    </row>
    <row r="65" spans="10:24" ht="15.75">
      <c r="J65" s="859"/>
      <c r="K65" s="859"/>
      <c r="L65" s="859"/>
      <c r="M65" s="859"/>
      <c r="N65" s="859"/>
      <c r="O65" s="859"/>
      <c r="P65" s="859"/>
      <c r="Q65" s="859"/>
      <c r="R65" s="859"/>
      <c r="S65" s="729"/>
      <c r="T65" s="857"/>
      <c r="U65" s="729"/>
      <c r="V65" s="729"/>
      <c r="W65" s="729"/>
      <c r="X65" s="729"/>
    </row>
    <row r="66" spans="10:24" ht="15.75">
      <c r="J66" s="859"/>
      <c r="K66" s="859"/>
      <c r="L66" s="859"/>
      <c r="M66" s="859"/>
      <c r="N66" s="859"/>
      <c r="O66" s="859"/>
      <c r="P66" s="859"/>
      <c r="Q66" s="859"/>
      <c r="R66" s="859"/>
      <c r="S66" s="729"/>
      <c r="T66" s="857"/>
      <c r="U66" s="729"/>
      <c r="V66" s="729"/>
      <c r="W66" s="729"/>
      <c r="X66" s="729"/>
    </row>
    <row r="67" spans="10:24" ht="15.75">
      <c r="J67" s="729"/>
      <c r="K67" s="729"/>
      <c r="L67" s="729"/>
      <c r="M67" s="729"/>
      <c r="N67" s="729"/>
      <c r="O67" s="729"/>
      <c r="P67" s="729"/>
      <c r="Q67" s="729"/>
      <c r="R67" s="729"/>
      <c r="S67" s="729"/>
      <c r="T67" s="857"/>
      <c r="U67" s="729"/>
      <c r="V67" s="729"/>
      <c r="W67" s="729"/>
      <c r="X67" s="729"/>
    </row>
    <row r="68" spans="10:24">
      <c r="J68" s="729"/>
      <c r="K68" s="729"/>
      <c r="L68" s="729"/>
      <c r="M68" s="729"/>
      <c r="N68" s="729"/>
      <c r="O68" s="729"/>
      <c r="P68" s="729"/>
      <c r="Q68" s="729"/>
      <c r="R68" s="729"/>
      <c r="S68" s="729"/>
      <c r="T68" s="729"/>
      <c r="U68" s="729"/>
      <c r="V68" s="729"/>
      <c r="W68" s="729"/>
      <c r="X68" s="729"/>
    </row>
    <row r="69" spans="10:24">
      <c r="J69" s="729"/>
      <c r="K69" s="729"/>
      <c r="L69" s="729"/>
      <c r="M69" s="729"/>
      <c r="N69" s="729"/>
      <c r="O69" s="729"/>
      <c r="P69" s="729"/>
      <c r="Q69" s="729"/>
      <c r="R69" s="729"/>
      <c r="S69" s="729"/>
      <c r="T69" s="729"/>
      <c r="U69" s="729"/>
      <c r="V69" s="729"/>
      <c r="W69" s="729"/>
      <c r="X69" s="729"/>
    </row>
    <row r="70" spans="10:24">
      <c r="J70" s="729"/>
      <c r="K70" s="729"/>
      <c r="L70" s="729"/>
      <c r="M70" s="729"/>
      <c r="N70" s="729"/>
      <c r="O70" s="729"/>
      <c r="P70" s="729"/>
      <c r="Q70" s="729"/>
      <c r="R70" s="729"/>
      <c r="S70" s="729"/>
      <c r="T70" s="729"/>
      <c r="U70" s="729"/>
      <c r="V70" s="729"/>
      <c r="W70" s="729"/>
      <c r="X70" s="729"/>
    </row>
    <row r="71" spans="10:24">
      <c r="J71" s="729"/>
      <c r="K71" s="729"/>
      <c r="L71" s="729"/>
      <c r="M71" s="729"/>
      <c r="N71" s="729"/>
      <c r="O71" s="729"/>
      <c r="P71" s="729"/>
      <c r="Q71" s="729"/>
      <c r="R71" s="729"/>
      <c r="S71" s="729"/>
      <c r="T71" s="729"/>
      <c r="U71" s="729"/>
      <c r="V71" s="729"/>
      <c r="W71" s="729"/>
      <c r="X71" s="729"/>
    </row>
    <row r="72" spans="10:24">
      <c r="J72" s="729"/>
      <c r="K72" s="729"/>
      <c r="L72" s="729"/>
      <c r="M72" s="729"/>
      <c r="N72" s="729"/>
      <c r="O72" s="729"/>
      <c r="P72" s="729"/>
      <c r="Q72" s="729"/>
      <c r="R72" s="729"/>
      <c r="S72" s="729"/>
      <c r="T72" s="729"/>
      <c r="U72" s="729"/>
      <c r="V72" s="729"/>
      <c r="W72" s="729"/>
      <c r="X72" s="729"/>
    </row>
    <row r="73" spans="10:24">
      <c r="J73" s="729"/>
      <c r="K73" s="729"/>
      <c r="L73" s="729"/>
      <c r="M73" s="729"/>
      <c r="N73" s="729"/>
      <c r="O73" s="729"/>
      <c r="P73" s="729"/>
      <c r="Q73" s="729"/>
      <c r="R73" s="729"/>
      <c r="S73" s="729"/>
      <c r="T73" s="729"/>
      <c r="U73" s="729"/>
      <c r="V73" s="729"/>
      <c r="W73" s="729"/>
      <c r="X73" s="729"/>
    </row>
    <row r="74" spans="10:24">
      <c r="J74" s="729"/>
      <c r="K74" s="729"/>
      <c r="L74" s="729"/>
      <c r="M74" s="729"/>
      <c r="N74" s="729"/>
      <c r="O74" s="729"/>
      <c r="P74" s="729"/>
      <c r="Q74" s="729"/>
      <c r="R74" s="729"/>
      <c r="S74" s="729"/>
      <c r="T74" s="729"/>
      <c r="U74" s="729"/>
      <c r="V74" s="729"/>
      <c r="W74" s="729"/>
      <c r="X74" s="729"/>
    </row>
    <row r="75" spans="10:24">
      <c r="S75" s="729"/>
      <c r="T75" s="729"/>
      <c r="U75" s="729"/>
      <c r="V75" s="729"/>
      <c r="W75" s="729"/>
      <c r="X75" s="729"/>
    </row>
    <row r="76" spans="10:24">
      <c r="S76" s="729"/>
      <c r="T76" s="729"/>
      <c r="U76" s="729"/>
      <c r="V76" s="729"/>
      <c r="W76" s="729"/>
      <c r="X76" s="729"/>
    </row>
    <row r="77" spans="10:24">
      <c r="S77" s="729"/>
      <c r="T77" s="729"/>
      <c r="U77" s="729"/>
      <c r="V77" s="729"/>
      <c r="W77" s="729"/>
      <c r="X77" s="729"/>
    </row>
    <row r="78" spans="10:24">
      <c r="S78" s="729"/>
      <c r="T78" s="729"/>
      <c r="U78" s="729"/>
      <c r="V78" s="729"/>
      <c r="W78" s="729"/>
      <c r="X78" s="729"/>
    </row>
    <row r="79" spans="10:24">
      <c r="S79" s="729"/>
      <c r="T79" s="729"/>
      <c r="U79" s="729"/>
      <c r="V79" s="729"/>
      <c r="W79" s="729"/>
      <c r="X79" s="729"/>
    </row>
    <row r="80" spans="10:24">
      <c r="S80" s="729"/>
      <c r="T80" s="729"/>
      <c r="U80" s="729"/>
      <c r="V80" s="729"/>
      <c r="W80" s="729"/>
      <c r="X80" s="729"/>
    </row>
    <row r="81" spans="10:24">
      <c r="S81" s="729"/>
      <c r="T81" s="729"/>
      <c r="U81" s="729"/>
      <c r="V81" s="729"/>
      <c r="W81" s="729"/>
      <c r="X81" s="729"/>
    </row>
    <row r="82" spans="10:24">
      <c r="S82" s="729"/>
      <c r="T82" s="729"/>
      <c r="U82" s="729"/>
      <c r="V82" s="729"/>
      <c r="W82" s="729"/>
      <c r="X82" s="729"/>
    </row>
    <row r="83" spans="10:24">
      <c r="S83" s="729"/>
      <c r="T83" s="729"/>
      <c r="U83" s="729"/>
      <c r="V83" s="729"/>
      <c r="W83" s="729"/>
      <c r="X83" s="729"/>
    </row>
    <row r="84" spans="10:24">
      <c r="S84" s="729"/>
      <c r="T84" s="729"/>
      <c r="U84" s="729"/>
      <c r="V84" s="729"/>
      <c r="W84" s="729"/>
      <c r="X84" s="729"/>
    </row>
    <row r="85" spans="10:24">
      <c r="S85" s="729"/>
      <c r="T85" s="729"/>
      <c r="U85" s="729"/>
      <c r="V85" s="729"/>
      <c r="W85" s="729"/>
      <c r="X85" s="729"/>
    </row>
    <row r="86" spans="10:24">
      <c r="S86" s="729"/>
      <c r="T86" s="729"/>
      <c r="U86" s="729"/>
      <c r="V86" s="729"/>
      <c r="W86" s="729"/>
      <c r="X86" s="729"/>
    </row>
    <row r="87" spans="10:24">
      <c r="S87" s="729"/>
      <c r="T87" s="729"/>
      <c r="U87" s="729"/>
      <c r="V87" s="729"/>
      <c r="W87" s="729"/>
      <c r="X87" s="729"/>
    </row>
    <row r="88" spans="10:24"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</row>
    <row r="89" spans="10:24"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</row>
    <row r="94" spans="10:24">
      <c r="Q94" s="7"/>
    </row>
  </sheetData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Button 1">
              <controlPr defaultSize="0" print="0" autoFill="0" autoPict="0" macro="[0]!Equity">
                <anchor moveWithCells="1" sizeWithCells="1">
                  <from>
                    <xdr:col>2</xdr:col>
                    <xdr:colOff>409575</xdr:colOff>
                    <xdr:row>31</xdr:row>
                    <xdr:rowOff>28575</xdr:rowOff>
                  </from>
                  <to>
                    <xdr:col>3</xdr:col>
                    <xdr:colOff>619125</xdr:colOff>
                    <xdr:row>32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AG70"/>
  <sheetViews>
    <sheetView zoomScale="75" zoomScaleNormal="75" workbookViewId="0"/>
  </sheetViews>
  <sheetFormatPr defaultRowHeight="12.75"/>
  <cols>
    <col min="1" max="1" width="66.28515625" customWidth="1"/>
    <col min="3" max="5" width="13.7109375" customWidth="1"/>
    <col min="6" max="6" width="5.140625" customWidth="1"/>
    <col min="7" max="9" width="13.7109375" customWidth="1"/>
    <col min="10" max="10" width="4.5703125" customWidth="1"/>
    <col min="11" max="11" width="13.7109375" customWidth="1"/>
    <col min="12" max="12" width="4.7109375" customWidth="1"/>
    <col min="16" max="16" width="23" bestFit="1" customWidth="1"/>
  </cols>
  <sheetData>
    <row r="2" spans="1:33" ht="18.75">
      <c r="A2" s="710" t="s">
        <v>688</v>
      </c>
    </row>
    <row r="4" spans="1:33" ht="13.5" thickBot="1"/>
    <row r="5" spans="1:33" ht="15.75">
      <c r="A5" s="830" t="s">
        <v>406</v>
      </c>
      <c r="B5" s="831"/>
      <c r="C5" s="1362" t="s">
        <v>407</v>
      </c>
      <c r="D5" s="1362"/>
      <c r="E5" s="1362"/>
      <c r="F5" s="762"/>
      <c r="G5" s="1362" t="s">
        <v>408</v>
      </c>
      <c r="H5" s="1362"/>
      <c r="I5" s="1362"/>
      <c r="J5" s="832"/>
      <c r="K5" s="860"/>
      <c r="L5" s="322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  <c r="AF5" s="595"/>
      <c r="AG5" s="595"/>
    </row>
    <row r="6" spans="1:33" ht="15.75">
      <c r="A6" s="786"/>
      <c r="B6" s="768"/>
      <c r="C6" s="768"/>
      <c r="D6" s="768"/>
      <c r="E6" s="768"/>
      <c r="F6" s="313"/>
      <c r="G6" s="768"/>
      <c r="H6" s="768"/>
      <c r="I6" s="768"/>
      <c r="J6" s="861"/>
      <c r="K6" s="851"/>
      <c r="L6" s="322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  <c r="AF6" s="595"/>
      <c r="AG6" s="595"/>
    </row>
    <row r="7" spans="1:33" ht="15.75">
      <c r="A7" s="786"/>
      <c r="B7" s="768"/>
      <c r="C7" s="800" t="s">
        <v>409</v>
      </c>
      <c r="D7" s="800" t="s">
        <v>410</v>
      </c>
      <c r="E7" s="800" t="s">
        <v>411</v>
      </c>
      <c r="F7" s="313"/>
      <c r="G7" s="800" t="s">
        <v>412</v>
      </c>
      <c r="H7" s="800" t="s">
        <v>413</v>
      </c>
      <c r="I7" s="800" t="s">
        <v>414</v>
      </c>
      <c r="J7" s="862"/>
      <c r="K7" s="863" t="s">
        <v>373</v>
      </c>
      <c r="L7" s="322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  <c r="AF7" s="595"/>
      <c r="AG7" s="595"/>
    </row>
    <row r="8" spans="1:33" ht="15.75">
      <c r="A8" s="786" t="s">
        <v>415</v>
      </c>
      <c r="B8" s="768"/>
      <c r="C8" s="864">
        <v>4</v>
      </c>
      <c r="D8" s="864">
        <v>6</v>
      </c>
      <c r="E8" s="864">
        <v>6</v>
      </c>
      <c r="F8" s="865"/>
      <c r="G8" s="864">
        <v>3</v>
      </c>
      <c r="H8" s="864">
        <v>4</v>
      </c>
      <c r="I8" s="864">
        <v>8</v>
      </c>
      <c r="J8" s="840"/>
      <c r="K8" s="866">
        <f>SUM(C8:I8)</f>
        <v>31</v>
      </c>
      <c r="L8" s="322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  <c r="AF8" s="595"/>
      <c r="AG8" s="595"/>
    </row>
    <row r="9" spans="1:33" ht="15.75">
      <c r="A9" s="786" t="s">
        <v>563</v>
      </c>
      <c r="B9" s="768"/>
      <c r="C9" s="864">
        <v>458</v>
      </c>
      <c r="D9" s="864">
        <v>466</v>
      </c>
      <c r="E9" s="864">
        <v>371</v>
      </c>
      <c r="F9" s="810"/>
      <c r="G9" s="864">
        <v>510</v>
      </c>
      <c r="H9" s="864">
        <v>470</v>
      </c>
      <c r="I9" s="864">
        <v>608</v>
      </c>
      <c r="J9" s="867"/>
      <c r="K9" s="866">
        <f>SUM(C9:I9)</f>
        <v>2883</v>
      </c>
      <c r="L9" s="322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  <c r="AF9" s="595"/>
      <c r="AG9" s="595"/>
    </row>
    <row r="10" spans="1:33" ht="15.75">
      <c r="A10" s="786" t="s">
        <v>416</v>
      </c>
      <c r="B10" s="768"/>
      <c r="C10" s="864">
        <v>11406</v>
      </c>
      <c r="D10" s="864">
        <v>12064</v>
      </c>
      <c r="E10" s="864">
        <v>12500</v>
      </c>
      <c r="F10" s="868"/>
      <c r="G10" s="864">
        <v>10592</v>
      </c>
      <c r="H10" s="864">
        <v>11734</v>
      </c>
      <c r="I10" s="864">
        <v>11973</v>
      </c>
      <c r="J10" s="840"/>
      <c r="K10" s="866">
        <f>SUMPRODUCT(C10:I10,C9:I9)/K9</f>
        <v>11682.190773499826</v>
      </c>
      <c r="L10" s="322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  <c r="AF10" s="595"/>
      <c r="AG10" s="595"/>
    </row>
    <row r="11" spans="1:33" ht="15.75">
      <c r="A11" s="786" t="s">
        <v>417</v>
      </c>
      <c r="B11" s="595"/>
      <c r="C11" s="864">
        <v>75</v>
      </c>
      <c r="D11" s="864">
        <v>75</v>
      </c>
      <c r="E11" s="864">
        <v>75</v>
      </c>
      <c r="F11" s="868"/>
      <c r="G11" s="864">
        <v>75</v>
      </c>
      <c r="H11" s="864">
        <v>75</v>
      </c>
      <c r="I11" s="864">
        <v>75</v>
      </c>
      <c r="J11" s="595"/>
      <c r="K11" s="866">
        <f>SUM(C11:I11)</f>
        <v>450</v>
      </c>
      <c r="L11" s="313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  <c r="AF11" s="595"/>
      <c r="AG11" s="595"/>
    </row>
    <row r="12" spans="1:33" ht="16.5" thickBot="1">
      <c r="A12" s="858" t="s">
        <v>635</v>
      </c>
      <c r="B12" s="869"/>
      <c r="C12" s="870">
        <v>494</v>
      </c>
      <c r="D12" s="870">
        <v>504</v>
      </c>
      <c r="E12" s="870">
        <v>396</v>
      </c>
      <c r="F12" s="871"/>
      <c r="G12" s="870">
        <v>536</v>
      </c>
      <c r="H12" s="870">
        <v>508</v>
      </c>
      <c r="I12" s="870">
        <v>656</v>
      </c>
      <c r="J12" s="869"/>
      <c r="K12" s="872">
        <f>SUM(C12:I12)</f>
        <v>3094</v>
      </c>
      <c r="L12" s="313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  <c r="AF12" s="595"/>
      <c r="AG12" s="595"/>
    </row>
    <row r="13" spans="1:33">
      <c r="L13" s="322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  <c r="AF13" s="595"/>
      <c r="AG13" s="595"/>
    </row>
    <row r="14" spans="1:33" ht="13.5" thickBot="1">
      <c r="A14" s="313"/>
      <c r="B14" s="313"/>
      <c r="C14" s="313"/>
      <c r="D14" s="313"/>
      <c r="E14" s="313"/>
      <c r="F14" s="313"/>
      <c r="G14" s="313"/>
      <c r="H14" s="313"/>
      <c r="I14" s="313"/>
      <c r="J14" s="313"/>
      <c r="K14" s="313"/>
      <c r="L14" s="322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595"/>
    </row>
    <row r="15" spans="1:33" ht="15.75">
      <c r="A15" s="830" t="s">
        <v>418</v>
      </c>
      <c r="B15" s="831"/>
      <c r="C15" s="833"/>
      <c r="D15" s="833"/>
      <c r="E15" s="833"/>
      <c r="F15" s="762"/>
      <c r="G15" s="833"/>
      <c r="H15" s="833"/>
      <c r="I15" s="833"/>
      <c r="J15" s="831"/>
      <c r="K15" s="873"/>
      <c r="L15" s="322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595"/>
    </row>
    <row r="16" spans="1:33">
      <c r="A16" s="784"/>
      <c r="B16" s="313"/>
      <c r="C16" s="313"/>
      <c r="D16" s="313"/>
      <c r="E16" s="313"/>
      <c r="F16" s="313"/>
      <c r="G16" s="313"/>
      <c r="H16" s="313"/>
      <c r="I16" s="313"/>
      <c r="J16" s="8"/>
      <c r="K16" s="874"/>
      <c r="L16" s="313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595"/>
    </row>
    <row r="17" spans="1:33" ht="15.75">
      <c r="A17" s="786" t="s">
        <v>419</v>
      </c>
      <c r="B17" s="768"/>
      <c r="C17" s="875">
        <v>4</v>
      </c>
      <c r="D17" s="876">
        <f>$C$17</f>
        <v>4</v>
      </c>
      <c r="E17" s="876">
        <f>$C$17</f>
        <v>4</v>
      </c>
      <c r="F17" s="877"/>
      <c r="G17" s="876">
        <f>$C$17</f>
        <v>4</v>
      </c>
      <c r="H17" s="876">
        <f>$C$17</f>
        <v>4</v>
      </c>
      <c r="I17" s="876">
        <f>$C$17</f>
        <v>4</v>
      </c>
      <c r="J17" s="878"/>
      <c r="K17" s="879"/>
      <c r="L17" s="313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  <c r="AF17" s="595"/>
      <c r="AG17" s="595"/>
    </row>
    <row r="18" spans="1:33" ht="15.75">
      <c r="A18" s="786" t="s">
        <v>420</v>
      </c>
      <c r="B18" s="313"/>
      <c r="C18" s="880">
        <f t="shared" ref="C18:E19" si="0">C24</f>
        <v>1.5</v>
      </c>
      <c r="D18" s="880">
        <f t="shared" si="0"/>
        <v>1</v>
      </c>
      <c r="E18" s="880">
        <f t="shared" si="0"/>
        <v>1</v>
      </c>
      <c r="F18" s="881"/>
      <c r="G18" s="880">
        <f t="shared" ref="G18:I19" si="1">G24</f>
        <v>1.5</v>
      </c>
      <c r="H18" s="880">
        <f t="shared" si="1"/>
        <v>3</v>
      </c>
      <c r="I18" s="880">
        <f t="shared" si="1"/>
        <v>2</v>
      </c>
      <c r="J18" s="313"/>
      <c r="K18" s="785"/>
      <c r="L18" s="313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  <c r="AF18" s="595"/>
      <c r="AG18" s="595"/>
    </row>
    <row r="19" spans="1:33" ht="15.75">
      <c r="A19" s="786" t="s">
        <v>421</v>
      </c>
      <c r="B19" s="595"/>
      <c r="C19" s="840">
        <f t="shared" si="0"/>
        <v>1500</v>
      </c>
      <c r="D19" s="840">
        <f t="shared" si="0"/>
        <v>1000</v>
      </c>
      <c r="E19" s="840">
        <f t="shared" si="0"/>
        <v>1000</v>
      </c>
      <c r="F19" s="98"/>
      <c r="G19" s="840">
        <f t="shared" si="1"/>
        <v>1500</v>
      </c>
      <c r="H19" s="840">
        <f t="shared" si="1"/>
        <v>1500</v>
      </c>
      <c r="I19" s="840">
        <f t="shared" si="1"/>
        <v>1000</v>
      </c>
      <c r="J19" s="595"/>
      <c r="K19" s="866"/>
      <c r="L19" s="882"/>
      <c r="M19" s="595"/>
      <c r="N19" s="595"/>
      <c r="O19" s="595"/>
      <c r="P19" s="883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</row>
    <row r="20" spans="1:33" ht="16.5" thickBot="1">
      <c r="A20" s="858" t="s">
        <v>422</v>
      </c>
      <c r="B20" s="869"/>
      <c r="C20" s="884">
        <v>624921.70787304931</v>
      </c>
      <c r="D20" s="884">
        <v>544139.6717506632</v>
      </c>
      <c r="E20" s="884">
        <v>410269.84</v>
      </c>
      <c r="F20" s="885"/>
      <c r="G20" s="884">
        <v>532991.61978558963</v>
      </c>
      <c r="H20" s="884">
        <v>461312.72185621865</v>
      </c>
      <c r="I20" s="884">
        <v>2002000</v>
      </c>
      <c r="J20" s="320"/>
      <c r="K20" s="886"/>
      <c r="L20" s="322"/>
      <c r="M20" s="595"/>
      <c r="N20" s="595"/>
      <c r="O20" s="595"/>
      <c r="P20" s="868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</row>
    <row r="21" spans="1:33" ht="15.75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8"/>
      <c r="M21" s="595"/>
      <c r="N21" s="595"/>
      <c r="O21" s="595"/>
      <c r="P21" s="868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</row>
    <row r="22" spans="1:33" ht="16.5" thickBot="1">
      <c r="L22" s="8"/>
      <c r="M22" s="595"/>
      <c r="N22" s="595"/>
      <c r="O22" s="595"/>
      <c r="P22" s="868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595"/>
    </row>
    <row r="23" spans="1:33" ht="15.75">
      <c r="A23" s="760" t="s">
        <v>423</v>
      </c>
      <c r="B23" s="833"/>
      <c r="C23" s="887"/>
      <c r="D23" s="887"/>
      <c r="E23" s="887"/>
      <c r="F23" s="888"/>
      <c r="G23" s="887"/>
      <c r="H23" s="887"/>
      <c r="I23" s="889"/>
      <c r="J23" s="890"/>
      <c r="K23" s="891"/>
      <c r="L23" s="8"/>
      <c r="M23" s="595"/>
      <c r="N23" s="595"/>
      <c r="O23" s="595"/>
      <c r="P23" s="868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  <c r="AF23" s="595"/>
      <c r="AG23" s="595"/>
    </row>
    <row r="24" spans="1:33" ht="15.75">
      <c r="A24" s="892" t="s">
        <v>424</v>
      </c>
      <c r="B24" s="768"/>
      <c r="C24" s="893">
        <v>1.5</v>
      </c>
      <c r="D24" s="893">
        <v>1</v>
      </c>
      <c r="E24" s="893">
        <v>1</v>
      </c>
      <c r="F24" s="881"/>
      <c r="G24" s="893">
        <v>1.5</v>
      </c>
      <c r="H24" s="893">
        <v>3</v>
      </c>
      <c r="I24" s="893">
        <v>2</v>
      </c>
      <c r="J24" s="25"/>
      <c r="K24" s="894"/>
      <c r="L24" s="8"/>
      <c r="M24" s="595"/>
      <c r="N24" s="595"/>
      <c r="O24" s="595"/>
      <c r="P24" s="8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  <c r="AF24" s="595"/>
      <c r="AG24" s="595"/>
    </row>
    <row r="25" spans="1:33" ht="15.75">
      <c r="A25" s="786" t="s">
        <v>425</v>
      </c>
      <c r="B25" s="595"/>
      <c r="C25" s="864">
        <v>1500</v>
      </c>
      <c r="D25" s="864">
        <v>1000</v>
      </c>
      <c r="E25" s="864">
        <v>1000</v>
      </c>
      <c r="F25" s="595"/>
      <c r="G25" s="864">
        <v>1500</v>
      </c>
      <c r="H25" s="864">
        <v>1500</v>
      </c>
      <c r="I25" s="864">
        <v>1000</v>
      </c>
      <c r="J25" s="896"/>
      <c r="K25" s="897"/>
      <c r="L25" s="8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  <c r="AF25" s="595"/>
      <c r="AG25" s="595"/>
    </row>
    <row r="26" spans="1:33" ht="15.75">
      <c r="A26" s="786" t="s">
        <v>426</v>
      </c>
      <c r="B26" s="768"/>
      <c r="C26" s="821">
        <v>0.03</v>
      </c>
      <c r="D26" s="896">
        <f>$C$26</f>
        <v>0.03</v>
      </c>
      <c r="E26" s="896">
        <f>$C$26</f>
        <v>0.03</v>
      </c>
      <c r="F26" s="898"/>
      <c r="G26" s="896">
        <f>$C$26</f>
        <v>0.03</v>
      </c>
      <c r="H26" s="896">
        <f>$C$26</f>
        <v>0.03</v>
      </c>
      <c r="I26" s="896">
        <f>$C$26</f>
        <v>0.03</v>
      </c>
      <c r="J26" s="843"/>
      <c r="K26" s="899"/>
      <c r="L26" s="322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  <c r="AF26" s="595"/>
      <c r="AG26" s="595"/>
    </row>
    <row r="27" spans="1:33" ht="15.75">
      <c r="A27" s="786"/>
      <c r="B27" s="768"/>
      <c r="C27" s="844"/>
      <c r="D27" s="844"/>
      <c r="E27" s="844"/>
      <c r="F27" s="844"/>
      <c r="G27" s="844"/>
      <c r="H27" s="844"/>
      <c r="I27" s="844"/>
      <c r="J27" s="900"/>
      <c r="K27" s="901"/>
      <c r="L27" s="8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  <c r="AF27" s="595"/>
      <c r="AG27" s="595"/>
    </row>
    <row r="28" spans="1:33" ht="15.75">
      <c r="A28" s="802" t="s">
        <v>427</v>
      </c>
      <c r="B28" s="768"/>
      <c r="C28" s="513"/>
      <c r="D28" s="513"/>
      <c r="E28" s="513"/>
      <c r="F28" s="844"/>
      <c r="G28" s="513"/>
      <c r="H28" s="513"/>
      <c r="I28" s="513"/>
      <c r="J28" s="900"/>
      <c r="K28" s="901"/>
      <c r="L28" s="8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  <c r="AF28" s="595"/>
      <c r="AG28" s="595"/>
    </row>
    <row r="29" spans="1:33" ht="15.75">
      <c r="A29" s="786" t="s">
        <v>1</v>
      </c>
      <c r="B29" s="313"/>
      <c r="C29" s="902">
        <v>1563.6314700000003</v>
      </c>
      <c r="D29" s="902">
        <v>1721.30196</v>
      </c>
      <c r="E29" s="902">
        <v>1878.0665900000001</v>
      </c>
      <c r="F29" s="867"/>
      <c r="G29" s="902">
        <v>1242.4817142857141</v>
      </c>
      <c r="H29" s="902">
        <v>1515.7902857142858</v>
      </c>
      <c r="I29" s="902">
        <v>1448.5405714285714</v>
      </c>
      <c r="J29" s="900"/>
      <c r="K29" s="901"/>
      <c r="L29" s="8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  <c r="AF29" s="595"/>
      <c r="AG29" s="595"/>
    </row>
    <row r="30" spans="1:33" ht="15.75">
      <c r="A30" s="786" t="s">
        <v>428</v>
      </c>
      <c r="B30" s="313"/>
      <c r="C30" s="903">
        <f>C24*C20/1000</f>
        <v>937.38256180957399</v>
      </c>
      <c r="D30" s="903">
        <f>D24*D20/1000</f>
        <v>544.13967175066318</v>
      </c>
      <c r="E30" s="903">
        <f>E24*E20/1000</f>
        <v>410.26984000000004</v>
      </c>
      <c r="F30" s="867"/>
      <c r="G30" s="903">
        <f>G24*G20/1000</f>
        <v>799.4874296783845</v>
      </c>
      <c r="H30" s="903">
        <f>H24*H20/1000</f>
        <v>1383.9381655686559</v>
      </c>
      <c r="I30" s="903">
        <f>I24*I20/1000</f>
        <v>4004</v>
      </c>
      <c r="J30" s="900"/>
      <c r="K30" s="901"/>
      <c r="L30" s="8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  <c r="AF30" s="595"/>
      <c r="AG30" s="595"/>
    </row>
    <row r="31" spans="1:33" ht="15.75">
      <c r="A31" s="786" t="s">
        <v>429</v>
      </c>
      <c r="B31" s="595"/>
      <c r="C31" s="903">
        <f>C25*C11*C8/1000</f>
        <v>450</v>
      </c>
      <c r="D31" s="903">
        <f>D25*D11*D8/1000</f>
        <v>450</v>
      </c>
      <c r="E31" s="903">
        <f>E25*E11*E8/1000</f>
        <v>450</v>
      </c>
      <c r="F31" s="595"/>
      <c r="G31" s="903">
        <f>G25*G11*G8/1000</f>
        <v>337.5</v>
      </c>
      <c r="H31" s="903">
        <f>H25*H11*H8/1000</f>
        <v>450</v>
      </c>
      <c r="I31" s="903">
        <f>I25*I11*I8/1000</f>
        <v>600</v>
      </c>
      <c r="J31" s="595"/>
      <c r="K31" s="904"/>
      <c r="L31" s="313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  <c r="AF31" s="595"/>
      <c r="AG31" s="595"/>
    </row>
    <row r="32" spans="1:33" ht="15.75">
      <c r="A32" s="786" t="s">
        <v>430</v>
      </c>
      <c r="B32" s="313"/>
      <c r="C32" s="902">
        <v>431.78516666666667</v>
      </c>
      <c r="D32" s="902">
        <v>410.9306666666667</v>
      </c>
      <c r="E32" s="902">
        <v>362.67216666666667</v>
      </c>
      <c r="F32" s="867"/>
      <c r="G32" s="902">
        <v>322.2511428571429</v>
      </c>
      <c r="H32" s="902">
        <v>306.26771428571425</v>
      </c>
      <c r="I32" s="902">
        <v>400.64714285714285</v>
      </c>
      <c r="J32" s="900"/>
      <c r="K32" s="901"/>
      <c r="L32" s="8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  <c r="AF32" s="595"/>
      <c r="AG32" s="595"/>
    </row>
    <row r="33" spans="1:33" ht="16.5" thickBot="1">
      <c r="A33" s="858" t="s">
        <v>431</v>
      </c>
      <c r="B33" s="320"/>
      <c r="C33" s="905">
        <f>-Brownsville!B56</f>
        <v>250</v>
      </c>
      <c r="D33" s="905">
        <f>-Caledonia!B56</f>
        <v>591.20000000000005</v>
      </c>
      <c r="E33" s="905">
        <f>-'New Albany'!B56</f>
        <v>488.8</v>
      </c>
      <c r="F33" s="905"/>
      <c r="G33" s="905">
        <f>-Gleason!B56</f>
        <v>92.2251014</v>
      </c>
      <c r="H33" s="905">
        <f>-Wheatland!B56</f>
        <v>203.273</v>
      </c>
      <c r="I33" s="905">
        <f>-Wilton!B56</f>
        <v>333.7</v>
      </c>
      <c r="J33" s="320"/>
      <c r="K33" s="829"/>
      <c r="L33" s="8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  <c r="AF33" s="595"/>
      <c r="AG33" s="595"/>
    </row>
    <row r="34" spans="1:33">
      <c r="L34" s="8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  <c r="AF34" s="595"/>
      <c r="AG34" s="595"/>
    </row>
    <row r="35" spans="1:33" ht="13.5" thickBot="1">
      <c r="A35" s="313"/>
      <c r="B35" s="313"/>
      <c r="C35" s="313"/>
      <c r="D35" s="313"/>
      <c r="E35" s="313"/>
      <c r="F35" s="313"/>
      <c r="G35" s="313"/>
      <c r="H35" s="313"/>
      <c r="I35" s="313"/>
      <c r="J35" s="313"/>
      <c r="K35" s="313"/>
      <c r="L35" s="8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  <c r="AF35" s="595"/>
      <c r="AG35" s="595"/>
    </row>
    <row r="36" spans="1:33" ht="15.75">
      <c r="A36" s="830" t="s">
        <v>432</v>
      </c>
      <c r="B36" s="831"/>
      <c r="C36" s="889"/>
      <c r="D36" s="889"/>
      <c r="E36" s="889"/>
      <c r="F36" s="888"/>
      <c r="G36" s="889"/>
      <c r="H36" s="889"/>
      <c r="I36" s="889"/>
      <c r="J36" s="889"/>
      <c r="K36" s="906"/>
      <c r="L36" s="8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  <c r="AF36" s="595"/>
      <c r="AG36" s="595"/>
    </row>
    <row r="37" spans="1:33" ht="15.75">
      <c r="A37" s="786"/>
      <c r="B37" s="768"/>
      <c r="C37" s="865"/>
      <c r="D37" s="865"/>
      <c r="E37" s="865"/>
      <c r="F37" s="844"/>
      <c r="G37" s="865"/>
      <c r="H37" s="865"/>
      <c r="I37" s="865"/>
      <c r="J37" s="865"/>
      <c r="K37" s="907"/>
      <c r="L37" s="8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  <c r="AF37" s="595"/>
      <c r="AG37" s="595"/>
    </row>
    <row r="38" spans="1:33" ht="15.75">
      <c r="A38" s="786" t="s">
        <v>433</v>
      </c>
      <c r="B38" s="768"/>
      <c r="C38" s="821">
        <v>0.35</v>
      </c>
      <c r="D38" s="821">
        <v>0.35</v>
      </c>
      <c r="E38" s="821">
        <v>0.35</v>
      </c>
      <c r="F38" s="844"/>
      <c r="G38" s="821">
        <v>0.35</v>
      </c>
      <c r="H38" s="821">
        <v>0.35</v>
      </c>
      <c r="I38" s="821">
        <v>0.35</v>
      </c>
      <c r="J38" s="896"/>
      <c r="K38" s="897">
        <v>0.35</v>
      </c>
      <c r="L38" s="8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  <c r="AF38" s="595"/>
      <c r="AG38" s="595"/>
    </row>
    <row r="39" spans="1:33" ht="15.75">
      <c r="A39" s="786" t="s">
        <v>434</v>
      </c>
      <c r="B39" s="768"/>
      <c r="C39" s="908">
        <v>0.06</v>
      </c>
      <c r="D39" s="908">
        <v>0.05</v>
      </c>
      <c r="E39" s="908">
        <v>0.05</v>
      </c>
      <c r="F39" s="844"/>
      <c r="G39" s="908">
        <v>0.06</v>
      </c>
      <c r="H39" s="908">
        <v>4.4999999999999998E-2</v>
      </c>
      <c r="I39" s="908">
        <v>7.1800000000000003E-2</v>
      </c>
      <c r="J39" s="843"/>
      <c r="K39" s="899"/>
      <c r="L39" s="8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  <c r="AF39" s="595"/>
      <c r="AG39" s="595"/>
    </row>
    <row r="40" spans="1:33" ht="15.75">
      <c r="A40" s="786" t="s">
        <v>435</v>
      </c>
      <c r="B40" s="595"/>
      <c r="C40" s="908" t="s">
        <v>436</v>
      </c>
      <c r="D40" s="908" t="s">
        <v>436</v>
      </c>
      <c r="E40" s="908" t="s">
        <v>436</v>
      </c>
      <c r="F40" s="844"/>
      <c r="G40" s="908" t="s">
        <v>436</v>
      </c>
      <c r="H40" s="908">
        <v>3.4000000000000002E-2</v>
      </c>
      <c r="I40" s="908" t="s">
        <v>436</v>
      </c>
      <c r="J40" s="843"/>
      <c r="K40" s="899"/>
      <c r="L40" s="8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  <c r="AF40" s="595"/>
      <c r="AG40" s="595"/>
    </row>
    <row r="41" spans="1:33" ht="15.75">
      <c r="A41" s="786" t="s">
        <v>437</v>
      </c>
      <c r="B41" s="595"/>
      <c r="C41" s="908" t="s">
        <v>436</v>
      </c>
      <c r="D41" s="908" t="s">
        <v>436</v>
      </c>
      <c r="E41" s="908" t="s">
        <v>436</v>
      </c>
      <c r="F41" s="844"/>
      <c r="G41" s="908" t="s">
        <v>436</v>
      </c>
      <c r="H41" s="908">
        <v>1.2E-2</v>
      </c>
      <c r="I41" s="908" t="s">
        <v>436</v>
      </c>
      <c r="J41" s="25"/>
      <c r="K41" s="894"/>
      <c r="L41" s="8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  <c r="AF41" s="595"/>
      <c r="AG41" s="595"/>
    </row>
    <row r="42" spans="1:33" ht="15.75">
      <c r="A42" s="786" t="s">
        <v>438</v>
      </c>
      <c r="B42" s="768"/>
      <c r="C42" s="908">
        <v>2.5000000000000001E-3</v>
      </c>
      <c r="D42" s="908">
        <v>2.5000000000000001E-3</v>
      </c>
      <c r="E42" s="908">
        <v>2.5000000000000001E-3</v>
      </c>
      <c r="F42" s="844"/>
      <c r="G42" s="908">
        <v>2.5000000000000001E-3</v>
      </c>
      <c r="H42" s="908" t="s">
        <v>436</v>
      </c>
      <c r="I42" s="908">
        <v>1.5E-3</v>
      </c>
      <c r="J42" s="25"/>
      <c r="K42" s="894"/>
      <c r="L42" s="8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  <c r="AF42" s="595"/>
      <c r="AG42" s="595"/>
    </row>
    <row r="43" spans="1:33" ht="16.5" thickBot="1">
      <c r="A43" s="858" t="s">
        <v>439</v>
      </c>
      <c r="B43" s="791"/>
      <c r="C43" s="909">
        <v>2.5000000000000001E-3</v>
      </c>
      <c r="D43" s="909">
        <v>2.5000000000000001E-3</v>
      </c>
      <c r="E43" s="909">
        <v>2.5000000000000001E-3</v>
      </c>
      <c r="F43" s="910"/>
      <c r="G43" s="909">
        <v>2.5000000000000001E-3</v>
      </c>
      <c r="H43" s="909" t="s">
        <v>436</v>
      </c>
      <c r="I43" s="909">
        <v>1E-3</v>
      </c>
      <c r="J43" s="320"/>
      <c r="K43" s="829"/>
      <c r="L43" s="313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  <c r="AF43" s="595"/>
      <c r="AG43" s="595"/>
    </row>
    <row r="44" spans="1:33" ht="15.75">
      <c r="A44" s="768"/>
      <c r="B44" s="313"/>
      <c r="C44" s="867"/>
      <c r="D44" s="867"/>
      <c r="E44" s="867"/>
      <c r="F44" s="867"/>
      <c r="G44" s="867"/>
      <c r="H44" s="867"/>
      <c r="I44" s="867"/>
      <c r="J44" s="900"/>
      <c r="K44" s="900"/>
      <c r="L44" s="8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  <c r="AF44" s="595"/>
      <c r="AG44" s="595"/>
    </row>
    <row r="45" spans="1:33" ht="15.75">
      <c r="A45" s="768"/>
      <c r="B45" s="313"/>
      <c r="C45" s="867"/>
      <c r="D45" s="911"/>
      <c r="E45" s="912"/>
      <c r="F45" s="867"/>
      <c r="G45" s="867"/>
      <c r="H45" s="867"/>
      <c r="I45" s="867"/>
      <c r="J45" s="900"/>
      <c r="K45" s="900"/>
      <c r="L45" s="8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  <c r="AF45" s="595"/>
      <c r="AG45" s="595"/>
    </row>
    <row r="46" spans="1:33" ht="15.75">
      <c r="A46" s="913"/>
      <c r="B46" s="914"/>
      <c r="C46" s="915"/>
      <c r="D46" s="867"/>
      <c r="E46" s="867"/>
      <c r="F46" s="867"/>
      <c r="G46" s="867"/>
      <c r="H46" s="867"/>
      <c r="I46" s="867"/>
      <c r="J46" s="313"/>
      <c r="K46" s="313"/>
      <c r="L46" s="8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  <c r="AF46" s="595"/>
      <c r="AG46" s="595"/>
    </row>
    <row r="47" spans="1:33" ht="15.75">
      <c r="A47" s="768" t="s">
        <v>440</v>
      </c>
      <c r="B47" s="313"/>
      <c r="C47" s="867"/>
      <c r="D47" s="867"/>
      <c r="E47" s="867"/>
      <c r="F47" s="867"/>
      <c r="G47" s="867"/>
      <c r="H47" s="867"/>
      <c r="I47" s="867"/>
      <c r="J47" s="313"/>
      <c r="K47" s="313"/>
      <c r="L47" s="8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  <c r="AF47" s="595"/>
      <c r="AG47" s="595"/>
    </row>
    <row r="48" spans="1:33">
      <c r="A48" s="313"/>
      <c r="B48" s="313"/>
      <c r="C48" s="900"/>
      <c r="D48" s="900"/>
      <c r="E48" s="900"/>
      <c r="F48" s="900"/>
      <c r="G48" s="900"/>
      <c r="H48" s="900"/>
      <c r="I48" s="900"/>
      <c r="J48" s="900"/>
      <c r="K48" s="900"/>
      <c r="L48" s="8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  <c r="AF48" s="595"/>
      <c r="AG48" s="595"/>
    </row>
    <row r="49" spans="1:33">
      <c r="L49" s="8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  <c r="AF49" s="595"/>
      <c r="AG49" s="595"/>
    </row>
    <row r="50" spans="1:33">
      <c r="A50" s="313"/>
      <c r="B50" s="313"/>
      <c r="C50" s="900"/>
      <c r="D50" s="900"/>
      <c r="E50" s="900"/>
      <c r="F50" s="900"/>
      <c r="G50" s="900"/>
      <c r="H50" s="900"/>
      <c r="I50" s="900"/>
      <c r="J50" s="900"/>
      <c r="K50" s="900"/>
      <c r="L50" s="8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  <c r="AF50" s="595"/>
      <c r="AG50" s="595"/>
    </row>
    <row r="51" spans="1:33">
      <c r="L51" s="8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  <c r="AF51" s="595"/>
      <c r="AG51" s="595"/>
    </row>
    <row r="52" spans="1:33">
      <c r="L52" s="8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  <c r="AF52" s="595"/>
      <c r="AG52" s="595"/>
    </row>
    <row r="53" spans="1:33">
      <c r="L53" s="322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</row>
    <row r="54" spans="1:33">
      <c r="L54" s="916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</row>
    <row r="55" spans="1:33">
      <c r="A55" s="48"/>
      <c r="B55" s="313"/>
      <c r="C55" s="900"/>
      <c r="D55" s="900"/>
      <c r="E55" s="900"/>
      <c r="F55" s="900"/>
      <c r="G55" s="900"/>
      <c r="H55" s="900"/>
      <c r="I55" s="900"/>
      <c r="J55" s="900"/>
      <c r="K55" s="900"/>
      <c r="L55" s="916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</row>
    <row r="56" spans="1:33">
      <c r="A56" s="595"/>
      <c r="B56" s="595"/>
      <c r="C56" s="595"/>
      <c r="D56" s="595"/>
      <c r="E56" s="595"/>
      <c r="F56" s="595"/>
      <c r="G56" s="595"/>
      <c r="H56" s="595"/>
      <c r="I56" s="595"/>
      <c r="J56" s="595"/>
      <c r="K56" s="595"/>
      <c r="L56" s="916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  <c r="AF56" s="595"/>
      <c r="AG56" s="595"/>
    </row>
    <row r="57" spans="1:33">
      <c r="A57" s="595"/>
      <c r="B57" s="595"/>
      <c r="C57" s="595"/>
      <c r="D57" s="595"/>
      <c r="E57" s="595"/>
      <c r="F57" s="595"/>
      <c r="G57" s="595"/>
      <c r="H57" s="595"/>
      <c r="I57" s="595"/>
      <c r="J57" s="595"/>
      <c r="K57" s="595"/>
      <c r="L57" s="916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  <c r="AF57" s="595"/>
      <c r="AG57" s="595"/>
    </row>
    <row r="58" spans="1:33">
      <c r="A58" s="595"/>
      <c r="B58" s="595"/>
      <c r="C58" s="595"/>
      <c r="D58" s="595"/>
      <c r="E58" s="595"/>
      <c r="F58" s="595"/>
      <c r="G58" s="595"/>
      <c r="H58" s="595"/>
      <c r="I58" s="595"/>
      <c r="J58" s="595"/>
      <c r="K58" s="595"/>
      <c r="L58" s="916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  <c r="AF58" s="595"/>
      <c r="AG58" s="595"/>
    </row>
    <row r="59" spans="1:33">
      <c r="A59" s="595"/>
      <c r="B59" s="595"/>
      <c r="C59" s="595"/>
      <c r="D59" s="595"/>
      <c r="E59" s="595"/>
      <c r="F59" s="595"/>
      <c r="G59" s="595"/>
      <c r="H59" s="595"/>
      <c r="I59" s="595"/>
      <c r="J59" s="595"/>
      <c r="K59" s="595"/>
      <c r="L59" s="916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  <c r="AF59" s="595"/>
      <c r="AG59" s="595"/>
    </row>
    <row r="60" spans="1:33">
      <c r="A60" s="595"/>
      <c r="B60" s="595"/>
      <c r="C60" s="595"/>
      <c r="D60" s="595"/>
      <c r="E60" s="595"/>
      <c r="F60" s="595"/>
      <c r="G60" s="595"/>
      <c r="H60" s="595"/>
      <c r="I60" s="595"/>
      <c r="J60" s="595"/>
      <c r="K60" s="595"/>
      <c r="L60" s="916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  <c r="AF60" s="595"/>
      <c r="AG60" s="595"/>
    </row>
    <row r="61" spans="1:33">
      <c r="A61" s="595"/>
      <c r="B61" s="595"/>
      <c r="C61" s="595"/>
      <c r="D61" s="595"/>
      <c r="E61" s="595"/>
      <c r="F61" s="595"/>
      <c r="G61" s="595"/>
      <c r="H61" s="595"/>
      <c r="I61" s="595"/>
      <c r="J61" s="595"/>
      <c r="K61" s="595"/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  <c r="AF61" s="595"/>
      <c r="AG61" s="595"/>
    </row>
    <row r="62" spans="1:33">
      <c r="A62" s="595"/>
      <c r="B62" s="595"/>
      <c r="C62" s="595"/>
      <c r="D62" s="595"/>
      <c r="E62" s="595"/>
      <c r="F62" s="595"/>
      <c r="G62" s="595"/>
      <c r="H62" s="595"/>
      <c r="I62" s="595"/>
      <c r="J62" s="595"/>
      <c r="K62" s="595"/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  <c r="AF62" s="595"/>
      <c r="AG62" s="595"/>
    </row>
    <row r="63" spans="1:33"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  <c r="AF63" s="595"/>
      <c r="AG63" s="595"/>
    </row>
    <row r="64" spans="1:33"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  <c r="AF64" s="595"/>
      <c r="AG64" s="595"/>
    </row>
    <row r="65" spans="12:33"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</row>
    <row r="66" spans="12:33"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  <c r="AF66" s="595"/>
      <c r="AG66" s="595"/>
    </row>
    <row r="67" spans="12:33"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  <c r="AF67" s="595"/>
      <c r="AG67" s="595"/>
    </row>
    <row r="68" spans="12:33"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  <c r="AF68" s="595"/>
      <c r="AG68" s="595"/>
    </row>
    <row r="69" spans="12:33"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  <c r="AF69" s="595"/>
      <c r="AG69" s="595"/>
    </row>
    <row r="70" spans="12:33"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  <c r="AF70" s="595"/>
      <c r="AG70" s="595"/>
    </row>
  </sheetData>
  <mergeCells count="2">
    <mergeCell ref="C5:E5"/>
    <mergeCell ref="G5:I5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AB72"/>
  <sheetViews>
    <sheetView zoomScale="75" zoomScaleNormal="75" workbookViewId="0"/>
  </sheetViews>
  <sheetFormatPr defaultColWidth="9.28515625" defaultRowHeight="15.75"/>
  <cols>
    <col min="1" max="1" width="52" style="512" bestFit="1" customWidth="1"/>
    <col min="2" max="2" width="6.7109375" style="512" customWidth="1"/>
    <col min="3" max="5" width="9.85546875" style="512" customWidth="1"/>
    <col min="6" max="7" width="11.5703125" style="512" customWidth="1"/>
    <col min="8" max="8" width="10.28515625" style="512" customWidth="1"/>
    <col min="9" max="22" width="9.85546875" style="512" customWidth="1"/>
    <col min="23" max="16384" width="9.28515625" style="512"/>
  </cols>
  <sheetData>
    <row r="1" spans="1:22" ht="12" customHeight="1">
      <c r="A1" s="917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</row>
    <row r="2" spans="1:22" ht="18.75">
      <c r="A2" s="710" t="s">
        <v>689</v>
      </c>
      <c r="B2" s="1251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</row>
    <row r="3" spans="1:22"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0"/>
      <c r="T3" s="920"/>
      <c r="U3" s="920"/>
      <c r="V3" s="920"/>
    </row>
    <row r="4" spans="1:22">
      <c r="C4" s="921">
        <v>2001</v>
      </c>
      <c r="D4" s="921">
        <v>2002</v>
      </c>
      <c r="E4" s="921">
        <v>2003</v>
      </c>
      <c r="F4" s="921">
        <v>2004</v>
      </c>
      <c r="G4" s="921">
        <v>2005</v>
      </c>
      <c r="H4" s="921">
        <v>2006</v>
      </c>
      <c r="I4" s="921">
        <v>2007</v>
      </c>
      <c r="J4" s="921">
        <v>2008</v>
      </c>
      <c r="K4" s="921">
        <v>2009</v>
      </c>
      <c r="L4" s="921">
        <v>2010</v>
      </c>
      <c r="M4" s="921">
        <v>2011</v>
      </c>
      <c r="N4" s="921">
        <v>2012</v>
      </c>
      <c r="O4" s="921">
        <v>2013</v>
      </c>
      <c r="P4" s="921">
        <v>2014</v>
      </c>
      <c r="Q4" s="921">
        <v>2015</v>
      </c>
      <c r="R4" s="921">
        <v>2016</v>
      </c>
      <c r="S4" s="921">
        <v>2017</v>
      </c>
      <c r="T4" s="921">
        <v>2018</v>
      </c>
      <c r="U4" s="921">
        <v>2019</v>
      </c>
      <c r="V4" s="921">
        <v>2020</v>
      </c>
    </row>
    <row r="5" spans="1:22"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</row>
    <row r="6" spans="1:22">
      <c r="A6" s="883" t="s">
        <v>441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</row>
    <row r="7" spans="1:22">
      <c r="A7" s="883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</row>
    <row r="8" spans="1:22">
      <c r="A8" s="512" t="s">
        <v>419</v>
      </c>
      <c r="C8" s="922">
        <f>ENA_Assumptions!$C$17</f>
        <v>4</v>
      </c>
      <c r="D8" s="922">
        <f>ENA_Assumptions!$C$17</f>
        <v>4</v>
      </c>
      <c r="E8" s="922">
        <f>ENA_Assumptions!$C$17</f>
        <v>4</v>
      </c>
      <c r="F8" s="923">
        <v>0</v>
      </c>
      <c r="G8" s="923">
        <v>0</v>
      </c>
      <c r="H8" s="923">
        <v>0</v>
      </c>
      <c r="I8" s="923">
        <v>0</v>
      </c>
      <c r="J8" s="923">
        <v>0</v>
      </c>
      <c r="K8" s="923">
        <v>0</v>
      </c>
      <c r="L8" s="923">
        <v>0</v>
      </c>
      <c r="M8" s="923">
        <v>0</v>
      </c>
      <c r="N8" s="923">
        <v>0</v>
      </c>
      <c r="O8" s="923">
        <v>0</v>
      </c>
      <c r="P8" s="923">
        <v>0</v>
      </c>
      <c r="Q8" s="923">
        <v>0</v>
      </c>
      <c r="R8" s="923">
        <v>0</v>
      </c>
      <c r="S8" s="923">
        <v>0</v>
      </c>
      <c r="T8" s="923">
        <v>0</v>
      </c>
      <c r="U8" s="923">
        <v>0</v>
      </c>
      <c r="V8" s="923">
        <v>0</v>
      </c>
    </row>
    <row r="9" spans="1:22">
      <c r="C9" s="921"/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</row>
    <row r="10" spans="1:22"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</row>
    <row r="11" spans="1:22"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</row>
    <row r="12" spans="1:22">
      <c r="A12" s="883" t="s">
        <v>442</v>
      </c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</row>
    <row r="13" spans="1:22">
      <c r="A13" s="883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</row>
    <row r="14" spans="1:22">
      <c r="A14" s="325" t="s">
        <v>443</v>
      </c>
      <c r="C14" s="924">
        <f>ENA_Assumptions!C26</f>
        <v>0.03</v>
      </c>
      <c r="D14" s="768"/>
      <c r="E14" s="925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</row>
    <row r="15" spans="1:22">
      <c r="A15" s="325"/>
      <c r="B15" s="926"/>
      <c r="C15" s="768"/>
      <c r="D15" s="768"/>
      <c r="E15" s="925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</row>
    <row r="16" spans="1:22">
      <c r="A16" s="768"/>
      <c r="B16" s="927"/>
      <c r="C16" s="768"/>
      <c r="D16" s="768"/>
      <c r="E16" s="925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</row>
    <row r="17" spans="1:28">
      <c r="A17" s="883" t="s">
        <v>444</v>
      </c>
      <c r="B17" s="76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</row>
    <row r="18" spans="1:28">
      <c r="A18" s="768" t="s">
        <v>445</v>
      </c>
      <c r="B18" s="768"/>
    </row>
    <row r="19" spans="1:28">
      <c r="A19" s="768"/>
      <c r="B19" s="768"/>
      <c r="C19" s="921"/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</row>
    <row r="20" spans="1:28">
      <c r="A20" s="929" t="s">
        <v>446</v>
      </c>
      <c r="B20" s="768"/>
      <c r="C20" s="925"/>
      <c r="D20" s="925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</row>
    <row r="21" spans="1:28">
      <c r="A21" s="768" t="s">
        <v>447</v>
      </c>
      <c r="B21" s="930"/>
      <c r="C21" s="931">
        <v>60.97229916897507</v>
      </c>
      <c r="D21" s="931">
        <v>62.131742415801384</v>
      </c>
      <c r="E21" s="931">
        <v>63.313233521424777</v>
      </c>
      <c r="F21" s="931">
        <v>64.517191745760613</v>
      </c>
      <c r="G21" s="931">
        <v>65.744044321329639</v>
      </c>
      <c r="H21" s="931">
        <v>64.64769576191091</v>
      </c>
      <c r="I21" s="931">
        <v>63.569629925682506</v>
      </c>
      <c r="J21" s="931">
        <v>62.50954192970881</v>
      </c>
      <c r="K21" s="931">
        <v>61.467131975286122</v>
      </c>
      <c r="L21" s="931">
        <v>60.442105263157892</v>
      </c>
      <c r="M21" s="931">
        <v>59.792038989376501</v>
      </c>
      <c r="N21" s="931">
        <v>59.148964301319459</v>
      </c>
      <c r="O21" s="931">
        <v>58.512806003159973</v>
      </c>
      <c r="P21" s="931">
        <v>57.883489707816537</v>
      </c>
      <c r="Q21" s="931">
        <v>57.26094182825485</v>
      </c>
      <c r="R21" s="931">
        <v>56.386317952681878</v>
      </c>
      <c r="S21" s="931">
        <v>55.525053391491426</v>
      </c>
      <c r="T21" s="931">
        <v>54.676944089791142</v>
      </c>
      <c r="U21" s="931">
        <v>53.841789109495259</v>
      </c>
      <c r="V21" s="931">
        <v>53.019390581717452</v>
      </c>
      <c r="W21" s="932"/>
    </row>
    <row r="22" spans="1:28">
      <c r="A22" s="768"/>
      <c r="B22" s="768"/>
      <c r="C22" s="931"/>
      <c r="D22" s="931"/>
      <c r="E22" s="931"/>
      <c r="F22" s="931"/>
      <c r="G22" s="931"/>
      <c r="H22" s="931"/>
      <c r="I22" s="931"/>
      <c r="J22" s="931"/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31"/>
      <c r="V22" s="931"/>
      <c r="W22" s="933"/>
    </row>
    <row r="23" spans="1:28">
      <c r="A23" s="929" t="s">
        <v>448</v>
      </c>
      <c r="B23" s="768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3"/>
    </row>
    <row r="24" spans="1:28">
      <c r="A24" s="768" t="s">
        <v>449</v>
      </c>
      <c r="B24" s="934"/>
      <c r="C24" s="931">
        <f>C21*(1+'ENA_Power Price Assumption'!$C$14)^(C4-1998)</f>
        <v>66.626077554016618</v>
      </c>
      <c r="D24" s="931">
        <f>D21*(1+'ENA_Power Price Assumption'!$C$14)^(D4-1998)</f>
        <v>69.929823469635139</v>
      </c>
      <c r="E24" s="931">
        <f>E21*(1+'ENA_Power Price Assumption'!$C$14)^(E4-1998)</f>
        <v>73.397390181489428</v>
      </c>
      <c r="F24" s="931">
        <f>F21*(1+'ENA_Power Price Assumption'!$C$14)^(F4-1998)</f>
        <v>77.036900969627297</v>
      </c>
      <c r="G24" s="931">
        <f>G21*(1+'ENA_Power Price Assumption'!$C$14)^(G4-1998)</f>
        <v>80.85688191813766</v>
      </c>
      <c r="H24" s="931">
        <f>H21*(1+'ENA_Power Price Assumption'!$C$14)^(H4-1998)</f>
        <v>81.893766821837715</v>
      </c>
      <c r="I24" s="931">
        <f>I21*(1+'ENA_Power Price Assumption'!$C$14)^(I4-1998)</f>
        <v>82.943948432979582</v>
      </c>
      <c r="J24" s="931">
        <f>J21*(1+'ENA_Power Price Assumption'!$C$14)^(J4-1998)</f>
        <v>84.00759726463383</v>
      </c>
      <c r="K24" s="931">
        <f>K21*(1+'ENA_Power Price Assumption'!$C$14)^(K4-1998)</f>
        <v>85.084886016480638</v>
      </c>
      <c r="L24" s="931">
        <f>L21*(1+'ENA_Power Price Assumption'!$C$14)^(L4-1998)</f>
        <v>86.17598960285008</v>
      </c>
      <c r="M24" s="931">
        <f>M21*(1+'ENA_Power Price Assumption'!$C$14)^(M4-1998)</f>
        <v>87.806625051909762</v>
      </c>
      <c r="N24" s="931">
        <f>N21*(1+'ENA_Power Price Assumption'!$C$14)^(N4-1998)</f>
        <v>89.468115637997585</v>
      </c>
      <c r="O24" s="931">
        <f>O21*(1+'ENA_Power Price Assumption'!$C$14)^(O4-1998)</f>
        <v>91.161045206804843</v>
      </c>
      <c r="P24" s="931">
        <f>P21*(1+'ENA_Power Price Assumption'!$C$14)^(P4-1998)</f>
        <v>92.886008651641561</v>
      </c>
      <c r="Q24" s="931">
        <f>Q21*(1+'ENA_Power Price Assumption'!$C$14)^(Q4-1998)</f>
        <v>94.643612122481485</v>
      </c>
      <c r="R24" s="931">
        <f>R21*(1+'ENA_Power Price Assumption'!$C$14)^(R4-1998)</f>
        <v>95.993931884230719</v>
      </c>
      <c r="S24" s="931">
        <f>S21*(1+'ENA_Power Price Assumption'!$C$14)^(S4-1998)</f>
        <v>97.363517219409388</v>
      </c>
      <c r="T24" s="931">
        <f>T21*(1+'ENA_Power Price Assumption'!$C$14)^(T4-1998)</f>
        <v>98.752642997963164</v>
      </c>
      <c r="U24" s="931">
        <f>U21*(1+'ENA_Power Price Assumption'!$C$14)^(U4-1998)</f>
        <v>100.16158801152146</v>
      </c>
      <c r="V24" s="931">
        <f>V21*(1+'ENA_Power Price Assumption'!$C$14)^(V4-1998)</f>
        <v>101.59063502934997</v>
      </c>
      <c r="W24" s="933"/>
    </row>
    <row r="25" spans="1:28">
      <c r="A25" s="768" t="s">
        <v>450</v>
      </c>
      <c r="B25" s="768"/>
      <c r="C25" s="935">
        <f t="shared" ref="C25:V25" si="0">C24/12</f>
        <v>5.5521731295013845</v>
      </c>
      <c r="D25" s="935">
        <f t="shared" si="0"/>
        <v>5.8274852891362618</v>
      </c>
      <c r="E25" s="935">
        <f t="shared" si="0"/>
        <v>6.1164491817907853</v>
      </c>
      <c r="F25" s="935">
        <f t="shared" si="0"/>
        <v>6.4197417474689411</v>
      </c>
      <c r="G25" s="935">
        <f t="shared" si="0"/>
        <v>6.7380734931781383</v>
      </c>
      <c r="H25" s="935">
        <f t="shared" si="0"/>
        <v>6.824480568486476</v>
      </c>
      <c r="I25" s="935">
        <f t="shared" si="0"/>
        <v>6.9119957027482988</v>
      </c>
      <c r="J25" s="935">
        <f t="shared" si="0"/>
        <v>7.0006331053861528</v>
      </c>
      <c r="K25" s="935">
        <f t="shared" si="0"/>
        <v>7.0904071680400529</v>
      </c>
      <c r="L25" s="935">
        <f t="shared" si="0"/>
        <v>7.1813324669041734</v>
      </c>
      <c r="M25" s="935">
        <f t="shared" si="0"/>
        <v>7.3172187543258138</v>
      </c>
      <c r="N25" s="935">
        <f t="shared" si="0"/>
        <v>7.4556763031664657</v>
      </c>
      <c r="O25" s="935">
        <f t="shared" si="0"/>
        <v>7.5967537672337366</v>
      </c>
      <c r="P25" s="935">
        <f t="shared" si="0"/>
        <v>7.7405007209701298</v>
      </c>
      <c r="Q25" s="935">
        <f t="shared" si="0"/>
        <v>7.8869676768734571</v>
      </c>
      <c r="R25" s="935">
        <f t="shared" si="0"/>
        <v>7.9994943236858935</v>
      </c>
      <c r="S25" s="935">
        <f t="shared" si="0"/>
        <v>8.113626434950783</v>
      </c>
      <c r="T25" s="935">
        <f t="shared" si="0"/>
        <v>8.2293869164969298</v>
      </c>
      <c r="U25" s="935">
        <f t="shared" si="0"/>
        <v>8.3467990009601216</v>
      </c>
      <c r="V25" s="935">
        <f t="shared" si="0"/>
        <v>8.4658862524458307</v>
      </c>
      <c r="W25" s="933"/>
    </row>
    <row r="26" spans="1:28" ht="16.5" thickBot="1">
      <c r="A26" s="768"/>
      <c r="B26" s="768"/>
      <c r="C26" s="936"/>
      <c r="D26" s="936"/>
      <c r="E26" s="936"/>
      <c r="F26" s="936"/>
      <c r="G26" s="936"/>
      <c r="H26" s="936"/>
      <c r="I26" s="936"/>
      <c r="J26" s="936"/>
      <c r="K26" s="936"/>
      <c r="L26" s="936"/>
      <c r="M26" s="936"/>
      <c r="N26" s="936"/>
      <c r="O26" s="936"/>
      <c r="P26" s="936"/>
      <c r="Q26" s="936"/>
      <c r="R26" s="936"/>
      <c r="S26" s="936"/>
      <c r="T26" s="936"/>
      <c r="U26" s="936"/>
      <c r="V26" s="936"/>
      <c r="W26" s="937"/>
      <c r="X26" s="919"/>
      <c r="Y26" s="919"/>
      <c r="Z26" s="919"/>
      <c r="AA26" s="919"/>
      <c r="AB26" s="919"/>
    </row>
    <row r="27" spans="1:28" ht="16.5" thickBot="1">
      <c r="A27" s="938" t="s">
        <v>451</v>
      </c>
      <c r="B27" s="939"/>
      <c r="C27" s="940">
        <f>C8</f>
        <v>4</v>
      </c>
      <c r="D27" s="940">
        <f>D8</f>
        <v>4</v>
      </c>
      <c r="E27" s="940">
        <f>E8</f>
        <v>4</v>
      </c>
      <c r="F27" s="940">
        <f>F25</f>
        <v>6.4197417474689411</v>
      </c>
      <c r="G27" s="940">
        <f t="shared" ref="G27:V27" si="1">G25</f>
        <v>6.7380734931781383</v>
      </c>
      <c r="H27" s="940">
        <f t="shared" si="1"/>
        <v>6.824480568486476</v>
      </c>
      <c r="I27" s="940">
        <f t="shared" si="1"/>
        <v>6.9119957027482988</v>
      </c>
      <c r="J27" s="940">
        <f t="shared" si="1"/>
        <v>7.0006331053861528</v>
      </c>
      <c r="K27" s="940">
        <f t="shared" si="1"/>
        <v>7.0904071680400529</v>
      </c>
      <c r="L27" s="940">
        <f t="shared" si="1"/>
        <v>7.1813324669041734</v>
      </c>
      <c r="M27" s="940">
        <f t="shared" si="1"/>
        <v>7.3172187543258138</v>
      </c>
      <c r="N27" s="940">
        <f t="shared" si="1"/>
        <v>7.4556763031664657</v>
      </c>
      <c r="O27" s="940">
        <f t="shared" si="1"/>
        <v>7.5967537672337366</v>
      </c>
      <c r="P27" s="940">
        <f t="shared" si="1"/>
        <v>7.7405007209701298</v>
      </c>
      <c r="Q27" s="940">
        <f t="shared" si="1"/>
        <v>7.8869676768734571</v>
      </c>
      <c r="R27" s="940">
        <f t="shared" si="1"/>
        <v>7.9994943236858935</v>
      </c>
      <c r="S27" s="940">
        <f t="shared" si="1"/>
        <v>8.113626434950783</v>
      </c>
      <c r="T27" s="940">
        <f t="shared" si="1"/>
        <v>8.2293869164969298</v>
      </c>
      <c r="U27" s="940">
        <f t="shared" si="1"/>
        <v>8.3467990009601216</v>
      </c>
      <c r="V27" s="941">
        <f t="shared" si="1"/>
        <v>8.4658862524458307</v>
      </c>
    </row>
    <row r="28" spans="1:28" s="919" customFormat="1">
      <c r="A28" s="325"/>
      <c r="B28" s="595"/>
      <c r="C28" s="935"/>
      <c r="D28" s="935"/>
      <c r="E28" s="935"/>
      <c r="F28" s="935"/>
      <c r="G28" s="935"/>
      <c r="H28" s="935"/>
      <c r="I28" s="935"/>
      <c r="J28" s="935"/>
      <c r="K28" s="935"/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</row>
    <row r="29" spans="1:28">
      <c r="A29" s="768"/>
      <c r="B29" s="942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32"/>
      <c r="X29" s="944"/>
      <c r="Y29" s="944"/>
    </row>
    <row r="30" spans="1:28">
      <c r="A30" s="883" t="s">
        <v>452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</row>
    <row r="31" spans="1:28">
      <c r="A31" s="768" t="s">
        <v>453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</row>
    <row r="32" spans="1:28">
      <c r="A32" s="768"/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</row>
    <row r="33" spans="1:25">
      <c r="A33" s="929" t="s">
        <v>446</v>
      </c>
      <c r="B33" s="768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</row>
    <row r="34" spans="1:25">
      <c r="A34" s="768" t="s">
        <v>447</v>
      </c>
      <c r="B34" s="942"/>
      <c r="C34" s="931">
        <v>63.677659574468088</v>
      </c>
      <c r="D34" s="931">
        <v>65.100779776943028</v>
      </c>
      <c r="E34" s="931">
        <v>66.555705028853311</v>
      </c>
      <c r="F34" s="931">
        <v>68.043146135349346</v>
      </c>
      <c r="G34" s="931">
        <v>69.563829787234042</v>
      </c>
      <c r="H34" s="931">
        <v>68.90950818778056</v>
      </c>
      <c r="I34" s="931">
        <v>68.261341176951959</v>
      </c>
      <c r="J34" s="931">
        <v>67.619270864314558</v>
      </c>
      <c r="K34" s="931">
        <v>66.983239903955678</v>
      </c>
      <c r="L34" s="931">
        <v>66.353191489361706</v>
      </c>
      <c r="M34" s="931">
        <v>65.246684783649414</v>
      </c>
      <c r="N34" s="931">
        <v>64.158630198510451</v>
      </c>
      <c r="O34" s="931">
        <v>63.088720026136173</v>
      </c>
      <c r="P34" s="931">
        <v>62.036651690057468</v>
      </c>
      <c r="Q34" s="931">
        <v>61.002127659574469</v>
      </c>
      <c r="R34" s="931">
        <v>60.120860172387651</v>
      </c>
      <c r="S34" s="931">
        <v>59.25232391956542</v>
      </c>
      <c r="T34" s="931">
        <v>58.396334979278365</v>
      </c>
      <c r="U34" s="931">
        <v>57.55271208672454</v>
      </c>
      <c r="V34" s="931">
        <v>56.721276595744683</v>
      </c>
    </row>
    <row r="35" spans="1:25">
      <c r="A35" s="768"/>
      <c r="B35" s="942"/>
      <c r="C35" s="945"/>
      <c r="D35" s="945"/>
      <c r="E35" s="945"/>
      <c r="F35" s="945"/>
      <c r="G35" s="945"/>
      <c r="H35" s="945"/>
      <c r="I35" s="945"/>
      <c r="J35" s="945"/>
      <c r="K35" s="945"/>
      <c r="L35" s="945"/>
      <c r="M35" s="945"/>
      <c r="N35" s="945"/>
      <c r="O35" s="945"/>
      <c r="P35" s="945"/>
      <c r="Q35" s="945"/>
      <c r="R35" s="945"/>
      <c r="S35" s="945"/>
      <c r="T35" s="945"/>
      <c r="U35" s="945"/>
      <c r="V35" s="945"/>
    </row>
    <row r="36" spans="1:25">
      <c r="A36" s="929" t="s">
        <v>448</v>
      </c>
      <c r="B36" s="942"/>
      <c r="C36" s="945"/>
      <c r="D36" s="945"/>
      <c r="E36" s="945"/>
      <c r="F36" s="945"/>
      <c r="G36" s="945"/>
      <c r="H36" s="945"/>
      <c r="I36" s="945"/>
      <c r="J36" s="945"/>
      <c r="K36" s="945"/>
      <c r="L36" s="945"/>
      <c r="M36" s="945"/>
      <c r="N36" s="945"/>
      <c r="O36" s="945"/>
      <c r="P36" s="945"/>
      <c r="Q36" s="945"/>
      <c r="R36" s="945"/>
      <c r="S36" s="945"/>
      <c r="T36" s="945"/>
      <c r="U36" s="945"/>
      <c r="V36" s="945"/>
    </row>
    <row r="37" spans="1:25">
      <c r="A37" s="768" t="s">
        <v>449</v>
      </c>
      <c r="B37" s="942"/>
      <c r="C37" s="945">
        <f>C34*(1+'ENA_Power Price Assumption'!$C$14)^(C4-1998)</f>
        <v>69.582297913829791</v>
      </c>
      <c r="D37" s="945">
        <f>D34*(1+'ENA_Power Price Assumption'!$C$14)^(D4-1998)</f>
        <v>73.271501176819214</v>
      </c>
      <c r="E37" s="945">
        <f>E34*(1+'ENA_Power Price Assumption'!$C$14)^(E4-1998)</f>
        <v>77.156303336707765</v>
      </c>
      <c r="F37" s="945">
        <f>F34*(1+'ENA_Power Price Assumption'!$C$14)^(F4-1998)</f>
        <v>81.247074905972227</v>
      </c>
      <c r="G37" s="945">
        <f>G34*(1+'ENA_Power Price Assumption'!$C$14)^(G4-1998)</f>
        <v>85.554736234183238</v>
      </c>
      <c r="H37" s="945">
        <f>H34*(1+'ENA_Power Price Assumption'!$C$14)^(H4-1998)</f>
        <v>87.292503295415372</v>
      </c>
      <c r="I37" s="945">
        <f>I34*(1+'ENA_Power Price Assumption'!$C$14)^(I4-1998)</f>
        <v>89.065567459905907</v>
      </c>
      <c r="J37" s="945">
        <f>J34*(1+'ENA_Power Price Assumption'!$C$14)^(J4-1998)</f>
        <v>90.874645673859078</v>
      </c>
      <c r="K37" s="945">
        <f>K34*(1+'ENA_Power Price Assumption'!$C$14)^(K4-1998)</f>
        <v>92.720469445916706</v>
      </c>
      <c r="L37" s="945">
        <f>L34*(1+'ENA_Power Price Assumption'!$C$14)^(L4-1998)</f>
        <v>94.603785142946663</v>
      </c>
      <c r="M37" s="945">
        <f>M34*(1+'ENA_Power Price Assumption'!$C$14)^(M4-1998)</f>
        <v>95.816956295736318</v>
      </c>
      <c r="N37" s="945">
        <f>N34*(1+'ENA_Power Price Assumption'!$C$14)^(N4-1998)</f>
        <v>97.045684799045745</v>
      </c>
      <c r="O37" s="945">
        <f>O34*(1+'ENA_Power Price Assumption'!$C$14)^(O4-1998)</f>
        <v>98.29017015576828</v>
      </c>
      <c r="P37" s="945">
        <f>P34*(1+'ENA_Power Price Assumption'!$C$14)^(P4-1998)</f>
        <v>99.550614427163865</v>
      </c>
      <c r="Q37" s="945">
        <f>Q34*(1+'ENA_Power Price Assumption'!$C$14)^(Q4-1998)</f>
        <v>100.82722226566673</v>
      </c>
      <c r="R37" s="945">
        <f>R34*(1+'ENA_Power Price Assumption'!$C$14)^(R4-1998)</f>
        <v>102.35174002765409</v>
      </c>
      <c r="S37" s="945">
        <f>S34*(1+'ENA_Power Price Assumption'!$C$14)^(S4-1998)</f>
        <v>103.89930865184301</v>
      </c>
      <c r="T37" s="945">
        <f>T34*(1+'ENA_Power Price Assumption'!$C$14)^(T4-1998)</f>
        <v>105.47027666959309</v>
      </c>
      <c r="U37" s="945">
        <f>U34*(1+'ENA_Power Price Assumption'!$C$14)^(U4-1998)</f>
        <v>107.06499788209312</v>
      </c>
      <c r="V37" s="945">
        <f>V34*(1+'ENA_Power Price Assumption'!$C$14)^(V4-1998)</f>
        <v>108.68383144004159</v>
      </c>
    </row>
    <row r="38" spans="1:25">
      <c r="A38" s="768" t="s">
        <v>450</v>
      </c>
      <c r="B38" s="768"/>
      <c r="C38" s="935">
        <f t="shared" ref="C38:V38" si="2">C37/12</f>
        <v>5.7985248261524829</v>
      </c>
      <c r="D38" s="935">
        <f t="shared" si="2"/>
        <v>6.1059584314016009</v>
      </c>
      <c r="E38" s="935">
        <f t="shared" si="2"/>
        <v>6.4296919447256471</v>
      </c>
      <c r="F38" s="935">
        <f t="shared" si="2"/>
        <v>6.7705895754976853</v>
      </c>
      <c r="G38" s="935">
        <f t="shared" si="2"/>
        <v>7.1295613528486035</v>
      </c>
      <c r="H38" s="935">
        <f t="shared" si="2"/>
        <v>7.274375274617948</v>
      </c>
      <c r="I38" s="935">
        <f t="shared" si="2"/>
        <v>7.4221306216588259</v>
      </c>
      <c r="J38" s="935">
        <f t="shared" si="2"/>
        <v>7.5728871394882562</v>
      </c>
      <c r="K38" s="935">
        <f t="shared" si="2"/>
        <v>7.7267057871597258</v>
      </c>
      <c r="L38" s="935">
        <f t="shared" si="2"/>
        <v>7.8836487619122222</v>
      </c>
      <c r="M38" s="935">
        <f t="shared" si="2"/>
        <v>7.9847463579780262</v>
      </c>
      <c r="N38" s="935">
        <f t="shared" si="2"/>
        <v>8.0871403999204787</v>
      </c>
      <c r="O38" s="935">
        <f t="shared" si="2"/>
        <v>8.1908475129806906</v>
      </c>
      <c r="P38" s="935">
        <f t="shared" si="2"/>
        <v>8.2958845355969881</v>
      </c>
      <c r="Q38" s="935">
        <f t="shared" si="2"/>
        <v>8.4022685221388951</v>
      </c>
      <c r="R38" s="935">
        <f t="shared" si="2"/>
        <v>8.5293116689711734</v>
      </c>
      <c r="S38" s="935">
        <f t="shared" si="2"/>
        <v>8.6582757209869179</v>
      </c>
      <c r="T38" s="935">
        <f t="shared" si="2"/>
        <v>8.7891897224660909</v>
      </c>
      <c r="U38" s="935">
        <f t="shared" si="2"/>
        <v>8.9220831568410937</v>
      </c>
      <c r="V38" s="935">
        <f t="shared" si="2"/>
        <v>9.0569859533367989</v>
      </c>
    </row>
    <row r="39" spans="1:25" ht="16.5" thickBot="1">
      <c r="A39" s="768"/>
      <c r="B39" s="768"/>
      <c r="C39" s="922"/>
      <c r="D39" s="922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</row>
    <row r="40" spans="1:25" ht="16.5" thickBot="1">
      <c r="A40" s="938" t="s">
        <v>454</v>
      </c>
      <c r="B40" s="939"/>
      <c r="C40" s="940">
        <f>C8</f>
        <v>4</v>
      </c>
      <c r="D40" s="940">
        <f>D8</f>
        <v>4</v>
      </c>
      <c r="E40" s="940">
        <f>E8</f>
        <v>4</v>
      </c>
      <c r="F40" s="940">
        <f>F38</f>
        <v>6.7705895754976853</v>
      </c>
      <c r="G40" s="940">
        <f t="shared" ref="G40:V40" si="3">G38</f>
        <v>7.1295613528486035</v>
      </c>
      <c r="H40" s="940">
        <f t="shared" si="3"/>
        <v>7.274375274617948</v>
      </c>
      <c r="I40" s="940">
        <f t="shared" si="3"/>
        <v>7.4221306216588259</v>
      </c>
      <c r="J40" s="940">
        <f t="shared" si="3"/>
        <v>7.5728871394882562</v>
      </c>
      <c r="K40" s="940">
        <f t="shared" si="3"/>
        <v>7.7267057871597258</v>
      </c>
      <c r="L40" s="940">
        <f t="shared" si="3"/>
        <v>7.8836487619122222</v>
      </c>
      <c r="M40" s="940">
        <f t="shared" si="3"/>
        <v>7.9847463579780262</v>
      </c>
      <c r="N40" s="940">
        <f t="shared" si="3"/>
        <v>8.0871403999204787</v>
      </c>
      <c r="O40" s="940">
        <f t="shared" si="3"/>
        <v>8.1908475129806906</v>
      </c>
      <c r="P40" s="940">
        <f t="shared" si="3"/>
        <v>8.2958845355969881</v>
      </c>
      <c r="Q40" s="940">
        <f t="shared" si="3"/>
        <v>8.4022685221388951</v>
      </c>
      <c r="R40" s="940">
        <f t="shared" si="3"/>
        <v>8.5293116689711734</v>
      </c>
      <c r="S40" s="940">
        <f t="shared" si="3"/>
        <v>8.6582757209869179</v>
      </c>
      <c r="T40" s="940">
        <f t="shared" si="3"/>
        <v>8.7891897224660909</v>
      </c>
      <c r="U40" s="940">
        <f t="shared" si="3"/>
        <v>8.9220831568410937</v>
      </c>
      <c r="V40" s="941">
        <f t="shared" si="3"/>
        <v>9.0569859533367989</v>
      </c>
    </row>
    <row r="41" spans="1:25">
      <c r="A41" s="768"/>
      <c r="B41" s="942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</row>
    <row r="42" spans="1:25">
      <c r="A42" s="768"/>
      <c r="B42" s="942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</row>
    <row r="43" spans="1:25">
      <c r="A43" s="883" t="s">
        <v>455</v>
      </c>
      <c r="B43" s="942"/>
      <c r="C43" s="943"/>
      <c r="D43" s="943"/>
      <c r="E43" s="943"/>
      <c r="F43" s="943"/>
      <c r="G43" s="943"/>
      <c r="H43" s="943"/>
      <c r="I43" s="943"/>
      <c r="J43" s="943"/>
      <c r="K43" s="943"/>
      <c r="L43" s="943"/>
      <c r="M43" s="943"/>
      <c r="N43" s="943"/>
      <c r="O43" s="943"/>
      <c r="P43" s="943"/>
      <c r="Q43" s="943"/>
      <c r="R43" s="943"/>
      <c r="S43" s="943"/>
      <c r="T43" s="943"/>
      <c r="U43" s="943"/>
      <c r="V43" s="943"/>
      <c r="W43" s="932"/>
      <c r="X43" s="944"/>
      <c r="Y43" s="944"/>
    </row>
    <row r="44" spans="1:25">
      <c r="A44" s="768" t="s">
        <v>456</v>
      </c>
      <c r="B44" s="942"/>
      <c r="C44" s="943"/>
      <c r="D44" s="943"/>
      <c r="E44" s="943"/>
      <c r="F44" s="943"/>
      <c r="G44" s="943"/>
      <c r="H44" s="943"/>
      <c r="I44" s="943"/>
      <c r="J44" s="943"/>
      <c r="K44" s="943"/>
      <c r="L44" s="943"/>
      <c r="M44" s="943"/>
      <c r="N44" s="943"/>
      <c r="O44" s="943"/>
      <c r="P44" s="943"/>
      <c r="Q44" s="943"/>
      <c r="R44" s="943"/>
      <c r="S44" s="943"/>
      <c r="T44" s="943"/>
      <c r="U44" s="943"/>
      <c r="V44" s="943"/>
      <c r="W44" s="932"/>
      <c r="X44" s="944"/>
      <c r="Y44" s="944"/>
    </row>
    <row r="45" spans="1:25">
      <c r="A45" s="768"/>
      <c r="B45" s="942"/>
      <c r="C45" s="943"/>
      <c r="D45" s="943"/>
      <c r="E45" s="943"/>
      <c r="F45" s="943"/>
      <c r="G45" s="943"/>
      <c r="H45" s="943"/>
      <c r="I45" s="943"/>
      <c r="J45" s="943"/>
      <c r="K45" s="943"/>
      <c r="L45" s="943"/>
      <c r="M45" s="943"/>
      <c r="N45" s="943"/>
      <c r="O45" s="943"/>
      <c r="P45" s="943"/>
      <c r="Q45" s="943"/>
      <c r="R45" s="943"/>
      <c r="S45" s="943"/>
      <c r="T45" s="943"/>
      <c r="U45" s="943"/>
      <c r="V45" s="943"/>
      <c r="W45" s="932"/>
      <c r="X45" s="944"/>
      <c r="Y45" s="944"/>
    </row>
    <row r="46" spans="1:25">
      <c r="A46" s="929" t="s">
        <v>446</v>
      </c>
      <c r="B46" s="942"/>
      <c r="C46" s="943"/>
      <c r="D46" s="943"/>
      <c r="E46" s="943"/>
      <c r="F46" s="943"/>
      <c r="G46" s="943"/>
      <c r="H46" s="943"/>
      <c r="I46" s="943"/>
      <c r="J46" s="943"/>
      <c r="K46" s="943"/>
      <c r="L46" s="943"/>
      <c r="M46" s="943"/>
      <c r="N46" s="943"/>
      <c r="O46" s="943"/>
      <c r="P46" s="943"/>
      <c r="Q46" s="943"/>
      <c r="R46" s="943"/>
      <c r="S46" s="943"/>
      <c r="T46" s="943"/>
      <c r="U46" s="943"/>
      <c r="V46" s="943"/>
      <c r="W46" s="932"/>
      <c r="X46" s="944"/>
      <c r="Y46" s="944"/>
    </row>
    <row r="47" spans="1:25">
      <c r="A47" s="768" t="s">
        <v>447</v>
      </c>
      <c r="B47" s="942"/>
      <c r="C47" s="931">
        <v>64.11023686899189</v>
      </c>
      <c r="D47" s="931">
        <v>65.16178520495788</v>
      </c>
      <c r="E47" s="931">
        <v>66.230581237342975</v>
      </c>
      <c r="F47" s="931">
        <v>67.31690786615431</v>
      </c>
      <c r="G47" s="931">
        <v>68.421052631578945</v>
      </c>
      <c r="H47" s="931">
        <v>67.767228351637073</v>
      </c>
      <c r="I47" s="931">
        <v>67.119651946765785</v>
      </c>
      <c r="J47" s="931">
        <v>66.478263712937448</v>
      </c>
      <c r="K47" s="931">
        <v>65.843004516649714</v>
      </c>
      <c r="L47" s="931">
        <v>65.213815789473685</v>
      </c>
      <c r="M47" s="931">
        <v>64.559364113585431</v>
      </c>
      <c r="N47" s="931">
        <v>63.911480171710068</v>
      </c>
      <c r="O47" s="931">
        <v>63.270098053511326</v>
      </c>
      <c r="P47" s="931">
        <v>62.63515251009445</v>
      </c>
      <c r="Q47" s="931">
        <v>62.006578947368418</v>
      </c>
      <c r="R47" s="931">
        <v>61.12669629598323</v>
      </c>
      <c r="S47" s="931">
        <v>60.259299311334551</v>
      </c>
      <c r="T47" s="931">
        <v>59.404210819939543</v>
      </c>
      <c r="U47" s="931">
        <v>58.561256162433608</v>
      </c>
      <c r="V47" s="931">
        <v>57.73026315789474</v>
      </c>
      <c r="Y47" s="944"/>
    </row>
    <row r="48" spans="1:25">
      <c r="A48" s="852"/>
      <c r="B48" s="768"/>
      <c r="C48" s="931"/>
      <c r="D48" s="931"/>
      <c r="E48" s="931"/>
      <c r="F48" s="931"/>
      <c r="G48" s="931"/>
      <c r="H48" s="931"/>
      <c r="I48" s="931"/>
      <c r="J48" s="931"/>
      <c r="K48" s="931"/>
      <c r="L48" s="931"/>
      <c r="M48" s="931"/>
      <c r="N48" s="931"/>
      <c r="O48" s="931"/>
      <c r="P48" s="931"/>
      <c r="Q48" s="931"/>
      <c r="R48" s="931"/>
      <c r="S48" s="931"/>
      <c r="T48" s="931"/>
      <c r="U48" s="931"/>
      <c r="V48" s="931"/>
      <c r="Y48" s="944"/>
    </row>
    <row r="49" spans="1:25">
      <c r="A49" s="929" t="s">
        <v>448</v>
      </c>
      <c r="B49" s="768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Y49" s="944"/>
    </row>
    <row r="50" spans="1:25">
      <c r="A50" s="768" t="s">
        <v>449</v>
      </c>
      <c r="B50" s="768"/>
      <c r="C50" s="931">
        <f>C47*(1+'ENA_Power Price Assumption'!$C$14)^(C4-1998)</f>
        <v>70.054986803142896</v>
      </c>
      <c r="D50" s="931">
        <f>D47*(1+'ENA_Power Price Assumption'!$C$14)^(D4-1998)</f>
        <v>73.340163323507738</v>
      </c>
      <c r="E50" s="931">
        <f>E47*(1+'ENA_Power Price Assumption'!$C$14)^(E4-1998)</f>
        <v>76.779395754271718</v>
      </c>
      <c r="F50" s="931">
        <f>F47*(1+'ENA_Power Price Assumption'!$C$14)^(F4-1998)</f>
        <v>80.379908432812655</v>
      </c>
      <c r="G50" s="931">
        <f>G47*(1+'ENA_Power Price Assumption'!$C$14)^(G4-1998)</f>
        <v>84.149264476438475</v>
      </c>
      <c r="H50" s="931">
        <f>H47*(1+'ENA_Power Price Assumption'!$C$14)^(H4-1998)</f>
        <v>85.845497374416453</v>
      </c>
      <c r="I50" s="931">
        <f>I47*(1+'ENA_Power Price Assumption'!$C$14)^(I4-1998)</f>
        <v>87.575921968092345</v>
      </c>
      <c r="J50" s="931">
        <f>J47*(1+'ENA_Power Price Assumption'!$C$14)^(J4-1998)</f>
        <v>89.341227474174616</v>
      </c>
      <c r="K50" s="931">
        <f>K47*(1+'ENA_Power Price Assumption'!$C$14)^(K4-1998)</f>
        <v>91.142117002209176</v>
      </c>
      <c r="L50" s="931">
        <f>L47*(1+'ENA_Power Price Assumption'!$C$14)^(L4-1998)</f>
        <v>92.979307834623327</v>
      </c>
      <c r="M50" s="931">
        <f>M47*(1+'ENA_Power Price Assumption'!$C$14)^(M4-1998)</f>
        <v>94.807602719795241</v>
      </c>
      <c r="N50" s="931">
        <f>N47*(1+'ENA_Power Price Assumption'!$C$14)^(N4-1998)</f>
        <v>96.67184820800982</v>
      </c>
      <c r="O50" s="931">
        <f>O47*(1+'ENA_Power Price Assumption'!$C$14)^(O4-1998)</f>
        <v>98.572751212506091</v>
      </c>
      <c r="P50" s="931">
        <f>P47*(1+'ENA_Power Price Assumption'!$C$14)^(P4-1998)</f>
        <v>100.51103254688311</v>
      </c>
      <c r="Q50" s="931">
        <f>Q47*(1+'ENA_Power Price Assumption'!$C$14)^(Q4-1998)</f>
        <v>102.48742719842927</v>
      </c>
      <c r="R50" s="931">
        <f>R47*(1+'ENA_Power Price Assumption'!$C$14)^(R4-1998)</f>
        <v>104.06410869865259</v>
      </c>
      <c r="S50" s="931">
        <f>S47*(1+'ENA_Power Price Assumption'!$C$14)^(S4-1998)</f>
        <v>105.66504609660987</v>
      </c>
      <c r="T50" s="931">
        <f>T47*(1+'ENA_Power Price Assumption'!$C$14)^(T4-1998)</f>
        <v>107.29061254856313</v>
      </c>
      <c r="U50" s="931">
        <f>U47*(1+'ENA_Power Price Assumption'!$C$14)^(U4-1998)</f>
        <v>108.94118695146447</v>
      </c>
      <c r="V50" s="931">
        <f>V47*(1+'ENA_Power Price Assumption'!$C$14)^(V4-1998)</f>
        <v>110.61715403127204</v>
      </c>
    </row>
    <row r="51" spans="1:25">
      <c r="A51" s="768" t="s">
        <v>450</v>
      </c>
      <c r="B51" s="768"/>
      <c r="C51" s="935">
        <f t="shared" ref="C51:V51" si="4">C50/12</f>
        <v>5.8379155669285749</v>
      </c>
      <c r="D51" s="935">
        <f t="shared" si="4"/>
        <v>6.1116802769589782</v>
      </c>
      <c r="E51" s="935">
        <f t="shared" si="4"/>
        <v>6.3982829795226435</v>
      </c>
      <c r="F51" s="935">
        <f t="shared" si="4"/>
        <v>6.6983257027343877</v>
      </c>
      <c r="G51" s="935">
        <f t="shared" si="4"/>
        <v>7.0124387063698732</v>
      </c>
      <c r="H51" s="935">
        <f t="shared" si="4"/>
        <v>7.1537914478680378</v>
      </c>
      <c r="I51" s="935">
        <f t="shared" si="4"/>
        <v>7.2979934973410288</v>
      </c>
      <c r="J51" s="935">
        <f t="shared" si="4"/>
        <v>7.4451022895145513</v>
      </c>
      <c r="K51" s="935">
        <f t="shared" si="4"/>
        <v>7.5951764168507649</v>
      </c>
      <c r="L51" s="935">
        <f t="shared" si="4"/>
        <v>7.748275652885277</v>
      </c>
      <c r="M51" s="935">
        <f t="shared" si="4"/>
        <v>7.9006335599829365</v>
      </c>
      <c r="N51" s="935">
        <f t="shared" si="4"/>
        <v>8.0559873506674844</v>
      </c>
      <c r="O51" s="935">
        <f t="shared" si="4"/>
        <v>8.2143959343755082</v>
      </c>
      <c r="P51" s="935">
        <f t="shared" si="4"/>
        <v>8.3759193789069268</v>
      </c>
      <c r="Q51" s="935">
        <f t="shared" si="4"/>
        <v>8.54061893320244</v>
      </c>
      <c r="R51" s="935">
        <f t="shared" si="4"/>
        <v>8.6720090582210485</v>
      </c>
      <c r="S51" s="935">
        <f t="shared" si="4"/>
        <v>8.8054205080508225</v>
      </c>
      <c r="T51" s="935">
        <f t="shared" si="4"/>
        <v>8.9408843790469277</v>
      </c>
      <c r="U51" s="935">
        <f t="shared" si="4"/>
        <v>9.0784322459553728</v>
      </c>
      <c r="V51" s="935">
        <f t="shared" si="4"/>
        <v>9.2180961692726697</v>
      </c>
    </row>
    <row r="52" spans="1:25" ht="16.5" thickBot="1">
      <c r="A52" s="768"/>
      <c r="B52" s="768"/>
      <c r="C52" s="922"/>
      <c r="D52" s="922"/>
      <c r="E52" s="946"/>
      <c r="F52" s="946"/>
      <c r="G52" s="946"/>
      <c r="H52" s="946"/>
      <c r="I52" s="946"/>
      <c r="J52" s="946"/>
      <c r="K52" s="946"/>
      <c r="L52" s="946"/>
      <c r="M52" s="946"/>
      <c r="N52" s="946"/>
      <c r="O52" s="946"/>
      <c r="P52" s="946"/>
      <c r="Q52" s="946"/>
      <c r="R52" s="946"/>
      <c r="S52" s="946"/>
      <c r="T52" s="946"/>
      <c r="U52" s="946"/>
      <c r="V52" s="946"/>
    </row>
    <row r="53" spans="1:25" ht="16.5" thickBot="1">
      <c r="A53" s="938" t="s">
        <v>457</v>
      </c>
      <c r="B53" s="939"/>
      <c r="C53" s="940">
        <v>4</v>
      </c>
      <c r="D53" s="940">
        <v>4</v>
      </c>
      <c r="E53" s="940">
        <v>4</v>
      </c>
      <c r="F53" s="940">
        <f>F51</f>
        <v>6.6983257027343877</v>
      </c>
      <c r="G53" s="940">
        <f t="shared" ref="G53:V53" si="5">G51</f>
        <v>7.0124387063698732</v>
      </c>
      <c r="H53" s="940">
        <f t="shared" si="5"/>
        <v>7.1537914478680378</v>
      </c>
      <c r="I53" s="940">
        <f t="shared" si="5"/>
        <v>7.2979934973410288</v>
      </c>
      <c r="J53" s="940">
        <f t="shared" si="5"/>
        <v>7.4451022895145513</v>
      </c>
      <c r="K53" s="940">
        <f t="shared" si="5"/>
        <v>7.5951764168507649</v>
      </c>
      <c r="L53" s="940">
        <f t="shared" si="5"/>
        <v>7.748275652885277</v>
      </c>
      <c r="M53" s="940">
        <f t="shared" si="5"/>
        <v>7.9006335599829365</v>
      </c>
      <c r="N53" s="940">
        <f t="shared" si="5"/>
        <v>8.0559873506674844</v>
      </c>
      <c r="O53" s="940">
        <f t="shared" si="5"/>
        <v>8.2143959343755082</v>
      </c>
      <c r="P53" s="940">
        <f t="shared" si="5"/>
        <v>8.3759193789069268</v>
      </c>
      <c r="Q53" s="940">
        <f t="shared" si="5"/>
        <v>8.54061893320244</v>
      </c>
      <c r="R53" s="940">
        <f t="shared" si="5"/>
        <v>8.6720090582210485</v>
      </c>
      <c r="S53" s="940">
        <f t="shared" si="5"/>
        <v>8.8054205080508225</v>
      </c>
      <c r="T53" s="940">
        <f t="shared" si="5"/>
        <v>8.9408843790469277</v>
      </c>
      <c r="U53" s="940">
        <f t="shared" si="5"/>
        <v>9.0784322459553728</v>
      </c>
      <c r="V53" s="941">
        <f t="shared" si="5"/>
        <v>9.2180961692726697</v>
      </c>
    </row>
    <row r="54" spans="1:25">
      <c r="A54" s="768"/>
      <c r="B54" s="942"/>
      <c r="C54" s="943"/>
      <c r="D54" s="943"/>
      <c r="E54" s="943"/>
      <c r="F54" s="943"/>
      <c r="G54" s="943"/>
      <c r="H54" s="943"/>
      <c r="I54" s="943"/>
      <c r="J54" s="943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</row>
    <row r="55" spans="1:25">
      <c r="A55" s="768"/>
      <c r="B55" s="768"/>
      <c r="C55" s="768"/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</row>
    <row r="56" spans="1:25">
      <c r="A56" s="768"/>
      <c r="B56" s="768"/>
      <c r="C56" s="768"/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</row>
    <row r="57" spans="1:25">
      <c r="A57" s="768"/>
      <c r="B57" s="768"/>
      <c r="C57" s="768"/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</row>
    <row r="58" spans="1:25">
      <c r="A58" s="768"/>
      <c r="B58" s="768"/>
      <c r="C58" s="768"/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</row>
    <row r="59" spans="1:25">
      <c r="A59" s="768"/>
      <c r="B59" s="768"/>
      <c r="C59" s="768"/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</row>
    <row r="60" spans="1:25">
      <c r="A60" s="768"/>
      <c r="B60" s="942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</row>
    <row r="61" spans="1:25">
      <c r="A61" s="768"/>
      <c r="B61" s="942"/>
      <c r="C61" s="948"/>
      <c r="D61" s="948"/>
      <c r="E61" s="948"/>
      <c r="F61" s="948"/>
      <c r="G61" s="948"/>
      <c r="H61" s="948"/>
      <c r="I61" s="948"/>
      <c r="J61" s="948"/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</row>
    <row r="62" spans="1:25">
      <c r="A62" s="768"/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</row>
    <row r="63" spans="1:25">
      <c r="A63" s="768"/>
      <c r="B63" s="768"/>
      <c r="C63" s="768"/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</row>
    <row r="64" spans="1:25">
      <c r="A64" s="768"/>
      <c r="B64" s="768"/>
      <c r="C64" s="768"/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</row>
    <row r="65" spans="1:22">
      <c r="A65" s="768"/>
      <c r="B65" s="768"/>
      <c r="C65" s="768"/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</row>
    <row r="66" spans="1:22">
      <c r="A66" s="768"/>
      <c r="B66" s="768"/>
      <c r="C66" s="768"/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</row>
    <row r="67" spans="1:22">
      <c r="A67" s="768"/>
      <c r="B67" s="768"/>
      <c r="C67" s="768"/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</row>
    <row r="68" spans="1:22">
      <c r="A68" s="768"/>
      <c r="B68" s="768"/>
      <c r="C68" s="768"/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</row>
    <row r="69" spans="1:22">
      <c r="A69" s="768"/>
      <c r="B69" s="768"/>
      <c r="C69" s="768"/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</row>
    <row r="70" spans="1:22">
      <c r="A70" s="768"/>
      <c r="B70" s="768"/>
      <c r="C70" s="768"/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</row>
    <row r="71" spans="1:22">
      <c r="A71" s="768"/>
      <c r="B71" s="768"/>
    </row>
    <row r="72" spans="1:22">
      <c r="A72" s="768"/>
      <c r="B72" s="768"/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2:AS48"/>
  <sheetViews>
    <sheetView zoomScale="75" zoomScaleNormal="75" workbookViewId="0"/>
  </sheetViews>
  <sheetFormatPr defaultRowHeight="12.75"/>
  <cols>
    <col min="1" max="1" width="33.7109375" style="271" customWidth="1"/>
    <col min="2" max="21" width="12.5703125" style="271" customWidth="1"/>
    <col min="22" max="22" width="12.5703125" style="8" customWidth="1"/>
    <col min="23" max="23" width="11.140625" style="8" bestFit="1" customWidth="1"/>
    <col min="24" max="24" width="11.5703125" style="271" bestFit="1" customWidth="1"/>
    <col min="25" max="16384" width="9.140625" style="271"/>
  </cols>
  <sheetData>
    <row r="2" spans="1:45" ht="18.75">
      <c r="A2" s="270" t="s">
        <v>690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11"/>
      <c r="Y5" s="949">
        <f>SUM(Z5:AS5)-SUM(Z6:AS6)</f>
        <v>0</v>
      </c>
      <c r="Z5" s="950">
        <f>B11+B12</f>
        <v>11141.219198871495</v>
      </c>
      <c r="AA5" s="950">
        <f>C11+C12</f>
        <v>11475.455774837641</v>
      </c>
      <c r="AB5" s="950">
        <f>D11+D12</f>
        <v>11819.719448082771</v>
      </c>
      <c r="AC5" s="950">
        <f t="shared" ref="AC5:AS5" si="1">E17</f>
        <v>10120.257453275251</v>
      </c>
      <c r="AD5" s="950">
        <f t="shared" si="1"/>
        <v>10423.865176873511</v>
      </c>
      <c r="AE5" s="950">
        <f t="shared" si="1"/>
        <v>10736.581132179715</v>
      </c>
      <c r="AF5" s="950">
        <f t="shared" si="1"/>
        <v>11058.678566145109</v>
      </c>
      <c r="AG5" s="950">
        <f t="shared" si="1"/>
        <v>11390.438923129459</v>
      </c>
      <c r="AH5" s="950">
        <f t="shared" si="1"/>
        <v>11732.152090823341</v>
      </c>
      <c r="AI5" s="950">
        <f t="shared" si="1"/>
        <v>12084.116653548044</v>
      </c>
      <c r="AJ5" s="950">
        <f t="shared" si="1"/>
        <v>12446.640153154485</v>
      </c>
      <c r="AK5" s="950">
        <f t="shared" si="1"/>
        <v>12820.039357749118</v>
      </c>
      <c r="AL5" s="950">
        <f t="shared" si="1"/>
        <v>13204.64053848159</v>
      </c>
      <c r="AM5" s="950">
        <f t="shared" si="1"/>
        <v>13600.779754636038</v>
      </c>
      <c r="AN5" s="950">
        <f t="shared" si="1"/>
        <v>14008.803147275121</v>
      </c>
      <c r="AO5" s="950">
        <f t="shared" si="1"/>
        <v>14429.067241693374</v>
      </c>
      <c r="AP5" s="950">
        <f t="shared" si="1"/>
        <v>14861.939258944176</v>
      </c>
      <c r="AQ5" s="950">
        <f t="shared" si="1"/>
        <v>15307.797436712499</v>
      </c>
      <c r="AR5" s="950">
        <f t="shared" si="1"/>
        <v>15767.031359813875</v>
      </c>
      <c r="AS5" s="950">
        <f t="shared" si="1"/>
        <v>16240.042300608293</v>
      </c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Y6" s="949">
        <v>0</v>
      </c>
      <c r="Z6" s="951">
        <f>B24+B25</f>
        <v>11141.219198871495</v>
      </c>
      <c r="AA6" s="951">
        <f>C24+C25</f>
        <v>11475.455774837641</v>
      </c>
      <c r="AB6" s="951">
        <f>D24+D25</f>
        <v>11819.719448082771</v>
      </c>
      <c r="AC6" s="951">
        <f t="shared" ref="AC6:AS6" si="2">E24+1/3*E25</f>
        <v>10120.257453275251</v>
      </c>
      <c r="AD6" s="951">
        <f t="shared" si="2"/>
        <v>10423.865176873511</v>
      </c>
      <c r="AE6" s="951">
        <f t="shared" si="2"/>
        <v>10736.581132179715</v>
      </c>
      <c r="AF6" s="951">
        <f t="shared" si="2"/>
        <v>11058.678566145109</v>
      </c>
      <c r="AG6" s="951">
        <f t="shared" si="2"/>
        <v>11390.438923129459</v>
      </c>
      <c r="AH6" s="951">
        <f t="shared" si="2"/>
        <v>11732.152090823341</v>
      </c>
      <c r="AI6" s="951">
        <f t="shared" si="2"/>
        <v>12084.116653548044</v>
      </c>
      <c r="AJ6" s="951">
        <f t="shared" si="2"/>
        <v>12446.640153154483</v>
      </c>
      <c r="AK6" s="951">
        <f t="shared" si="2"/>
        <v>12820.039357749116</v>
      </c>
      <c r="AL6" s="951">
        <f t="shared" si="2"/>
        <v>13204.640538481592</v>
      </c>
      <c r="AM6" s="951">
        <f t="shared" si="2"/>
        <v>13600.779754636038</v>
      </c>
      <c r="AN6" s="951">
        <f t="shared" si="2"/>
        <v>14008.803147275125</v>
      </c>
      <c r="AO6" s="951">
        <f t="shared" si="2"/>
        <v>14429.067241693374</v>
      </c>
      <c r="AP6" s="951">
        <f t="shared" si="2"/>
        <v>14861.939258944176</v>
      </c>
      <c r="AQ6" s="951">
        <f t="shared" si="2"/>
        <v>15307.797436712501</v>
      </c>
      <c r="AR6" s="951">
        <f t="shared" si="2"/>
        <v>15767.031359813875</v>
      </c>
      <c r="AS6" s="951">
        <f t="shared" si="2"/>
        <v>16240.042300608293</v>
      </c>
    </row>
    <row r="7" spans="1:45">
      <c r="A7" s="3"/>
      <c r="B7" s="952"/>
      <c r="C7" s="952"/>
      <c r="D7" s="952"/>
      <c r="E7" s="952"/>
      <c r="F7" s="952"/>
      <c r="G7" s="952"/>
      <c r="H7" s="952"/>
      <c r="I7" s="952"/>
      <c r="J7" s="952"/>
      <c r="K7" s="952"/>
      <c r="L7" s="952"/>
      <c r="M7" s="952"/>
      <c r="N7" s="952"/>
      <c r="O7" s="952"/>
      <c r="P7" s="952"/>
      <c r="Q7" s="952"/>
      <c r="R7" s="952"/>
      <c r="S7" s="952"/>
      <c r="T7" s="952"/>
      <c r="U7" s="952"/>
    </row>
    <row r="8" spans="1:45">
      <c r="A8" s="1" t="s">
        <v>6</v>
      </c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55"/>
      <c r="W8" s="55"/>
    </row>
    <row r="9" spans="1:45">
      <c r="A9" s="101"/>
      <c r="B9" s="283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55"/>
      <c r="W9" s="55"/>
    </row>
    <row r="10" spans="1:45">
      <c r="A10" s="4" t="s">
        <v>8</v>
      </c>
      <c r="B10" s="283">
        <f>SUM(Caledonia!B9,'New Albany'!B9,Wheatland!B9,Wilton!B9,Brownsville!B9,Gleason!B9)</f>
        <v>138384</v>
      </c>
      <c r="C10" s="283">
        <f>SUM(Caledonia!C9,'New Albany'!C9,Wheatland!C9,Wilton!C9,Brownsville!C9,Gleason!C9)</f>
        <v>138384</v>
      </c>
      <c r="D10" s="283">
        <f>SUM(Caledonia!D9,'New Albany'!D9,Wheatland!D9,Wilton!D9,Brownsville!D9,Gleason!D9)</f>
        <v>138384</v>
      </c>
      <c r="E10" s="283">
        <f>SUM(Caledonia!E9,'New Albany'!E9,Wheatland!E9,Wilton!E9,Brownsville!E9,Gleason!E9)</f>
        <v>0</v>
      </c>
      <c r="F10" s="283">
        <f>SUM(Caledonia!F9,'New Albany'!F9,Wheatland!F9,Wilton!F9,Brownsville!F9,Gleason!F9)</f>
        <v>0</v>
      </c>
      <c r="G10" s="283">
        <f>SUM(Caledonia!G9,'New Albany'!G9,Wheatland!G9,Wilton!G9,Brownsville!G9,Gleason!G9)</f>
        <v>0</v>
      </c>
      <c r="H10" s="283">
        <f>SUM(Caledonia!H9,'New Albany'!H9,Wheatland!H9,Wilton!H9,Brownsville!H9,Gleason!H9)</f>
        <v>0</v>
      </c>
      <c r="I10" s="283">
        <f>SUM(Caledonia!I9,'New Albany'!I9,Wheatland!I9,Wilton!I9,Brownsville!I9,Gleason!I9)</f>
        <v>0</v>
      </c>
      <c r="J10" s="283">
        <f>SUM(Caledonia!J9,'New Albany'!J9,Wheatland!J9,Wilton!J9,Brownsville!J9,Gleason!J9)</f>
        <v>0</v>
      </c>
      <c r="K10" s="283">
        <f>SUM(Caledonia!K9,'New Albany'!K9,Wheatland!K9,Wilton!K9,Brownsville!K9,Gleason!K9)</f>
        <v>0</v>
      </c>
      <c r="L10" s="283">
        <f>SUM(Caledonia!L9,'New Albany'!L9,Wheatland!L9,Wilton!L9,Brownsville!L9,Gleason!L9)</f>
        <v>0</v>
      </c>
      <c r="M10" s="283">
        <f>SUM(Caledonia!M9,'New Albany'!M9,Wheatland!M9,Wilton!M9,Brownsville!M9,Gleason!M9)</f>
        <v>0</v>
      </c>
      <c r="N10" s="283">
        <f>SUM(Caledonia!N9,'New Albany'!N9,Wheatland!N9,Wilton!N9,Brownsville!N9,Gleason!N9)</f>
        <v>0</v>
      </c>
      <c r="O10" s="283">
        <f>SUM(Caledonia!O9,'New Albany'!O9,Wheatland!O9,Wilton!O9,Brownsville!O9,Gleason!O9)</f>
        <v>0</v>
      </c>
      <c r="P10" s="283">
        <f>SUM(Caledonia!P9,'New Albany'!P9,Wheatland!P9,Wilton!P9,Brownsville!P9,Gleason!P9)</f>
        <v>0</v>
      </c>
      <c r="Q10" s="283">
        <f>SUM(Caledonia!Q9,'New Albany'!Q9,Wheatland!Q9,Wilton!Q9,Brownsville!Q9,Gleason!Q9)</f>
        <v>0</v>
      </c>
      <c r="R10" s="283">
        <f>SUM(Caledonia!R9,'New Albany'!R9,Wheatland!R9,Wilton!R9,Brownsville!R9,Gleason!R9)</f>
        <v>0</v>
      </c>
      <c r="S10" s="283">
        <f>SUM(Caledonia!S9,'New Albany'!S9,Wheatland!S9,Wilton!S9,Brownsville!S9,Gleason!S9)</f>
        <v>0</v>
      </c>
      <c r="T10" s="283">
        <f>SUM(Caledonia!T9,'New Albany'!T9,Wheatland!T9,Wilton!T9,Brownsville!T9,Gleason!T9)</f>
        <v>0</v>
      </c>
      <c r="U10" s="283">
        <f>SUM(Caledonia!U9,'New Albany'!U9,Wheatland!U9,Wilton!U9,Brownsville!U9,Gleason!U9)</f>
        <v>0</v>
      </c>
      <c r="W10" s="953">
        <f>SUM(B10:U10)</f>
        <v>415152</v>
      </c>
      <c r="X10" s="954">
        <f>SUM(Caledonia!W9,'New Albany'!W9,Wheatland!W9,Wilton!W9,Brownsville!W9,Gleason!W9)</f>
        <v>415152</v>
      </c>
      <c r="Y10" s="954">
        <f>W10-X10</f>
        <v>0</v>
      </c>
    </row>
    <row r="11" spans="1:45">
      <c r="A11" s="4" t="s">
        <v>9</v>
      </c>
      <c r="B11" s="283">
        <f>SUM(Caledonia!B10,'New Albany'!B10,Wheatland!B10,Wilton!B10,Brownsville!B10,Gleason!B10)</f>
        <v>8321.5941988714949</v>
      </c>
      <c r="C11" s="283">
        <f>SUM(Caledonia!C10,'New Albany'!C10,Wheatland!C10,Wilton!C10,Brownsville!C10,Gleason!C10)</f>
        <v>8571.2420248376402</v>
      </c>
      <c r="D11" s="283">
        <f>SUM(Caledonia!D10,'New Albany'!D10,Wheatland!D10,Wilton!D10,Brownsville!D10,Gleason!D10)</f>
        <v>8828.3792855827705</v>
      </c>
      <c r="E11" s="283">
        <f>SUM(Caledonia!E10,'New Albany'!E10,Wheatland!E10,Wilton!E10,Brownsville!E10,Gleason!E10)</f>
        <v>0</v>
      </c>
      <c r="F11" s="283">
        <f>SUM(Caledonia!F10,'New Albany'!F10,Wheatland!F10,Wilton!F10,Brownsville!F10,Gleason!F10)</f>
        <v>0</v>
      </c>
      <c r="G11" s="283">
        <f>SUM(Caledonia!G10,'New Albany'!G10,Wheatland!G10,Wilton!G10,Brownsville!G10,Gleason!G10)</f>
        <v>0</v>
      </c>
      <c r="H11" s="283">
        <f>SUM(Caledonia!H10,'New Albany'!H10,Wheatland!H10,Wilton!H10,Brownsville!H10,Gleason!H10)</f>
        <v>0</v>
      </c>
      <c r="I11" s="283">
        <f>SUM(Caledonia!I10,'New Albany'!I10,Wheatland!I10,Wilton!I10,Brownsville!I10,Gleason!I10)</f>
        <v>0</v>
      </c>
      <c r="J11" s="283">
        <f>SUM(Caledonia!J10,'New Albany'!J10,Wheatland!J10,Wilton!J10,Brownsville!J10,Gleason!J10)</f>
        <v>0</v>
      </c>
      <c r="K11" s="283">
        <f>SUM(Caledonia!K10,'New Albany'!K10,Wheatland!K10,Wilton!K10,Brownsville!K10,Gleason!K10)</f>
        <v>0</v>
      </c>
      <c r="L11" s="283">
        <f>SUM(Caledonia!L10,'New Albany'!L10,Wheatland!L10,Wilton!L10,Brownsville!L10,Gleason!L10)</f>
        <v>0</v>
      </c>
      <c r="M11" s="283">
        <f>SUM(Caledonia!M10,'New Albany'!M10,Wheatland!M10,Wilton!M10,Brownsville!M10,Gleason!M10)</f>
        <v>0</v>
      </c>
      <c r="N11" s="283">
        <f>SUM(Caledonia!N10,'New Albany'!N10,Wheatland!N10,Wilton!N10,Brownsville!N10,Gleason!N10)</f>
        <v>0</v>
      </c>
      <c r="O11" s="283">
        <f>SUM(Caledonia!O10,'New Albany'!O10,Wheatland!O10,Wilton!O10,Brownsville!O10,Gleason!O10)</f>
        <v>0</v>
      </c>
      <c r="P11" s="283">
        <f>SUM(Caledonia!P10,'New Albany'!P10,Wheatland!P10,Wilton!P10,Brownsville!P10,Gleason!P10)</f>
        <v>0</v>
      </c>
      <c r="Q11" s="283">
        <f>SUM(Caledonia!Q10,'New Albany'!Q10,Wheatland!Q10,Wilton!Q10,Brownsville!Q10,Gleason!Q10)</f>
        <v>0</v>
      </c>
      <c r="R11" s="283">
        <f>SUM(Caledonia!R10,'New Albany'!R10,Wheatland!R10,Wilton!R10,Brownsville!R10,Gleason!R10)</f>
        <v>0</v>
      </c>
      <c r="S11" s="283">
        <f>SUM(Caledonia!S10,'New Albany'!S10,Wheatland!S10,Wilton!S10,Brownsville!S10,Gleason!S10)</f>
        <v>0</v>
      </c>
      <c r="T11" s="283">
        <f>SUM(Caledonia!T10,'New Albany'!T10,Wheatland!T10,Wilton!T10,Brownsville!T10,Gleason!T10)</f>
        <v>0</v>
      </c>
      <c r="U11" s="283">
        <f>SUM(Caledonia!U10,'New Albany'!U10,Wheatland!U10,Wilton!U10,Brownsville!U10,Gleason!U10)</f>
        <v>0</v>
      </c>
      <c r="W11" s="953">
        <f>SUM(B11:U11)</f>
        <v>25721.215509291906</v>
      </c>
      <c r="X11" s="954">
        <f>SUM(Caledonia!W10,'New Albany'!W10,Wheatland!W10,Wilton!W10,Brownsville!W10,Gleason!W10)</f>
        <v>25721.215509291909</v>
      </c>
      <c r="Y11" s="954">
        <f>W11-X11</f>
        <v>0</v>
      </c>
    </row>
    <row r="12" spans="1:45">
      <c r="A12" s="4" t="s">
        <v>458</v>
      </c>
      <c r="B12" s="283">
        <f>SUM(Caledonia!B11,'New Albany'!B11,Wheatland!B11,Wilton!B11,Brownsville!B11,Gleason!B11)</f>
        <v>2819.625</v>
      </c>
      <c r="C12" s="283">
        <f>SUM(Caledonia!C11,'New Albany'!C11,Wheatland!C11,Wilton!C11,Brownsville!C11,Gleason!C11)</f>
        <v>2904.2137500000003</v>
      </c>
      <c r="D12" s="283">
        <f>SUM(Caledonia!D11,'New Albany'!D11,Wheatland!D11,Wilton!D11,Brownsville!D11,Gleason!D11)</f>
        <v>2991.3401625000001</v>
      </c>
      <c r="E12" s="283">
        <f>SUM(Caledonia!E11,'New Albany'!E11,Wheatland!E11,Wilton!E11,Brownsville!E11,Gleason!E11)</f>
        <v>0</v>
      </c>
      <c r="F12" s="283">
        <f>SUM(Caledonia!F11,'New Albany'!F11,Wheatland!F11,Wilton!F11,Brownsville!F11,Gleason!F11)</f>
        <v>0</v>
      </c>
      <c r="G12" s="283">
        <f>SUM(Caledonia!G11,'New Albany'!G11,Wheatland!G11,Wilton!G11,Brownsville!G11,Gleason!G11)</f>
        <v>0</v>
      </c>
      <c r="H12" s="283">
        <f>SUM(Caledonia!H11,'New Albany'!H11,Wheatland!H11,Wilton!H11,Brownsville!H11,Gleason!H11)</f>
        <v>0</v>
      </c>
      <c r="I12" s="283">
        <f>SUM(Caledonia!I11,'New Albany'!I11,Wheatland!I11,Wilton!I11,Brownsville!I11,Gleason!I11)</f>
        <v>0</v>
      </c>
      <c r="J12" s="283">
        <f>SUM(Caledonia!J11,'New Albany'!J11,Wheatland!J11,Wilton!J11,Brownsville!J11,Gleason!J11)</f>
        <v>0</v>
      </c>
      <c r="K12" s="283">
        <f>SUM(Caledonia!K11,'New Albany'!K11,Wheatland!K11,Wilton!K11,Brownsville!K11,Gleason!K11)</f>
        <v>0</v>
      </c>
      <c r="L12" s="283">
        <f>SUM(Caledonia!L11,'New Albany'!L11,Wheatland!L11,Wilton!L11,Brownsville!L11,Gleason!L11)</f>
        <v>0</v>
      </c>
      <c r="M12" s="283">
        <f>SUM(Caledonia!M11,'New Albany'!M11,Wheatland!M11,Wilton!M11,Brownsville!M11,Gleason!M11)</f>
        <v>0</v>
      </c>
      <c r="N12" s="283">
        <f>SUM(Caledonia!N11,'New Albany'!N11,Wheatland!N11,Wilton!N11,Brownsville!N11,Gleason!N11)</f>
        <v>0</v>
      </c>
      <c r="O12" s="283">
        <f>SUM(Caledonia!O11,'New Albany'!O11,Wheatland!O11,Wilton!O11,Brownsville!O11,Gleason!O11)</f>
        <v>0</v>
      </c>
      <c r="P12" s="283">
        <f>SUM(Caledonia!P11,'New Albany'!P11,Wheatland!P11,Wilton!P11,Brownsville!P11,Gleason!P11)</f>
        <v>0</v>
      </c>
      <c r="Q12" s="283">
        <f>SUM(Caledonia!Q11,'New Albany'!Q11,Wheatland!Q11,Wilton!Q11,Brownsville!Q11,Gleason!Q11)</f>
        <v>0</v>
      </c>
      <c r="R12" s="283">
        <f>SUM(Caledonia!R11,'New Albany'!R11,Wheatland!R11,Wilton!R11,Brownsville!R11,Gleason!R11)</f>
        <v>0</v>
      </c>
      <c r="S12" s="283">
        <f>SUM(Caledonia!S11,'New Albany'!S11,Wheatland!S11,Wilton!S11,Brownsville!S11,Gleason!S11)</f>
        <v>0</v>
      </c>
      <c r="T12" s="283">
        <f>SUM(Caledonia!T11,'New Albany'!T11,Wheatland!T11,Wilton!T11,Brownsville!T11,Gleason!T11)</f>
        <v>0</v>
      </c>
      <c r="U12" s="283">
        <f>SUM(Caledonia!U11,'New Albany'!U11,Wheatland!U11,Wilton!U11,Brownsville!U11,Gleason!U11)</f>
        <v>0</v>
      </c>
      <c r="W12" s="953">
        <f>SUM(B12:U12)</f>
        <v>8715.1789125000014</v>
      </c>
      <c r="X12" s="954">
        <f>SUM(Caledonia!W11,'New Albany'!W11,Wheatland!W11,Wilton!W11,Brownsville!W11,Gleason!W11)</f>
        <v>8715.1789124999996</v>
      </c>
      <c r="Y12" s="954">
        <f>W12-X12</f>
        <v>0</v>
      </c>
    </row>
    <row r="13" spans="1:45">
      <c r="A13" s="4" t="s">
        <v>459</v>
      </c>
      <c r="B13" s="283">
        <f>SUM(Caledonia!B12,'New Albany'!B12,Wheatland!B12,Wilton!B12,Brownsville!B12,Gleason!B12)</f>
        <v>54056.268887400984</v>
      </c>
      <c r="C13" s="283">
        <f>SUM(Caledonia!C12,'New Albany'!C12,Wheatland!C12,Wilton!C12,Brownsville!C12,Gleason!C12)</f>
        <v>54056.268887400984</v>
      </c>
      <c r="D13" s="283">
        <f>SUM(Caledonia!D12,'New Albany'!D12,Wheatland!D12,Wilton!D12,Brownsville!D12,Gleason!D12)</f>
        <v>54056.268887400984</v>
      </c>
      <c r="E13" s="283">
        <f>SUM(Caledonia!E12,'New Albany'!E12,Wheatland!E12,Wilton!E12,Brownsville!E12,Gleason!E12)</f>
        <v>0</v>
      </c>
      <c r="F13" s="283">
        <f>SUM(Caledonia!F12,'New Albany'!F12,Wheatland!F12,Wilton!F12,Brownsville!F12,Gleason!F12)</f>
        <v>0</v>
      </c>
      <c r="G13" s="283">
        <f>SUM(Caledonia!G12,'New Albany'!G12,Wheatland!G12,Wilton!G12,Brownsville!G12,Gleason!G12)</f>
        <v>0</v>
      </c>
      <c r="H13" s="283">
        <f>SUM(Caledonia!H12,'New Albany'!H12,Wheatland!H12,Wilton!H12,Brownsville!H12,Gleason!H12)</f>
        <v>0</v>
      </c>
      <c r="I13" s="283">
        <f>SUM(Caledonia!I12,'New Albany'!I12,Wheatland!I12,Wilton!I12,Brownsville!I12,Gleason!I12)</f>
        <v>0</v>
      </c>
      <c r="J13" s="283">
        <f>SUM(Caledonia!J12,'New Albany'!J12,Wheatland!J12,Wilton!J12,Brownsville!J12,Gleason!J12)</f>
        <v>0</v>
      </c>
      <c r="K13" s="283">
        <f>SUM(Caledonia!K12,'New Albany'!K12,Wheatland!K12,Wilton!K12,Brownsville!K12,Gleason!K12)</f>
        <v>0</v>
      </c>
      <c r="L13" s="283">
        <f>SUM(Caledonia!L12,'New Albany'!L12,Wheatland!L12,Wilton!L12,Brownsville!L12,Gleason!L12)</f>
        <v>0</v>
      </c>
      <c r="M13" s="283">
        <f>SUM(Caledonia!M12,'New Albany'!M12,Wheatland!M12,Wilton!M12,Brownsville!M12,Gleason!M12)</f>
        <v>0</v>
      </c>
      <c r="N13" s="283">
        <f>SUM(Caledonia!N12,'New Albany'!N12,Wheatland!N12,Wilton!N12,Brownsville!N12,Gleason!N12)</f>
        <v>0</v>
      </c>
      <c r="O13" s="283">
        <f>SUM(Caledonia!O12,'New Albany'!O12,Wheatland!O12,Wilton!O12,Brownsville!O12,Gleason!O12)</f>
        <v>0</v>
      </c>
      <c r="P13" s="283">
        <f>SUM(Caledonia!P12,'New Albany'!P12,Wheatland!P12,Wilton!P12,Brownsville!P12,Gleason!P12)</f>
        <v>0</v>
      </c>
      <c r="Q13" s="283">
        <f>SUM(Caledonia!Q12,'New Albany'!Q12,Wheatland!Q12,Wilton!Q12,Brownsville!Q12,Gleason!Q12)</f>
        <v>0</v>
      </c>
      <c r="R13" s="283">
        <f>SUM(Caledonia!R12,'New Albany'!R12,Wheatland!R12,Wilton!R12,Brownsville!R12,Gleason!R12)</f>
        <v>0</v>
      </c>
      <c r="S13" s="283">
        <f>SUM(Caledonia!S12,'New Albany'!S12,Wheatland!S12,Wilton!S12,Brownsville!S12,Gleason!S12)</f>
        <v>0</v>
      </c>
      <c r="T13" s="283">
        <f>SUM(Caledonia!T12,'New Albany'!T12,Wheatland!T12,Wilton!T12,Brownsville!T12,Gleason!T12)</f>
        <v>0</v>
      </c>
      <c r="U13" s="283">
        <f>SUM(Caledonia!U12,'New Albany'!U12,Wheatland!U12,Wilton!U12,Brownsville!U12,Gleason!U12)</f>
        <v>0</v>
      </c>
      <c r="W13" s="953">
        <f>SUM(B13:U13)</f>
        <v>162168.80666220296</v>
      </c>
      <c r="X13" s="954">
        <f>SUM(Caledonia!W12,'New Albany'!W12,Wheatland!W12,Wilton!W12,Brownsville!W12,Gleason!W12)</f>
        <v>162168.80666220293</v>
      </c>
      <c r="Y13" s="954">
        <f>W13-X13</f>
        <v>0</v>
      </c>
    </row>
    <row r="14" spans="1:45">
      <c r="A14" s="1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953"/>
      <c r="X14" s="275"/>
      <c r="Y14" s="275"/>
    </row>
    <row r="15" spans="1:45">
      <c r="A15" s="101" t="s">
        <v>460</v>
      </c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W15" s="953"/>
      <c r="X15" s="275"/>
      <c r="Y15" s="275"/>
    </row>
    <row r="16" spans="1:45">
      <c r="A16" s="4" t="s">
        <v>8</v>
      </c>
      <c r="B16" s="283">
        <f>SUM(Caledonia!B15,'New Albany'!B15,Wheatland!B15,Wilton!B15,Brownsville!B15,Gleason!B15)</f>
        <v>0</v>
      </c>
      <c r="C16" s="283">
        <f>SUM(Caledonia!C15,'New Albany'!C15,Wheatland!C15,Wilton!C15,Brownsville!C15,Gleason!C15)</f>
        <v>0</v>
      </c>
      <c r="D16" s="283">
        <f>SUM(Caledonia!D15,'New Albany'!D15,Wheatland!D15,Wilton!D15,Brownsville!D15,Gleason!D15)</f>
        <v>0</v>
      </c>
      <c r="E16" s="283">
        <f>SUM(Caledonia!E15,'New Albany'!E15,Wheatland!E15,Wilton!E15,Brownsville!E15,Gleason!E15)</f>
        <v>226108.71578313431</v>
      </c>
      <c r="F16" s="283">
        <f>SUM(Caledonia!F15,'New Albany'!F15,Wheatland!F15,Wilton!F15,Brownsville!F15,Gleason!F15)</f>
        <v>237320.1506939792</v>
      </c>
      <c r="G16" s="283">
        <f>SUM(Caledonia!G15,'New Albany'!G15,Wheatland!G15,Wilton!G15,Brownsville!G15,Gleason!G15)</f>
        <v>241039.78806590749</v>
      </c>
      <c r="H16" s="283">
        <f>SUM(Caledonia!H15,'New Albany'!H15,Wheatland!H15,Wilton!H15,Brownsville!H15,Gleason!H15)</f>
        <v>244820.80418428406</v>
      </c>
      <c r="I16" s="283">
        <f>SUM(Caledonia!I15,'New Albany'!I15,Wheatland!I15,Wilton!I15,Brownsville!I15,Gleason!I15)</f>
        <v>248664.26283367604</v>
      </c>
      <c r="J16" s="283">
        <f>SUM(Caledonia!J15,'New Albany'!J15,Wheatland!J15,Wilton!J15,Brownsville!J15,Gleason!J15)</f>
        <v>252571.24703667156</v>
      </c>
      <c r="K16" s="283">
        <f>SUM(Caledonia!K15,'New Albany'!K15,Wheatland!K15,Wilton!K15,Brownsville!K15,Gleason!K15)</f>
        <v>256542.85941378033</v>
      </c>
      <c r="L16" s="283">
        <f>SUM(Caledonia!L15,'New Albany'!L15,Wheatland!L15,Wilton!L15,Brownsville!L15,Gleason!L15)</f>
        <v>261167.95013132872</v>
      </c>
      <c r="M16" s="283">
        <f>SUM(Caledonia!M15,'New Albany'!M15,Wheatland!M15,Wilton!M15,Brownsville!M15,Gleason!M15)</f>
        <v>265877.9042926071</v>
      </c>
      <c r="N16" s="283">
        <f>SUM(Caledonia!N15,'New Albany'!N15,Wheatland!N15,Wilton!N15,Brownsville!N15,Gleason!N15)</f>
        <v>270674.29930869752</v>
      </c>
      <c r="O16" s="283">
        <f>SUM(Caledonia!O15,'New Albany'!O15,Wheatland!O15,Wilton!O15,Brownsville!O15,Gleason!O15)</f>
        <v>275558.74218548497</v>
      </c>
      <c r="P16" s="283">
        <f>SUM(Caledonia!P15,'New Albany'!P15,Wheatland!P15,Wilton!P15,Brownsville!P15,Gleason!P15)</f>
        <v>280532.87008258747</v>
      </c>
      <c r="Q16" s="283">
        <f>SUM(Caledonia!Q15,'New Albany'!Q15,Wheatland!Q15,Wilton!Q15,Brownsville!Q15,Gleason!Q15)</f>
        <v>284645.34295281465</v>
      </c>
      <c r="R16" s="283">
        <f>SUM(Caledonia!R15,'New Albany'!R15,Wheatland!R15,Wilton!R15,Brownsville!R15,Gleason!R15)</f>
        <v>288818.17167413898</v>
      </c>
      <c r="S16" s="283">
        <f>SUM(Caledonia!S15,'New Albany'!S15,Wheatland!S15,Wilton!S15,Brownsville!S15,Gleason!S15)</f>
        <v>293052.24307555868</v>
      </c>
      <c r="T16" s="283">
        <f>SUM(Caledonia!T15,'New Albany'!T15,Wheatland!T15,Wilton!T15,Brownsville!T15,Gleason!T15)</f>
        <v>297348.45703187038</v>
      </c>
      <c r="U16" s="283">
        <f>SUM(Caledonia!U15,'New Albany'!U15,Wheatland!U15,Wilton!U15,Brownsville!U15,Gleason!U15)</f>
        <v>301707.72665580967</v>
      </c>
      <c r="W16" s="953">
        <f>SUM(B16:U16)</f>
        <v>4526451.5354023315</v>
      </c>
      <c r="X16" s="954">
        <f>SUM(Caledonia!W15,'New Albany'!W15,Wheatland!W15,Wilton!W15,Brownsville!W15,Gleason!W15)</f>
        <v>4526451.5354023306</v>
      </c>
      <c r="Y16" s="954">
        <f>W16-X16</f>
        <v>0</v>
      </c>
    </row>
    <row r="17" spans="1:25">
      <c r="A17" s="4" t="s">
        <v>12</v>
      </c>
      <c r="B17" s="283">
        <f>SUM(Caledonia!B16,'New Albany'!B16,Wheatland!B16,Wilton!B16,Brownsville!B16,Gleason!B16)</f>
        <v>0</v>
      </c>
      <c r="C17" s="283">
        <f>SUM(Caledonia!C16,'New Albany'!C16,Wheatland!C16,Wilton!C16,Brownsville!C16,Gleason!C16)</f>
        <v>0</v>
      </c>
      <c r="D17" s="283">
        <f>SUM(Caledonia!D16,'New Albany'!D16,Wheatland!D16,Wilton!D16,Brownsville!D16,Gleason!D16)</f>
        <v>0</v>
      </c>
      <c r="E17" s="283">
        <f>SUM(Caledonia!E16,'New Albany'!E16,Wheatland!E16,Wilton!E16,Brownsville!E16,Gleason!E16)</f>
        <v>10120.257453275251</v>
      </c>
      <c r="F17" s="283">
        <f>SUM(Caledonia!F16,'New Albany'!F16,Wheatland!F16,Wilton!F16,Brownsville!F16,Gleason!F16)</f>
        <v>10423.865176873511</v>
      </c>
      <c r="G17" s="283">
        <f>SUM(Caledonia!G16,'New Albany'!G16,Wheatland!G16,Wilton!G16,Brownsville!G16,Gleason!G16)</f>
        <v>10736.581132179715</v>
      </c>
      <c r="H17" s="283">
        <f>SUM(Caledonia!H16,'New Albany'!H16,Wheatland!H16,Wilton!H16,Brownsville!H16,Gleason!H16)</f>
        <v>11058.678566145109</v>
      </c>
      <c r="I17" s="283">
        <f>SUM(Caledonia!I16,'New Albany'!I16,Wheatland!I16,Wilton!I16,Brownsville!I16,Gleason!I16)</f>
        <v>11390.438923129459</v>
      </c>
      <c r="J17" s="283">
        <f>SUM(Caledonia!J16,'New Albany'!J16,Wheatland!J16,Wilton!J16,Brownsville!J16,Gleason!J16)</f>
        <v>11732.152090823341</v>
      </c>
      <c r="K17" s="283">
        <f>SUM(Caledonia!K16,'New Albany'!K16,Wheatland!K16,Wilton!K16,Brownsville!K16,Gleason!K16)</f>
        <v>12084.116653548044</v>
      </c>
      <c r="L17" s="283">
        <f>SUM(Caledonia!L16,'New Albany'!L16,Wheatland!L16,Wilton!L16,Brownsville!L16,Gleason!L16)</f>
        <v>12446.640153154485</v>
      </c>
      <c r="M17" s="283">
        <f>SUM(Caledonia!M16,'New Albany'!M16,Wheatland!M16,Wilton!M16,Brownsville!M16,Gleason!M16)</f>
        <v>12820.039357749118</v>
      </c>
      <c r="N17" s="283">
        <f>SUM(Caledonia!N16,'New Albany'!N16,Wheatland!N16,Wilton!N16,Brownsville!N16,Gleason!N16)</f>
        <v>13204.64053848159</v>
      </c>
      <c r="O17" s="283">
        <f>SUM(Caledonia!O16,'New Albany'!O16,Wheatland!O16,Wilton!O16,Brownsville!O16,Gleason!O16)</f>
        <v>13600.779754636038</v>
      </c>
      <c r="P17" s="283">
        <f>SUM(Caledonia!P16,'New Albany'!P16,Wheatland!P16,Wilton!P16,Brownsville!P16,Gleason!P16)</f>
        <v>14008.803147275121</v>
      </c>
      <c r="Q17" s="283">
        <f>SUM(Caledonia!Q16,'New Albany'!Q16,Wheatland!Q16,Wilton!Q16,Brownsville!Q16,Gleason!Q16)</f>
        <v>14429.067241693374</v>
      </c>
      <c r="R17" s="283">
        <f>SUM(Caledonia!R16,'New Albany'!R16,Wheatland!R16,Wilton!R16,Brownsville!R16,Gleason!R16)</f>
        <v>14861.939258944176</v>
      </c>
      <c r="S17" s="283">
        <f>SUM(Caledonia!S16,'New Albany'!S16,Wheatland!S16,Wilton!S16,Brownsville!S16,Gleason!S16)</f>
        <v>15307.797436712499</v>
      </c>
      <c r="T17" s="283">
        <f>SUM(Caledonia!T16,'New Albany'!T16,Wheatland!T16,Wilton!T16,Brownsville!T16,Gleason!T16)</f>
        <v>15767.031359813875</v>
      </c>
      <c r="U17" s="283">
        <f>SUM(Caledonia!U16,'New Albany'!U16,Wheatland!U16,Wilton!U16,Brownsville!U16,Gleason!U16)</f>
        <v>16240.042300608293</v>
      </c>
      <c r="W17" s="953">
        <f>SUM(B17:U17)</f>
        <v>220232.87054504303</v>
      </c>
      <c r="X17" s="954">
        <f>SUM(Caledonia!W16,'New Albany'!W16,Wheatland!W16,Wilton!W16,Brownsville!W16,Gleason!W16)</f>
        <v>220232.87054504303</v>
      </c>
      <c r="Y17" s="954">
        <f>W17-X17</f>
        <v>0</v>
      </c>
    </row>
    <row r="18" spans="1:25">
      <c r="A18" s="4"/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W18" s="953"/>
      <c r="X18" s="954"/>
      <c r="Y18" s="954"/>
    </row>
    <row r="19" spans="1:25">
      <c r="A19" s="4" t="s">
        <v>14</v>
      </c>
      <c r="B19" s="600">
        <f>SUM(Caledonia!B18,'New Albany'!B18,Wheatland!B18,Wilton!B18,Brownsville!B18,Gleason!B18)</f>
        <v>1526.2226379747012</v>
      </c>
      <c r="C19" s="600">
        <f>SUM(Caledonia!C18,'New Albany'!C18,Wheatland!C18,Wilton!C18,Brownsville!C18,Gleason!C18)</f>
        <v>1519.0143721401485</v>
      </c>
      <c r="D19" s="600">
        <f>SUM(Caledonia!D18,'New Albany'!D18,Wheatland!D18,Wilton!D18,Brownsville!D18,Gleason!D18)</f>
        <v>1512.7014940276467</v>
      </c>
      <c r="E19" s="600">
        <f>SUM(Caledonia!E18,'New Albany'!E18,Wheatland!E18,Wilton!E18,Brownsville!E18,Gleason!E18)</f>
        <v>2578.9913585176901</v>
      </c>
      <c r="F19" s="600">
        <f>SUM(Caledonia!F18,'New Albany'!F18,Wheatland!F18,Wilton!F18,Brownsville!F18,Gleason!F18)</f>
        <v>2714.0183421555334</v>
      </c>
      <c r="G19" s="600">
        <f>SUM(Caledonia!G18,'New Albany'!G18,Wheatland!G18,Wilton!G18,Brownsville!G18,Gleason!G18)</f>
        <v>2753.33468036863</v>
      </c>
      <c r="H19" s="600">
        <f>SUM(Caledonia!H18,'New Albany'!H18,Wheatland!H18,Wilton!H18,Brownsville!H18,Gleason!H18)</f>
        <v>2793.9098306797937</v>
      </c>
      <c r="I19" s="600">
        <f>SUM(Caledonia!I18,'New Albany'!I18,Wheatland!I18,Wilton!I18,Brownsville!I18,Gleason!I18)</f>
        <v>2835.8064216467169</v>
      </c>
      <c r="J19" s="600">
        <f>SUM(Caledonia!J18,'New Albany'!J18,Wheatland!J18,Wilton!J18,Brownsville!J18,Gleason!J18)</f>
        <v>2879.8593793692262</v>
      </c>
      <c r="K19" s="600">
        <f>SUM(Caledonia!K18,'New Albany'!K18,Wheatland!K18,Wilton!K18,Brownsville!K18,Gleason!K18)</f>
        <v>2913.4394232938012</v>
      </c>
      <c r="L19" s="600">
        <f>SUM(Caledonia!L18,'New Albany'!L18,Wheatland!L18,Wilton!L18,Brownsville!L18,Gleason!L18)</f>
        <v>2968.027266678971</v>
      </c>
      <c r="M19" s="600">
        <f>SUM(Caledonia!M18,'New Albany'!M18,Wheatland!M18,Wilton!M18,Brownsville!M18,Gleason!M18)</f>
        <v>3025.871312156677</v>
      </c>
      <c r="N19" s="600">
        <f>SUM(Caledonia!N18,'New Albany'!N18,Wheatland!N18,Wilton!N18,Brownsville!N18,Gleason!N18)</f>
        <v>3078.4041825931408</v>
      </c>
      <c r="O19" s="600">
        <f>SUM(Caledonia!O18,'New Albany'!O18,Wheatland!O18,Wilton!O18,Brownsville!O18,Gleason!O18)</f>
        <v>3132.9919624041072</v>
      </c>
      <c r="P19" s="600">
        <f>SUM(Caledonia!P18,'New Albany'!P18,Wheatland!P18,Wilton!P18,Brownsville!P18,Gleason!P18)</f>
        <v>3182.370973594755</v>
      </c>
      <c r="Q19" s="600">
        <f>SUM(Caledonia!Q18,'New Albany'!Q18,Wheatland!Q18,Wilton!Q18,Brownsville!Q18,Gleason!Q18)</f>
        <v>3233.6806997003246</v>
      </c>
      <c r="R19" s="600">
        <f>SUM(Caledonia!R18,'New Albany'!R18,Wheatland!R18,Wilton!R18,Brownsville!R18,Gleason!R18)</f>
        <v>3278.136835366282</v>
      </c>
      <c r="S19" s="600">
        <f>SUM(Caledonia!S18,'New Albany'!S18,Wheatland!S18,Wilton!S18,Brownsville!S18,Gleason!S18)</f>
        <v>3323.1099590856229</v>
      </c>
      <c r="T19" s="600">
        <f>SUM(Caledonia!T18,'New Albany'!T18,Wheatland!T18,Wilton!T18,Brownsville!T18,Gleason!T18)</f>
        <v>3368.6038741411867</v>
      </c>
      <c r="U19" s="600">
        <f>SUM(Caledonia!U18,'New Albany'!U18,Wheatland!U18,Wilton!U18,Brownsville!U18,Gleason!U18)</f>
        <v>3414.7380575425013</v>
      </c>
      <c r="W19" s="953">
        <f>SUM(B19:U19)</f>
        <v>56033.233063437467</v>
      </c>
      <c r="X19" s="954">
        <f>SUM(Caledonia!W18,'New Albany'!W18,Wheatland!W18,Wilton!W18,Brownsville!W18,Gleason!W18)</f>
        <v>56033.233063437452</v>
      </c>
      <c r="Y19" s="954">
        <f>W19-X19</f>
        <v>0</v>
      </c>
    </row>
    <row r="20" spans="1:25">
      <c r="A20" s="4" t="s">
        <v>15</v>
      </c>
      <c r="B20" s="283">
        <f t="shared" ref="B20:U20" si="3">SUM(B10:B19)</f>
        <v>205107.71072424718</v>
      </c>
      <c r="C20" s="283">
        <f t="shared" si="3"/>
        <v>205434.73903437876</v>
      </c>
      <c r="D20" s="283">
        <f t="shared" si="3"/>
        <v>205772.68982951142</v>
      </c>
      <c r="E20" s="283">
        <f t="shared" si="3"/>
        <v>238807.96459492727</v>
      </c>
      <c r="F20" s="283">
        <f t="shared" si="3"/>
        <v>250458.03421300824</v>
      </c>
      <c r="G20" s="283">
        <f t="shared" si="3"/>
        <v>254529.70387845582</v>
      </c>
      <c r="H20" s="283">
        <f t="shared" si="3"/>
        <v>258673.39258110896</v>
      </c>
      <c r="I20" s="283">
        <f t="shared" si="3"/>
        <v>262890.5081784522</v>
      </c>
      <c r="J20" s="283">
        <f t="shared" si="3"/>
        <v>267183.25850686413</v>
      </c>
      <c r="K20" s="283">
        <f t="shared" si="3"/>
        <v>271540.41549062217</v>
      </c>
      <c r="L20" s="283">
        <f t="shared" si="3"/>
        <v>276582.6175511622</v>
      </c>
      <c r="M20" s="283">
        <f t="shared" si="3"/>
        <v>281723.81496251287</v>
      </c>
      <c r="N20" s="283">
        <f t="shared" si="3"/>
        <v>286957.34402977227</v>
      </c>
      <c r="O20" s="283">
        <f t="shared" si="3"/>
        <v>292292.51390252513</v>
      </c>
      <c r="P20" s="283">
        <f t="shared" si="3"/>
        <v>297724.04420345736</v>
      </c>
      <c r="Q20" s="283">
        <f t="shared" si="3"/>
        <v>302308.09089420835</v>
      </c>
      <c r="R20" s="283">
        <f t="shared" si="3"/>
        <v>306958.24776844942</v>
      </c>
      <c r="S20" s="283">
        <f t="shared" si="3"/>
        <v>311683.15047135681</v>
      </c>
      <c r="T20" s="283">
        <f t="shared" si="3"/>
        <v>316484.09226582543</v>
      </c>
      <c r="U20" s="283">
        <f t="shared" si="3"/>
        <v>321362.50701396045</v>
      </c>
      <c r="W20" s="953">
        <f>SUM(B20:U20)</f>
        <v>5414474.8400948066</v>
      </c>
      <c r="X20" s="954">
        <f>SUM(Caledonia!W19,'New Albany'!W19,Wheatland!W19,Wilton!W19,Brownsville!W19,Gleason!W19)</f>
        <v>5414474.8400948066</v>
      </c>
      <c r="Y20" s="954">
        <f>W20-X20</f>
        <v>0</v>
      </c>
    </row>
    <row r="21" spans="1:25">
      <c r="A21" s="4"/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W21" s="953"/>
      <c r="X21" s="275"/>
      <c r="Y21" s="275"/>
    </row>
    <row r="22" spans="1:25">
      <c r="A22" s="1" t="s">
        <v>16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W22" s="953"/>
      <c r="X22" s="275"/>
      <c r="Y22" s="275"/>
    </row>
    <row r="23" spans="1:25">
      <c r="A23" s="4" t="s">
        <v>1</v>
      </c>
      <c r="B23" s="283">
        <f>SUM(Caledonia!B22,'New Albany'!B22,Wheatland!B22,Wilton!B22,Brownsville!B22,Gleason!B22)</f>
        <v>9650.9069691714285</v>
      </c>
      <c r="C23" s="283">
        <f>SUM(Caledonia!C22,'New Albany'!C22,Wheatland!C22,Wilton!C22,Brownsville!C22,Gleason!C22)</f>
        <v>9940.4341782465726</v>
      </c>
      <c r="D23" s="283">
        <f>SUM(Caledonia!D22,'New Albany'!D22,Wheatland!D22,Wilton!D22,Brownsville!D22,Gleason!D22)</f>
        <v>10238.64720359397</v>
      </c>
      <c r="E23" s="283">
        <f>SUM(Caledonia!E22,'New Albany'!E22,Wheatland!E22,Wilton!E22,Brownsville!E22,Gleason!E22)</f>
        <v>10545.806619701789</v>
      </c>
      <c r="F23" s="283">
        <f>SUM(Caledonia!F22,'New Albany'!F22,Wheatland!F22,Wilton!F22,Brownsville!F22,Gleason!F22)</f>
        <v>10862.180818292843</v>
      </c>
      <c r="G23" s="283">
        <f>SUM(Caledonia!G22,'New Albany'!G22,Wheatland!G22,Wilton!G22,Brownsville!G22,Gleason!G22)</f>
        <v>11188.046242841629</v>
      </c>
      <c r="H23" s="283">
        <f>SUM(Caledonia!H22,'New Albany'!H22,Wheatland!H22,Wilton!H22,Brownsville!H22,Gleason!H22)</f>
        <v>11523.687630126879</v>
      </c>
      <c r="I23" s="283">
        <f>SUM(Caledonia!I22,'New Albany'!I22,Wheatland!I22,Wilton!I22,Brownsville!I22,Gleason!I22)</f>
        <v>11869.398259030686</v>
      </c>
      <c r="J23" s="283">
        <f>SUM(Caledonia!J22,'New Albany'!J22,Wheatland!J22,Wilton!J22,Brownsville!J22,Gleason!J22)</f>
        <v>12225.480206801605</v>
      </c>
      <c r="K23" s="283">
        <f>SUM(Caledonia!K22,'New Albany'!K22,Wheatland!K22,Wilton!K22,Brownsville!K22,Gleason!K22)</f>
        <v>12592.244613005654</v>
      </c>
      <c r="L23" s="283">
        <f>SUM(Caledonia!L22,'New Albany'!L22,Wheatland!L22,Wilton!L22,Brownsville!L22,Gleason!L22)</f>
        <v>12970.011951395823</v>
      </c>
      <c r="M23" s="283">
        <f>SUM(Caledonia!M22,'New Albany'!M22,Wheatland!M22,Wilton!M22,Brownsville!M22,Gleason!M22)</f>
        <v>13359.1123099377</v>
      </c>
      <c r="N23" s="283">
        <f>SUM(Caledonia!N22,'New Albany'!N22,Wheatland!N22,Wilton!N22,Brownsville!N22,Gleason!N22)</f>
        <v>13759.885679235831</v>
      </c>
      <c r="O23" s="283">
        <f>SUM(Caledonia!O22,'New Albany'!O22,Wheatland!O22,Wilton!O22,Brownsville!O22,Gleason!O22)</f>
        <v>14172.682249612908</v>
      </c>
      <c r="P23" s="283">
        <f>SUM(Caledonia!P22,'New Albany'!P22,Wheatland!P22,Wilton!P22,Brownsville!P22,Gleason!P22)</f>
        <v>14597.862717101296</v>
      </c>
      <c r="Q23" s="283">
        <f>SUM(Caledonia!Q22,'New Albany'!Q22,Wheatland!Q22,Wilton!Q22,Brownsville!Q22,Gleason!Q22)</f>
        <v>15035.798598614334</v>
      </c>
      <c r="R23" s="283">
        <f>SUM(Caledonia!R22,'New Albany'!R22,Wheatland!R22,Wilton!R22,Brownsville!R22,Gleason!R22)</f>
        <v>15486.872556572765</v>
      </c>
      <c r="S23" s="283">
        <f>SUM(Caledonia!S22,'New Albany'!S22,Wheatland!S22,Wilton!S22,Brownsville!S22,Gleason!S22)</f>
        <v>15951.478733269949</v>
      </c>
      <c r="T23" s="283">
        <f>SUM(Caledonia!T22,'New Albany'!T22,Wheatland!T22,Wilton!T22,Brownsville!T22,Gleason!T22)</f>
        <v>16430.023095268047</v>
      </c>
      <c r="U23" s="283">
        <f>SUM(Caledonia!U22,'New Albany'!U22,Wheatland!U22,Wilton!U22,Brownsville!U22,Gleason!U22)</f>
        <v>16922.923788126089</v>
      </c>
      <c r="W23" s="953">
        <f t="shared" ref="W23:W29" si="4">SUM(B23:U23)</f>
        <v>259323.48441994784</v>
      </c>
      <c r="X23" s="954">
        <f>SUM(Caledonia!W22,'New Albany'!W22,Wheatland!W22,Wilton!W22,Brownsville!W22,Gleason!W22)</f>
        <v>259323.48441994775</v>
      </c>
      <c r="Y23" s="954">
        <f t="shared" ref="Y23:Y29" si="5">W23-X23</f>
        <v>0</v>
      </c>
    </row>
    <row r="24" spans="1:25">
      <c r="A24" s="4" t="s">
        <v>428</v>
      </c>
      <c r="B24" s="283">
        <f>SUM(Caledonia!B23,'New Albany'!B23,Wheatland!B23,Wilton!B23,Brownsville!B23,Gleason!B23)</f>
        <v>8321.5941988714949</v>
      </c>
      <c r="C24" s="283">
        <f>SUM(Caledonia!C23,'New Albany'!C23,Wheatland!C23,Wilton!C23,Brownsville!C23,Gleason!C23)</f>
        <v>8571.2420248376402</v>
      </c>
      <c r="D24" s="283">
        <f>SUM(Caledonia!D23,'New Albany'!D23,Wheatland!D23,Wilton!D23,Brownsville!D23,Gleason!D23)</f>
        <v>8828.3792855827705</v>
      </c>
      <c r="E24" s="283">
        <f>SUM(Caledonia!E23,'New Albany'!E23,Wheatland!E23,Wilton!E23,Brownsville!E23,Gleason!E23)</f>
        <v>9093.230664150251</v>
      </c>
      <c r="F24" s="283">
        <f>SUM(Caledonia!F23,'New Albany'!F23,Wheatland!F23,Wilton!F23,Brownsville!F23,Gleason!F23)</f>
        <v>9366.0275840747599</v>
      </c>
      <c r="G24" s="283">
        <f>SUM(Caledonia!G23,'New Albany'!G23,Wheatland!G23,Wilton!G23,Brownsville!G23,Gleason!G23)</f>
        <v>9647.0084115970021</v>
      </c>
      <c r="H24" s="283">
        <f>SUM(Caledonia!H23,'New Albany'!H23,Wheatland!H23,Wilton!H23,Brownsville!H23,Gleason!H23)</f>
        <v>9936.4186639449144</v>
      </c>
      <c r="I24" s="283">
        <f>SUM(Caledonia!I23,'New Albany'!I23,Wheatland!I23,Wilton!I23,Brownsville!I23,Gleason!I23)</f>
        <v>10234.511223863259</v>
      </c>
      <c r="J24" s="283">
        <f>SUM(Caledonia!J23,'New Albany'!J23,Wheatland!J23,Wilton!J23,Brownsville!J23,Gleason!J23)</f>
        <v>10541.546560579156</v>
      </c>
      <c r="K24" s="283">
        <f>SUM(Caledonia!K23,'New Albany'!K23,Wheatland!K23,Wilton!K23,Brownsville!K23,Gleason!K23)</f>
        <v>10857.792957396532</v>
      </c>
      <c r="L24" s="283">
        <f>SUM(Caledonia!L23,'New Albany'!L23,Wheatland!L23,Wilton!L23,Brownsville!L23,Gleason!L23)</f>
        <v>11183.526746118427</v>
      </c>
      <c r="M24" s="283">
        <f>SUM(Caledonia!M23,'New Albany'!M23,Wheatland!M23,Wilton!M23,Brownsville!M23,Gleason!M23)</f>
        <v>11519.032548501978</v>
      </c>
      <c r="N24" s="283">
        <f>SUM(Caledonia!N23,'New Albany'!N23,Wheatland!N23,Wilton!N23,Brownsville!N23,Gleason!N23)</f>
        <v>11864.603524957038</v>
      </c>
      <c r="O24" s="283">
        <f>SUM(Caledonia!O23,'New Albany'!O23,Wheatland!O23,Wilton!O23,Brownsville!O23,Gleason!O23)</f>
        <v>12220.541630705749</v>
      </c>
      <c r="P24" s="283">
        <f>SUM(Caledonia!P23,'New Albany'!P23,Wheatland!P23,Wilton!P23,Brownsville!P23,Gleason!P23)</f>
        <v>12587.157879626926</v>
      </c>
      <c r="Q24" s="283">
        <f>SUM(Caledonia!Q23,'New Albany'!Q23,Wheatland!Q23,Wilton!Q23,Brownsville!Q23,Gleason!Q23)</f>
        <v>12964.772616015729</v>
      </c>
      <c r="R24" s="283">
        <f>SUM(Caledonia!R23,'New Albany'!R23,Wheatland!R23,Wilton!R23,Brownsville!R23,Gleason!R23)</f>
        <v>13353.715794496202</v>
      </c>
      <c r="S24" s="283">
        <f>SUM(Caledonia!S23,'New Albany'!S23,Wheatland!S23,Wilton!S23,Brownsville!S23,Gleason!S23)</f>
        <v>13754.327268331088</v>
      </c>
      <c r="T24" s="283">
        <f>SUM(Caledonia!T23,'New Albany'!T23,Wheatland!T23,Wilton!T23,Brownsville!T23,Gleason!T23)</f>
        <v>14166.957086381019</v>
      </c>
      <c r="U24" s="283">
        <f>SUM(Caledonia!U23,'New Albany'!U23,Wheatland!U23,Wilton!U23,Brownsville!U23,Gleason!U23)</f>
        <v>14591.965798972453</v>
      </c>
      <c r="W24" s="953">
        <f t="shared" si="4"/>
        <v>223604.35246900437</v>
      </c>
      <c r="X24" s="954">
        <f>SUM(Caledonia!W23,'New Albany'!W23,Wheatland!W23,Wilton!W23,Brownsville!W23,Gleason!W23)</f>
        <v>223604.3524690044</v>
      </c>
      <c r="Y24" s="954">
        <f t="shared" si="5"/>
        <v>0</v>
      </c>
    </row>
    <row r="25" spans="1:25">
      <c r="A25" s="4" t="s">
        <v>461</v>
      </c>
      <c r="B25" s="283">
        <f>SUM(Caledonia!B24,'New Albany'!B24,Wheatland!B24,Wilton!B24,Brownsville!B24,Gleason!B24)</f>
        <v>2819.625</v>
      </c>
      <c r="C25" s="283">
        <f>SUM(Caledonia!C24,'New Albany'!C24,Wheatland!C24,Wilton!C24,Brownsville!C24,Gleason!C24)</f>
        <v>2904.2137500000003</v>
      </c>
      <c r="D25" s="283">
        <f>SUM(Caledonia!D24,'New Albany'!D24,Wheatland!D24,Wilton!D24,Brownsville!D24,Gleason!D24)</f>
        <v>2991.3401625000001</v>
      </c>
      <c r="E25" s="283">
        <f>SUM(Caledonia!E24,'New Albany'!E24,Wheatland!E24,Wilton!E24,Brownsville!E24,Gleason!E24)</f>
        <v>3081.0803673750002</v>
      </c>
      <c r="F25" s="283">
        <f>SUM(Caledonia!F24,'New Albany'!F24,Wheatland!F24,Wilton!F24,Brownsville!F24,Gleason!F24)</f>
        <v>3173.5127783962503</v>
      </c>
      <c r="G25" s="283">
        <f>SUM(Caledonia!G24,'New Albany'!G24,Wheatland!G24,Wilton!G24,Brownsville!G24,Gleason!G24)</f>
        <v>3268.7181617481383</v>
      </c>
      <c r="H25" s="283">
        <f>SUM(Caledonia!H24,'New Albany'!H24,Wheatland!H24,Wilton!H24,Brownsville!H24,Gleason!H24)</f>
        <v>3366.7797066005828</v>
      </c>
      <c r="I25" s="283">
        <f>SUM(Caledonia!I24,'New Albany'!I24,Wheatland!I24,Wilton!I24,Brownsville!I24,Gleason!I24)</f>
        <v>3467.7830977986005</v>
      </c>
      <c r="J25" s="283">
        <f>SUM(Caledonia!J24,'New Albany'!J24,Wheatland!J24,Wilton!J24,Brownsville!J24,Gleason!J24)</f>
        <v>3571.8165907325583</v>
      </c>
      <c r="K25" s="283">
        <f>SUM(Caledonia!K24,'New Albany'!K24,Wheatland!K24,Wilton!K24,Brownsville!K24,Gleason!K24)</f>
        <v>3678.9710884545352</v>
      </c>
      <c r="L25" s="283">
        <f>SUM(Caledonia!L24,'New Albany'!L24,Wheatland!L24,Wilton!L24,Brownsville!L24,Gleason!L24)</f>
        <v>3789.3402211081711</v>
      </c>
      <c r="M25" s="283">
        <f>SUM(Caledonia!M24,'New Albany'!M24,Wheatland!M24,Wilton!M24,Brownsville!M24,Gleason!M24)</f>
        <v>3903.0204277414155</v>
      </c>
      <c r="N25" s="283">
        <f>SUM(Caledonia!N24,'New Albany'!N24,Wheatland!N24,Wilton!N24,Brownsville!N24,Gleason!N24)</f>
        <v>4020.111040573659</v>
      </c>
      <c r="O25" s="283">
        <f>SUM(Caledonia!O24,'New Albany'!O24,Wheatland!O24,Wilton!O24,Brownsville!O24,Gleason!O24)</f>
        <v>4140.7143717908684</v>
      </c>
      <c r="P25" s="283">
        <f>SUM(Caledonia!P24,'New Albany'!P24,Wheatland!P24,Wilton!P24,Brownsville!P24,Gleason!P24)</f>
        <v>4264.9358029445948</v>
      </c>
      <c r="Q25" s="283">
        <f>SUM(Caledonia!Q24,'New Albany'!Q24,Wheatland!Q24,Wilton!Q24,Brownsville!Q24,Gleason!Q24)</f>
        <v>4392.8838770329321</v>
      </c>
      <c r="R25" s="283">
        <f>SUM(Caledonia!R24,'New Albany'!R24,Wheatland!R24,Wilton!R24,Brownsville!R24,Gleason!R24)</f>
        <v>4524.6703933439203</v>
      </c>
      <c r="S25" s="283">
        <f>SUM(Caledonia!S24,'New Albany'!S24,Wheatland!S24,Wilton!S24,Brownsville!S24,Gleason!S24)</f>
        <v>4660.4105051442384</v>
      </c>
      <c r="T25" s="283">
        <f>SUM(Caledonia!T24,'New Albany'!T24,Wheatland!T24,Wilton!T24,Brownsville!T24,Gleason!T24)</f>
        <v>4800.2228202985652</v>
      </c>
      <c r="U25" s="283">
        <f>SUM(Caledonia!U24,'New Albany'!U24,Wheatland!U24,Wilton!U24,Brownsville!U24,Gleason!U24)</f>
        <v>4944.2295049075228</v>
      </c>
      <c r="W25" s="953">
        <f t="shared" si="4"/>
        <v>75764.379668491558</v>
      </c>
      <c r="X25" s="954">
        <f>SUM(Caledonia!W24,'New Albany'!W24,Wheatland!W24,Wilton!W24,Brownsville!W24,Gleason!W24)</f>
        <v>75764.379668491543</v>
      </c>
      <c r="Y25" s="954">
        <f t="shared" si="5"/>
        <v>0</v>
      </c>
    </row>
    <row r="26" spans="1:25">
      <c r="A26" s="4" t="s">
        <v>430</v>
      </c>
      <c r="B26" s="283">
        <f>SUM(Caledonia!B25,'New Albany'!B25,Wheatland!B25,Wilton!B25,Brownsville!B25,Gleason!B25)</f>
        <v>2301.5906199999999</v>
      </c>
      <c r="C26" s="283">
        <f>SUM(Caledonia!C25,'New Albany'!C25,Wheatland!C25,Wilton!C25,Brownsville!C25,Gleason!C25)</f>
        <v>2370.6383386000002</v>
      </c>
      <c r="D26" s="283">
        <f>SUM(Caledonia!D25,'New Albany'!D25,Wheatland!D25,Wilton!D25,Brownsville!D25,Gleason!D25)</f>
        <v>2441.7574887579999</v>
      </c>
      <c r="E26" s="283">
        <f>SUM(Caledonia!E25,'New Albany'!E25,Wheatland!E25,Wilton!E25,Brownsville!E25,Gleason!E25)</f>
        <v>2515.01021342074</v>
      </c>
      <c r="F26" s="283">
        <f>SUM(Caledonia!F25,'New Albany'!F25,Wheatland!F25,Wilton!F25,Brownsville!F25,Gleason!F25)</f>
        <v>2590.4605198233621</v>
      </c>
      <c r="G26" s="283">
        <f>SUM(Caledonia!G25,'New Albany'!G25,Wheatland!G25,Wilton!G25,Brownsville!G25,Gleason!G25)</f>
        <v>2668.1743354180635</v>
      </c>
      <c r="H26" s="283">
        <f>SUM(Caledonia!H25,'New Albany'!H25,Wheatland!H25,Wilton!H25,Brownsville!H25,Gleason!H25)</f>
        <v>2748.2195654806055</v>
      </c>
      <c r="I26" s="283">
        <f>SUM(Caledonia!I25,'New Albany'!I25,Wheatland!I25,Wilton!I25,Brownsville!I25,Gleason!I25)</f>
        <v>2830.6661524450237</v>
      </c>
      <c r="J26" s="283">
        <f>SUM(Caledonia!J25,'New Albany'!J25,Wheatland!J25,Wilton!J25,Brownsville!J25,Gleason!J25)</f>
        <v>2915.5861370183743</v>
      </c>
      <c r="K26" s="283">
        <f>SUM(Caledonia!K25,'New Albany'!K25,Wheatland!K25,Wilton!K25,Brownsville!K25,Gleason!K25)</f>
        <v>3003.0537211289256</v>
      </c>
      <c r="L26" s="283">
        <f>SUM(Caledonia!L25,'New Albany'!L25,Wheatland!L25,Wilton!L25,Brownsville!L25,Gleason!L25)</f>
        <v>3093.1453327627933</v>
      </c>
      <c r="M26" s="283">
        <f>SUM(Caledonia!M25,'New Albany'!M25,Wheatland!M25,Wilton!M25,Brownsville!M25,Gleason!M25)</f>
        <v>3185.9396927456773</v>
      </c>
      <c r="N26" s="283">
        <f>SUM(Caledonia!N25,'New Albany'!N25,Wheatland!N25,Wilton!N25,Brownsville!N25,Gleason!N25)</f>
        <v>3281.5178835280476</v>
      </c>
      <c r="O26" s="283">
        <f>SUM(Caledonia!O25,'New Albany'!O25,Wheatland!O25,Wilton!O25,Brownsville!O25,Gleason!O25)</f>
        <v>3379.9634200338892</v>
      </c>
      <c r="P26" s="283">
        <f>SUM(Caledonia!P25,'New Albany'!P25,Wheatland!P25,Wilton!P25,Brownsville!P25,Gleason!P25)</f>
        <v>3481.3623226349059</v>
      </c>
      <c r="Q26" s="283">
        <f>SUM(Caledonia!Q25,'New Albany'!Q25,Wheatland!Q25,Wilton!Q25,Brownsville!Q25,Gleason!Q25)</f>
        <v>3585.8031923139529</v>
      </c>
      <c r="R26" s="283">
        <f>SUM(Caledonia!R25,'New Albany'!R25,Wheatland!R25,Wilton!R25,Brownsville!R25,Gleason!R25)</f>
        <v>3693.3772880833722</v>
      </c>
      <c r="S26" s="283">
        <f>SUM(Caledonia!S25,'New Albany'!S25,Wheatland!S25,Wilton!S25,Brownsville!S25,Gleason!S25)</f>
        <v>3804.1786067258731</v>
      </c>
      <c r="T26" s="283">
        <f>SUM(Caledonia!T25,'New Albany'!T25,Wheatland!T25,Wilton!T25,Brownsville!T25,Gleason!T25)</f>
        <v>3918.3039649276493</v>
      </c>
      <c r="U26" s="283">
        <f>SUM(Caledonia!U25,'New Albany'!U25,Wheatland!U25,Wilton!U25,Brownsville!U25,Gleason!U25)</f>
        <v>4035.8530838754791</v>
      </c>
      <c r="W26" s="953">
        <f t="shared" si="4"/>
        <v>61844.601879724731</v>
      </c>
      <c r="X26" s="954">
        <f>SUM(Caledonia!W25,'New Albany'!W25,Wheatland!W25,Wilton!W25,Brownsville!W25,Gleason!W25)</f>
        <v>61844.601879724731</v>
      </c>
      <c r="Y26" s="954">
        <f t="shared" si="5"/>
        <v>0</v>
      </c>
    </row>
    <row r="27" spans="1:25" ht="14.25" customHeight="1">
      <c r="A27" s="4" t="s">
        <v>462</v>
      </c>
      <c r="B27" s="283">
        <f>SUM(Caledonia!B26,'New Albany'!B26,Wheatland!B26,Wilton!B26,Brownsville!B26,Gleason!B26)</f>
        <v>2138.7599999999998</v>
      </c>
      <c r="C27" s="283">
        <f>SUM(Caledonia!C26,'New Albany'!C26,Wheatland!C26,Wilton!C26,Brownsville!C26,Gleason!C26)</f>
        <v>2485.4070000000002</v>
      </c>
      <c r="D27" s="283">
        <f>SUM(Caledonia!D26,'New Albany'!D26,Wheatland!D26,Wilton!D26,Brownsville!D26,Gleason!D26)</f>
        <v>2675.4930000000004</v>
      </c>
      <c r="E27" s="283">
        <f>SUM(Caledonia!E26,'New Albany'!E26,Wheatland!E26,Wilton!E26,Brownsville!E26,Gleason!E26)</f>
        <v>2752.7350000000001</v>
      </c>
      <c r="F27" s="283">
        <f>SUM(Caledonia!F26,'New Albany'!F26,Wheatland!F26,Wilton!F26,Brownsville!F26,Gleason!F26)</f>
        <v>2800.4010000000003</v>
      </c>
      <c r="G27" s="283">
        <f>SUM(Caledonia!G26,'New Albany'!G26,Wheatland!G26,Wilton!G26,Brownsville!G26,Gleason!G26)</f>
        <v>3000.837</v>
      </c>
      <c r="H27" s="283">
        <f>SUM(Caledonia!H26,'New Albany'!H26,Wheatland!H26,Wilton!H26,Brownsville!H26,Gleason!H26)</f>
        <v>3133.239</v>
      </c>
      <c r="I27" s="283">
        <f>SUM(Caledonia!I26,'New Albany'!I26,Wheatland!I26,Wilton!I26,Brownsville!I26,Gleason!I26)</f>
        <v>3204.1120000000001</v>
      </c>
      <c r="J27" s="283">
        <f>SUM(Caledonia!J26,'New Albany'!J26,Wheatland!J26,Wilton!J26,Brownsville!J26,Gleason!J26)</f>
        <v>3150.1800000000003</v>
      </c>
      <c r="K27" s="283">
        <f>SUM(Caledonia!K26,'New Albany'!K26,Wheatland!K26,Wilton!K26,Brownsville!K26,Gleason!K26)</f>
        <v>3985.1379999999999</v>
      </c>
      <c r="L27" s="283">
        <f>SUM(Caledonia!L26,'New Albany'!L26,Wheatland!L26,Wilton!L26,Brownsville!L26,Gleason!L26)</f>
        <v>3774.3130000000001</v>
      </c>
      <c r="M27" s="283">
        <f>SUM(Caledonia!M26,'New Albany'!M26,Wheatland!M26,Wilton!M26,Brownsville!M26,Gleason!M26)</f>
        <v>3371.88</v>
      </c>
      <c r="N27" s="283">
        <f>SUM(Caledonia!N26,'New Albany'!N26,Wheatland!N26,Wilton!N26,Brownsville!N26,Gleason!N26)</f>
        <v>3464.7</v>
      </c>
      <c r="O27" s="283">
        <f>SUM(Caledonia!O26,'New Albany'!O26,Wheatland!O26,Wilton!O26,Brownsville!O26,Gleason!O26)</f>
        <v>3464.7</v>
      </c>
      <c r="P27" s="283">
        <f>SUM(Caledonia!P26,'New Albany'!P26,Wheatland!P26,Wilton!P26,Brownsville!P26,Gleason!P26)</f>
        <v>3953.498301179623</v>
      </c>
      <c r="Q27" s="283">
        <f>SUM(Caledonia!Q26,'New Albany'!Q26,Wheatland!Q26,Wilton!Q26,Brownsville!Q26,Gleason!Q26)</f>
        <v>3397.5323122032155</v>
      </c>
      <c r="R27" s="283">
        <f>SUM(Caledonia!R26,'New Albany'!R26,Wheatland!R26,Wilton!R26,Brownsville!R26,Gleason!R26)</f>
        <v>3421.1349584472796</v>
      </c>
      <c r="S27" s="283">
        <f>SUM(Caledonia!S26,'New Albany'!S26,Wheatland!S26,Wilton!S26,Brownsville!S26,Gleason!S26)</f>
        <v>3445.2096576162253</v>
      </c>
      <c r="T27" s="283">
        <f>SUM(Caledonia!T26,'New Albany'!T26,Wheatland!T26,Wilton!T26,Brownsville!T26,Gleason!T26)</f>
        <v>3469.7658507685501</v>
      </c>
      <c r="U27" s="283">
        <f>SUM(Caledonia!U26,'New Albany'!U26,Wheatland!U26,Wilton!U26,Brownsville!U26,Gleason!U26)</f>
        <v>3485.5551622965972</v>
      </c>
      <c r="W27" s="953">
        <f t="shared" si="4"/>
        <v>64574.591242511466</v>
      </c>
      <c r="X27" s="954">
        <f>SUM(Caledonia!W26,'New Albany'!W26,Wheatland!W26,Wilton!W26,Brownsville!W26,Gleason!W26)</f>
        <v>64574.591242511488</v>
      </c>
      <c r="Y27" s="954">
        <f t="shared" si="5"/>
        <v>0</v>
      </c>
    </row>
    <row r="28" spans="1:25">
      <c r="A28" s="4" t="s">
        <v>463</v>
      </c>
      <c r="B28" s="600">
        <f>SUM(Caledonia!B27,'New Albany'!B27,Wheatland!B27,Wilton!B27,Brownsville!B27,Gleason!B27)</f>
        <v>2194.931372852478</v>
      </c>
      <c r="C28" s="600">
        <f>SUM(Caledonia!C27,'New Albany'!C27,Wheatland!C27,Wilton!C27,Brownsville!C27,Gleason!C27)</f>
        <v>2066.3707119415567</v>
      </c>
      <c r="D28" s="600">
        <f>SUM(Caledonia!D27,'New Albany'!D27,Wheatland!D27,Wilton!D27,Brownsville!D27,Gleason!D27)</f>
        <v>2011.9827854363025</v>
      </c>
      <c r="E28" s="600">
        <f>SUM(Caledonia!E27,'New Albany'!E27,Wheatland!E27,Wilton!E27,Brownsville!E27,Gleason!E27)</f>
        <v>1921.8016903465718</v>
      </c>
      <c r="F28" s="600">
        <f>SUM(Caledonia!F27,'New Albany'!F27,Wheatland!F27,Wilton!F27,Brownsville!F27,Gleason!F27)</f>
        <v>1829.9657978228138</v>
      </c>
      <c r="G28" s="600">
        <f>SUM(Caledonia!G27,'New Albany'!G27,Wheatland!G27,Wilton!G27,Brownsville!G27,Gleason!G27)</f>
        <v>1736.8106169920109</v>
      </c>
      <c r="H28" s="600">
        <f>SUM(Caledonia!H27,'New Albany'!H27,Wheatland!H27,Wilton!H27,Brownsville!H27,Gleason!H27)</f>
        <v>1658.3517298927206</v>
      </c>
      <c r="I28" s="600">
        <f>SUM(Caledonia!I27,'New Albany'!I27,Wheatland!I27,Wilton!I27,Brownsville!I27,Gleason!I27)</f>
        <v>1583.7172919305756</v>
      </c>
      <c r="J28" s="600">
        <f>SUM(Caledonia!J27,'New Albany'!J27,Wheatland!J27,Wilton!J27,Brownsville!J27,Gleason!J27)</f>
        <v>1510.0392828251611</v>
      </c>
      <c r="K28" s="600">
        <f>SUM(Caledonia!K27,'New Albany'!K27,Wheatland!K27,Wilton!K27,Brownsville!K27,Gleason!K27)</f>
        <v>1434.6218238386236</v>
      </c>
      <c r="L28" s="600">
        <f>SUM(Caledonia!L27,'New Albany'!L27,Wheatland!L27,Wilton!L27,Brownsville!L27,Gleason!L27)</f>
        <v>1362.0716987803323</v>
      </c>
      <c r="M28" s="600">
        <f>SUM(Caledonia!M27,'New Albany'!M27,Wheatland!M27,Wilton!M27,Brownsville!M27,Gleason!M27)</f>
        <v>1289.2536988953159</v>
      </c>
      <c r="N28" s="600">
        <f>SUM(Caledonia!N27,'New Albany'!N27,Wheatland!N27,Wilton!N27,Brownsville!N27,Gleason!N27)</f>
        <v>1215.7871114333166</v>
      </c>
      <c r="O28" s="600">
        <f>SUM(Caledonia!O27,'New Albany'!O27,Wheatland!O27,Wilton!O27,Brownsville!O27,Gleason!O27)</f>
        <v>1141.563275649017</v>
      </c>
      <c r="P28" s="600">
        <f>SUM(Caledonia!P27,'New Albany'!P27,Wheatland!P27,Wilton!P27,Brownsville!P27,Gleason!P27)</f>
        <v>1067.1783187947913</v>
      </c>
      <c r="Q28" s="600">
        <f>SUM(Caledonia!Q27,'New Albany'!Q27,Wheatland!Q27,Wilton!Q27,Brownsville!Q27,Gleason!Q27)</f>
        <v>1003.1636223018961</v>
      </c>
      <c r="R28" s="600">
        <f>SUM(Caledonia!R27,'New Albany'!R27,Wheatland!R27,Wilton!R27,Brownsville!R27,Gleason!R27)</f>
        <v>949.39311283708071</v>
      </c>
      <c r="S28" s="600">
        <f>SUM(Caledonia!S27,'New Albany'!S27,Wheatland!S27,Wilton!S27,Brownsville!S27,Gleason!S27)</f>
        <v>895.63901433394176</v>
      </c>
      <c r="T28" s="600">
        <f>SUM(Caledonia!T27,'New Albany'!T27,Wheatland!T27,Wilton!T27,Brownsville!T27,Gleason!T27)</f>
        <v>841.9056427455032</v>
      </c>
      <c r="U28" s="600">
        <f>SUM(Caledonia!U27,'New Albany'!U27,Wheatland!U27,Wilton!U27,Brownsville!U27,Gleason!U27)</f>
        <v>788.19701483971039</v>
      </c>
      <c r="V28" s="55"/>
      <c r="W28" s="953">
        <f t="shared" si="4"/>
        <v>28502.745614489722</v>
      </c>
      <c r="X28" s="954">
        <f>SUM(Caledonia!W27,'New Albany'!W27,Wheatland!W27,Wilton!W27,Brownsville!W27,Gleason!W27)</f>
        <v>28502.745614489722</v>
      </c>
      <c r="Y28" s="954">
        <f t="shared" si="5"/>
        <v>0</v>
      </c>
    </row>
    <row r="29" spans="1:25">
      <c r="A29" s="4" t="s">
        <v>22</v>
      </c>
      <c r="B29" s="283">
        <f t="shared" ref="B29:U29" si="6">SUM(B23:B28)</f>
        <v>27427.4081608954</v>
      </c>
      <c r="C29" s="283">
        <f t="shared" si="6"/>
        <v>28338.30600362577</v>
      </c>
      <c r="D29" s="283">
        <f t="shared" si="6"/>
        <v>29187.599925871044</v>
      </c>
      <c r="E29" s="283">
        <f t="shared" si="6"/>
        <v>29909.664554994357</v>
      </c>
      <c r="F29" s="283">
        <f t="shared" si="6"/>
        <v>30622.548498410029</v>
      </c>
      <c r="G29" s="283">
        <f t="shared" si="6"/>
        <v>31509.594768596846</v>
      </c>
      <c r="H29" s="283">
        <f t="shared" si="6"/>
        <v>32366.696296045706</v>
      </c>
      <c r="I29" s="283">
        <f t="shared" si="6"/>
        <v>33190.18802506815</v>
      </c>
      <c r="J29" s="283">
        <f t="shared" si="6"/>
        <v>33914.648777956856</v>
      </c>
      <c r="K29" s="283">
        <f t="shared" si="6"/>
        <v>35551.822203824267</v>
      </c>
      <c r="L29" s="283">
        <f t="shared" si="6"/>
        <v>36172.408950165547</v>
      </c>
      <c r="M29" s="283">
        <f t="shared" si="6"/>
        <v>36628.238677822083</v>
      </c>
      <c r="N29" s="283">
        <f t="shared" si="6"/>
        <v>37606.605239727891</v>
      </c>
      <c r="O29" s="283">
        <f t="shared" si="6"/>
        <v>38520.164947792429</v>
      </c>
      <c r="P29" s="283">
        <f t="shared" si="6"/>
        <v>39951.995342282142</v>
      </c>
      <c r="Q29" s="283">
        <f t="shared" si="6"/>
        <v>40379.954218482053</v>
      </c>
      <c r="R29" s="283">
        <f t="shared" si="6"/>
        <v>41429.164103780618</v>
      </c>
      <c r="S29" s="283">
        <f t="shared" si="6"/>
        <v>42511.243785421313</v>
      </c>
      <c r="T29" s="283">
        <f t="shared" si="6"/>
        <v>43627.178460389325</v>
      </c>
      <c r="U29" s="283">
        <f t="shared" si="6"/>
        <v>44768.724353017853</v>
      </c>
      <c r="W29" s="953">
        <f t="shared" si="4"/>
        <v>713614.15529416979</v>
      </c>
      <c r="X29" s="954">
        <f>SUM(Caledonia!W28,'New Albany'!W28,Wheatland!W28,Wilton!W28,Brownsville!W28,Gleason!W28)</f>
        <v>713614.15529416979</v>
      </c>
      <c r="Y29" s="954">
        <f t="shared" si="5"/>
        <v>0</v>
      </c>
    </row>
    <row r="30" spans="1:25">
      <c r="A30" s="955"/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U30" s="282"/>
      <c r="W30" s="953"/>
      <c r="X30" s="275"/>
      <c r="Y30" s="275"/>
    </row>
    <row r="31" spans="1:25">
      <c r="A31" s="6"/>
      <c r="B31" s="274"/>
      <c r="C31" s="274"/>
      <c r="D31" s="274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W31" s="953"/>
      <c r="X31" s="275"/>
      <c r="Y31" s="275"/>
    </row>
    <row r="32" spans="1:25">
      <c r="A32" s="1" t="s">
        <v>23</v>
      </c>
      <c r="B32" s="276">
        <f t="shared" ref="B32:U32" si="7">B20-B29</f>
        <v>177680.30256335178</v>
      </c>
      <c r="C32" s="276">
        <f t="shared" si="7"/>
        <v>177096.43303075299</v>
      </c>
      <c r="D32" s="276">
        <f t="shared" si="7"/>
        <v>176585.08990364039</v>
      </c>
      <c r="E32" s="276">
        <f t="shared" si="7"/>
        <v>208898.30003993292</v>
      </c>
      <c r="F32" s="276">
        <f t="shared" si="7"/>
        <v>219835.48571459821</v>
      </c>
      <c r="G32" s="276">
        <f t="shared" si="7"/>
        <v>223020.10910985898</v>
      </c>
      <c r="H32" s="276">
        <f t="shared" si="7"/>
        <v>226306.69628506326</v>
      </c>
      <c r="I32" s="276">
        <f t="shared" si="7"/>
        <v>229700.32015338406</v>
      </c>
      <c r="J32" s="276">
        <f t="shared" si="7"/>
        <v>233268.60972890729</v>
      </c>
      <c r="K32" s="276">
        <f t="shared" si="7"/>
        <v>235988.5932867979</v>
      </c>
      <c r="L32" s="276">
        <f t="shared" si="7"/>
        <v>240410.20860099664</v>
      </c>
      <c r="M32" s="276">
        <f t="shared" si="7"/>
        <v>245095.57628469079</v>
      </c>
      <c r="N32" s="276">
        <f t="shared" si="7"/>
        <v>249350.73879004439</v>
      </c>
      <c r="O32" s="276">
        <f t="shared" si="7"/>
        <v>253772.3489547327</v>
      </c>
      <c r="P32" s="276">
        <f t="shared" si="7"/>
        <v>257772.04886117522</v>
      </c>
      <c r="Q32" s="276">
        <f t="shared" si="7"/>
        <v>261928.1366757263</v>
      </c>
      <c r="R32" s="276">
        <f t="shared" si="7"/>
        <v>265529.08366466878</v>
      </c>
      <c r="S32" s="276">
        <f t="shared" si="7"/>
        <v>269171.90668593551</v>
      </c>
      <c r="T32" s="276">
        <f t="shared" si="7"/>
        <v>272856.91380543611</v>
      </c>
      <c r="U32" s="276">
        <f t="shared" si="7"/>
        <v>276593.78266094258</v>
      </c>
      <c r="W32" s="953">
        <f>SUM(B32:U32)</f>
        <v>4700860.684800636</v>
      </c>
      <c r="X32" s="954">
        <f>SUM(Caledonia!W31,'New Albany'!W31,Wheatland!W31,Wilton!W31,Brownsville!W31,Gleason!W31)</f>
        <v>4700860.684800637</v>
      </c>
      <c r="Y32" s="954">
        <f>W32-X32</f>
        <v>0</v>
      </c>
    </row>
    <row r="33" spans="1:25">
      <c r="A33" s="1"/>
      <c r="B33" s="282"/>
      <c r="C33" s="282"/>
      <c r="D33" s="282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282"/>
      <c r="Q33" s="282"/>
      <c r="R33" s="282"/>
      <c r="S33" s="282"/>
      <c r="T33" s="282"/>
      <c r="U33" s="282"/>
      <c r="W33" s="953"/>
      <c r="X33" s="275"/>
      <c r="Y33" s="275"/>
    </row>
    <row r="34" spans="1:25">
      <c r="A34" s="4" t="s">
        <v>24</v>
      </c>
      <c r="B34" s="283">
        <f>ENA_Depreciation!C58</f>
        <v>44225.064199866087</v>
      </c>
      <c r="C34" s="283">
        <f>ENA_Depreciation!D58</f>
        <v>44225.064199866087</v>
      </c>
      <c r="D34" s="283">
        <f>ENA_Depreciation!E58</f>
        <v>44225.064199866087</v>
      </c>
      <c r="E34" s="283">
        <f>ENA_Depreciation!F58</f>
        <v>44225.064199866087</v>
      </c>
      <c r="F34" s="283">
        <f>ENA_Depreciation!G58</f>
        <v>44225.064199866087</v>
      </c>
      <c r="G34" s="283">
        <f>ENA_Depreciation!H58</f>
        <v>44225.064199866087</v>
      </c>
      <c r="H34" s="283">
        <f>ENA_Depreciation!I58</f>
        <v>44225.064199866087</v>
      </c>
      <c r="I34" s="283">
        <f>ENA_Depreciation!J58</f>
        <v>44225.064199866087</v>
      </c>
      <c r="J34" s="283">
        <f>ENA_Depreciation!K58</f>
        <v>44225.064199866087</v>
      </c>
      <c r="K34" s="283">
        <f>ENA_Depreciation!L58</f>
        <v>44225.064199866087</v>
      </c>
      <c r="L34" s="283">
        <f>ENA_Depreciation!M58</f>
        <v>44225.064199866087</v>
      </c>
      <c r="M34" s="283">
        <f>ENA_Depreciation!N58</f>
        <v>44225.064199866087</v>
      </c>
      <c r="N34" s="283">
        <f>ENA_Depreciation!O58</f>
        <v>44225.064199866087</v>
      </c>
      <c r="O34" s="283">
        <f>ENA_Depreciation!P58</f>
        <v>44225.064199866087</v>
      </c>
      <c r="P34" s="283">
        <f>ENA_Depreciation!Q58</f>
        <v>44225.064199866087</v>
      </c>
      <c r="Q34" s="283">
        <f>ENA_Depreciation!R58</f>
        <v>44225.064199866087</v>
      </c>
      <c r="R34" s="283">
        <f>ENA_Depreciation!S58</f>
        <v>44225.064199866087</v>
      </c>
      <c r="S34" s="283">
        <f>ENA_Depreciation!T58</f>
        <v>44225.064199866087</v>
      </c>
      <c r="T34" s="283">
        <f>ENA_Depreciation!U58</f>
        <v>44225.064199866087</v>
      </c>
      <c r="U34" s="283">
        <f>ENA_Depreciation!V58</f>
        <v>44225.064199866087</v>
      </c>
      <c r="W34" s="953">
        <f>SUM(B34:U34)</f>
        <v>884501.28399732127</v>
      </c>
      <c r="X34" s="954">
        <f>SUM(Caledonia!W33,'New Albany'!W33,Wheatland!W33,Wilton!W33,Brownsville!W33,Gleason!W33)</f>
        <v>884501.2839973215</v>
      </c>
      <c r="Y34" s="954">
        <f>W34-X34</f>
        <v>0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953"/>
      <c r="X35" s="275"/>
      <c r="Y35" s="275"/>
    </row>
    <row r="36" spans="1:25">
      <c r="A36" s="1" t="s">
        <v>25</v>
      </c>
      <c r="B36" s="276">
        <f t="shared" ref="B36:U36" si="8">B32-B34</f>
        <v>133455.2383634857</v>
      </c>
      <c r="C36" s="276">
        <f t="shared" si="8"/>
        <v>132871.3688308869</v>
      </c>
      <c r="D36" s="276">
        <f t="shared" si="8"/>
        <v>132360.0257037743</v>
      </c>
      <c r="E36" s="276">
        <f t="shared" si="8"/>
        <v>164673.23584006683</v>
      </c>
      <c r="F36" s="276">
        <f t="shared" si="8"/>
        <v>175610.42151473212</v>
      </c>
      <c r="G36" s="276">
        <f t="shared" si="8"/>
        <v>178795.0449099929</v>
      </c>
      <c r="H36" s="276">
        <f t="shared" si="8"/>
        <v>182081.63208519717</v>
      </c>
      <c r="I36" s="276">
        <f t="shared" si="8"/>
        <v>185475.25595351798</v>
      </c>
      <c r="J36" s="276">
        <f t="shared" si="8"/>
        <v>189043.54552904121</v>
      </c>
      <c r="K36" s="276">
        <f t="shared" si="8"/>
        <v>191763.52908693181</v>
      </c>
      <c r="L36" s="276">
        <f t="shared" si="8"/>
        <v>196185.14440113056</v>
      </c>
      <c r="M36" s="276">
        <f t="shared" si="8"/>
        <v>200870.5120848247</v>
      </c>
      <c r="N36" s="276">
        <f t="shared" si="8"/>
        <v>205125.6745901783</v>
      </c>
      <c r="O36" s="276">
        <f t="shared" si="8"/>
        <v>209547.28475486662</v>
      </c>
      <c r="P36" s="276">
        <f t="shared" si="8"/>
        <v>213546.98466130914</v>
      </c>
      <c r="Q36" s="276">
        <f t="shared" si="8"/>
        <v>217703.07247586022</v>
      </c>
      <c r="R36" s="276">
        <f t="shared" si="8"/>
        <v>221304.0194648027</v>
      </c>
      <c r="S36" s="276">
        <f t="shared" si="8"/>
        <v>224946.84248606942</v>
      </c>
      <c r="T36" s="276">
        <f t="shared" si="8"/>
        <v>228631.84960557002</v>
      </c>
      <c r="U36" s="276">
        <f t="shared" si="8"/>
        <v>232368.7184610765</v>
      </c>
      <c r="W36" s="953">
        <f>SUM(B36:U36)</f>
        <v>3816359.4008033155</v>
      </c>
      <c r="X36" s="954">
        <f>SUM(Caledonia!W35,'New Albany'!W35,Wheatland!W35,Wilton!W35,Brownsville!W35,Gleason!W35)</f>
        <v>3816359.400803315</v>
      </c>
      <c r="Y36" s="954">
        <f>W36-X36</f>
        <v>0</v>
      </c>
    </row>
    <row r="37" spans="1:25">
      <c r="A37" s="1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W37" s="953"/>
      <c r="X37" s="275"/>
      <c r="Y37" s="275"/>
    </row>
    <row r="38" spans="1:25">
      <c r="A38" s="4" t="s">
        <v>26</v>
      </c>
      <c r="B38" s="283">
        <f>ENA_Debt!B91</f>
        <v>80195.063655030797</v>
      </c>
      <c r="C38" s="283">
        <f>ENA_Debt!C91</f>
        <v>78991.765229294993</v>
      </c>
      <c r="D38" s="283">
        <f>ENA_Debt!D91</f>
        <v>77294.472108145099</v>
      </c>
      <c r="E38" s="283">
        <f>ENA_Debt!E91</f>
        <v>75962.102669404514</v>
      </c>
      <c r="F38" s="283">
        <f>ENA_Debt!F91</f>
        <v>73604.857221081445</v>
      </c>
      <c r="G38" s="283">
        <f>ENA_Debt!G91</f>
        <v>70810.911430527034</v>
      </c>
      <c r="H38" s="283">
        <f>ENA_Debt!H91</f>
        <v>67670.892539356602</v>
      </c>
      <c r="I38" s="283">
        <f>ENA_Debt!I91</f>
        <v>64385.85626283368</v>
      </c>
      <c r="J38" s="283">
        <f>ENA_Debt!J91</f>
        <v>60305.328678986989</v>
      </c>
      <c r="K38" s="283">
        <f>ENA_Debt!K91</f>
        <v>55783.800136892532</v>
      </c>
      <c r="L38" s="283">
        <f>ENA_Debt!L91</f>
        <v>51026.119096509239</v>
      </c>
      <c r="M38" s="283">
        <f>ENA_Debt!M91</f>
        <v>45838.663928815877</v>
      </c>
      <c r="N38" s="283">
        <f>ENA_Debt!N91</f>
        <v>40393.401779603009</v>
      </c>
      <c r="O38" s="283">
        <f>ENA_Debt!O91</f>
        <v>35077.043121149894</v>
      </c>
      <c r="P38" s="283">
        <f>ENA_Debt!P91</f>
        <v>29693.683778234088</v>
      </c>
      <c r="Q38" s="283">
        <f>ENA_Debt!Q91</f>
        <v>24114.420260095823</v>
      </c>
      <c r="R38" s="283">
        <f>ENA_Debt!R91</f>
        <v>18196.511978097195</v>
      </c>
      <c r="S38" s="283">
        <f>ENA_Debt!S91</f>
        <v>12616.520191649557</v>
      </c>
      <c r="T38" s="283">
        <f>ENA_Debt!T91</f>
        <v>7831.7973990417522</v>
      </c>
      <c r="U38" s="283">
        <f>ENA_Debt!U91</f>
        <v>3058.7268993839834</v>
      </c>
      <c r="W38" s="953">
        <f>SUM(B38:U38)</f>
        <v>972851.93836413382</v>
      </c>
      <c r="X38" s="954">
        <f>SUM(Caledonia!W37,'New Albany'!W37,Wheatland!W37,Wilton!W37,Brownsville!W37,Gleason!W37)</f>
        <v>972851.93836413394</v>
      </c>
      <c r="Y38" s="954">
        <f>W38-X38</f>
        <v>0</v>
      </c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953"/>
      <c r="X39" s="275"/>
      <c r="Y39" s="275"/>
    </row>
    <row r="40" spans="1:25">
      <c r="A40" s="1" t="s">
        <v>27</v>
      </c>
      <c r="B40" s="276">
        <f t="shared" ref="B40:U40" si="9">B36-B38</f>
        <v>53260.174708454899</v>
      </c>
      <c r="C40" s="276">
        <f t="shared" si="9"/>
        <v>53879.603601591909</v>
      </c>
      <c r="D40" s="276">
        <f t="shared" si="9"/>
        <v>55065.553595629201</v>
      </c>
      <c r="E40" s="276">
        <f t="shared" si="9"/>
        <v>88711.133170662317</v>
      </c>
      <c r="F40" s="276">
        <f t="shared" si="9"/>
        <v>102005.56429365068</v>
      </c>
      <c r="G40" s="276">
        <f t="shared" si="9"/>
        <v>107984.13347946586</v>
      </c>
      <c r="H40" s="276">
        <f t="shared" si="9"/>
        <v>114410.73954584057</v>
      </c>
      <c r="I40" s="276">
        <f t="shared" si="9"/>
        <v>121089.39969068429</v>
      </c>
      <c r="J40" s="276">
        <f t="shared" si="9"/>
        <v>128738.21685005422</v>
      </c>
      <c r="K40" s="276">
        <f t="shared" si="9"/>
        <v>135979.72895003928</v>
      </c>
      <c r="L40" s="276">
        <f t="shared" si="9"/>
        <v>145159.02530462132</v>
      </c>
      <c r="M40" s="276">
        <f t="shared" si="9"/>
        <v>155031.84815600881</v>
      </c>
      <c r="N40" s="276">
        <f t="shared" si="9"/>
        <v>164732.27281057529</v>
      </c>
      <c r="O40" s="276">
        <f t="shared" si="9"/>
        <v>174470.24163371674</v>
      </c>
      <c r="P40" s="276">
        <f t="shared" si="9"/>
        <v>183853.30088307505</v>
      </c>
      <c r="Q40" s="276">
        <f t="shared" si="9"/>
        <v>193588.65221576439</v>
      </c>
      <c r="R40" s="276">
        <f t="shared" si="9"/>
        <v>203107.50748670549</v>
      </c>
      <c r="S40" s="276">
        <f t="shared" si="9"/>
        <v>212330.32229441986</v>
      </c>
      <c r="T40" s="276">
        <f t="shared" si="9"/>
        <v>220800.05220652826</v>
      </c>
      <c r="U40" s="276">
        <f t="shared" si="9"/>
        <v>229309.9915616925</v>
      </c>
      <c r="W40" s="953">
        <f>SUM(B40:U40)</f>
        <v>2843507.4624391808</v>
      </c>
      <c r="X40" s="954">
        <f>SUM(Caledonia!W39,'New Albany'!W39,Wheatland!W39,Wilton!W39,Brownsville!W39,Gleason!W39)</f>
        <v>2843507.4624391804</v>
      </c>
      <c r="Y40" s="954">
        <f>W40-X40</f>
        <v>0</v>
      </c>
    </row>
    <row r="41" spans="1:25">
      <c r="A41" s="1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W41" s="953"/>
      <c r="X41" s="275"/>
      <c r="Y41" s="275"/>
    </row>
    <row r="42" spans="1:25">
      <c r="A42" s="4" t="s">
        <v>28</v>
      </c>
      <c r="B42" s="283">
        <f>Wheatland!B41+'New Albany'!B41+Wilton!B41+Caledonia!B41+Brownsville!B41+Gleason!B41</f>
        <v>-3033.1714116318749</v>
      </c>
      <c r="C42" s="283">
        <f>Wheatland!C41+'New Albany'!C41+Wilton!C41+Caledonia!C41+Brownsville!C41+Gleason!C41</f>
        <v>-3070.8466031370685</v>
      </c>
      <c r="D42" s="283">
        <f>Wheatland!D41+'New Albany'!D41+Wilton!D41+Caledonia!D41+Brownsville!D41+Gleason!D41</f>
        <v>-3140.0567702424541</v>
      </c>
      <c r="E42" s="283">
        <f>Wheatland!E41+'New Albany'!E41+Wilton!E41+Caledonia!E41+Brownsville!E41+Gleason!E41</f>
        <v>-5060.8932819037382</v>
      </c>
      <c r="F42" s="283">
        <f>Wheatland!F41+'New Albany'!F41+Wilton!F41+Caledonia!F41+Brownsville!F41+Gleason!F41</f>
        <v>-5818.2121107032626</v>
      </c>
      <c r="G42" s="283">
        <f>Wheatland!G41+'New Albany'!G41+Wilton!G41+Caledonia!G41+Brownsville!G41+Gleason!G41</f>
        <v>-6163.3365688931644</v>
      </c>
      <c r="H42" s="283">
        <f>Wheatland!H41+'New Albany'!H41+Wilton!H41+Caledonia!H41+Brownsville!H41+Gleason!H41</f>
        <v>-6535.2211319119488</v>
      </c>
      <c r="I42" s="283">
        <f>Wheatland!I41+'New Albany'!I41+Wilton!I41+Caledonia!I41+Brownsville!I41+Gleason!I41</f>
        <v>-6920.8904642557845</v>
      </c>
      <c r="J42" s="283">
        <f>Wheatland!J41+'New Albany'!J41+Wilton!J41+Caledonia!J41+Brownsville!J41+Gleason!J41</f>
        <v>-7360.8039874789602</v>
      </c>
      <c r="K42" s="283">
        <f>Wheatland!K41+'New Albany'!K41+Wilton!K41+Caledonia!K41+Brownsville!K41+Gleason!K41</f>
        <v>-7783.6185836724662</v>
      </c>
      <c r="L42" s="283">
        <f>Wheatland!L41+'New Albany'!L41+Wilton!L41+Caledonia!L41+Brownsville!L41+Gleason!L41</f>
        <v>-8312.8348711945328</v>
      </c>
      <c r="M42" s="283">
        <f>Wheatland!M41+'New Albany'!M41+Wilton!M41+Caledonia!M41+Brownsville!M41+Gleason!M41</f>
        <v>-8879.7309591942612</v>
      </c>
      <c r="N42" s="283">
        <f>Wheatland!N41+'New Albany'!N41+Wilton!N41+Caledonia!N41+Brownsville!N41+Gleason!N41</f>
        <v>-9437.0194265543396</v>
      </c>
      <c r="O42" s="283">
        <f>Wheatland!O41+'New Albany'!O41+Wilton!O41+Caledonia!O41+Brownsville!O41+Gleason!O41</f>
        <v>-9999.4513639276011</v>
      </c>
      <c r="P42" s="283">
        <f>Wheatland!P41+'New Albany'!P41+Wilton!P41+Caledonia!P41+Brownsville!P41+Gleason!P41</f>
        <v>-10540.36478176178</v>
      </c>
      <c r="Q42" s="283">
        <f>Wheatland!Q41+'New Albany'!Q41+Wilton!Q41+Caledonia!Q41+Brownsville!Q41+Gleason!Q41</f>
        <v>-11100.846302676182</v>
      </c>
      <c r="R42" s="283">
        <f>Wheatland!R41+'New Albany'!R41+Wilton!R41+Caledonia!R41+Brownsville!R41+Gleason!R41</f>
        <v>-11647.454403635251</v>
      </c>
      <c r="S42" s="283">
        <f>Wheatland!S41+'New Albany'!S41+Wilton!S41+Caledonia!S41+Brownsville!S41+Gleason!S41</f>
        <v>-12177.13889368924</v>
      </c>
      <c r="T42" s="283">
        <f>Wheatland!T41+'New Albany'!T41+Wilton!T41+Caledonia!T41+Brownsville!T41+Gleason!T41</f>
        <v>-12663.711656434869</v>
      </c>
      <c r="U42" s="283">
        <f>Wheatland!U41+'New Albany'!U41+Wilton!U41+Caledonia!U41+Brownsville!U41+Gleason!U41</f>
        <v>-13152.656017250676</v>
      </c>
      <c r="W42" s="953">
        <f>SUM(B42:U42)</f>
        <v>-162798.25959014945</v>
      </c>
      <c r="X42" s="954">
        <f>SUM(Caledonia!W41,'New Albany'!W41,Wheatland!W41,Wilton!W41,Brownsville!W41,Gleason!W41)</f>
        <v>-162798.25959014945</v>
      </c>
      <c r="Y42" s="954">
        <f>W42-X42</f>
        <v>0</v>
      </c>
    </row>
    <row r="43" spans="1:25">
      <c r="A43" s="4" t="s">
        <v>29</v>
      </c>
      <c r="B43" s="283">
        <f>Wheatland!B42+'New Albany'!B42+Wilton!B42+Caledonia!B42+Brownsville!B42+Gleason!B42</f>
        <v>-17579.451153888051</v>
      </c>
      <c r="C43" s="283">
        <f>Wheatland!C42+'New Albany'!C42+Wilton!C42+Caledonia!C42+Brownsville!C42+Gleason!C42</f>
        <v>-17783.0649494592</v>
      </c>
      <c r="D43" s="283">
        <f>Wheatland!D42+'New Albany'!D42+Wilton!D42+Caledonia!D42+Brownsville!D42+Gleason!D42</f>
        <v>-18173.923888885343</v>
      </c>
      <c r="E43" s="283">
        <f>Wheatland!E42+'New Albany'!E42+Wilton!E42+Caledonia!E42+Brownsville!E42+Gleason!E42</f>
        <v>-29277.583961065491</v>
      </c>
      <c r="F43" s="283">
        <f>Wheatland!F42+'New Albany'!F42+Wilton!F42+Caledonia!F42+Brownsville!F42+Gleason!F42</f>
        <v>-33665.573264031598</v>
      </c>
      <c r="G43" s="283">
        <f>Wheatland!G42+'New Albany'!G42+Wilton!G42+Caledonia!G42+Brownsville!G42+Gleason!G42</f>
        <v>-35637.278918700438</v>
      </c>
      <c r="H43" s="283">
        <f>Wheatland!H42+'New Albany'!H42+Wilton!H42+Caledonia!H42+Brownsville!H42+Gleason!H42</f>
        <v>-37756.431444875016</v>
      </c>
      <c r="I43" s="283">
        <f>Wheatland!I42+'New Albany'!I42+Wilton!I42+Caledonia!I42+Brownsville!I42+Gleason!I42</f>
        <v>-39958.978229249973</v>
      </c>
      <c r="J43" s="283">
        <f>Wheatland!J42+'New Albany'!J42+Wilton!J42+Caledonia!J42+Brownsville!J42+Gleason!J42</f>
        <v>-42482.094501901338</v>
      </c>
      <c r="K43" s="283">
        <f>Wheatland!K42+'New Albany'!K42+Wilton!K42+Caledonia!K42+Brownsville!K42+Gleason!K42</f>
        <v>-44868.638628228371</v>
      </c>
      <c r="L43" s="283">
        <f>Wheatland!L42+'New Albany'!L42+Wilton!L42+Caledonia!L42+Brownsville!L42+Gleason!L42</f>
        <v>-47896.166651699357</v>
      </c>
      <c r="M43" s="283">
        <f>Wheatland!M42+'New Albany'!M42+Wilton!M42+Caledonia!M42+Brownsville!M42+Gleason!M42</f>
        <v>-51153.241018885106</v>
      </c>
      <c r="N43" s="283">
        <f>Wheatland!N42+'New Albany'!N42+Wilton!N42+Caledonia!N42+Brownsville!N42+Gleason!N42</f>
        <v>-54353.338684407317</v>
      </c>
      <c r="O43" s="283">
        <f>Wheatland!O42+'New Albany'!O42+Wilton!O42+Caledonia!O42+Brownsville!O42+Gleason!O42</f>
        <v>-57564.776594426177</v>
      </c>
      <c r="P43" s="283">
        <f>Wheatland!P42+'New Albany'!P42+Wilton!P42+Caledonia!P42+Brownsville!P42+Gleason!P42</f>
        <v>-60659.527635459621</v>
      </c>
      <c r="Q43" s="283">
        <f>Wheatland!Q42+'New Albany'!Q42+Wilton!Q42+Caledonia!Q42+Brownsville!Q42+Gleason!Q42</f>
        <v>-63870.732069580859</v>
      </c>
      <c r="R43" s="283">
        <f>Wheatland!R42+'New Albany'!R42+Wilton!R42+Caledonia!R42+Brownsville!R42+Gleason!R42</f>
        <v>-67011.018579074604</v>
      </c>
      <c r="S43" s="283">
        <f>Wheatland!S42+'New Albany'!S42+Wilton!S42+Caledonia!S42+Brownsville!S42+Gleason!S42</f>
        <v>-70053.614190255685</v>
      </c>
      <c r="T43" s="283">
        <f>Wheatland!T42+'New Albany'!T42+Wilton!T42+Caledonia!T42+Brownsville!T42+Gleason!T42</f>
        <v>-72847.719192532692</v>
      </c>
      <c r="U43" s="283">
        <f>Wheatland!U42+'New Albany'!U42+Wilton!U42+Caledonia!U42+Brownsville!U42+Gleason!U42</f>
        <v>-75655.067440554645</v>
      </c>
      <c r="W43" s="953">
        <f>SUM(B43:U43)</f>
        <v>-938248.22099716088</v>
      </c>
      <c r="X43" s="954">
        <f>SUM(Caledonia!W42,'New Albany'!W42,Wheatland!W42,Wilton!W42,Brownsville!W42,Gleason!W42)</f>
        <v>-938248.22099716088</v>
      </c>
      <c r="Y43" s="954">
        <f>W43-X43</f>
        <v>0</v>
      </c>
    </row>
    <row r="44" spans="1:25">
      <c r="A44" s="7"/>
      <c r="B44" s="283"/>
      <c r="C44" s="283"/>
      <c r="D44" s="283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W44" s="953"/>
      <c r="X44" s="275"/>
      <c r="Y44" s="275"/>
    </row>
    <row r="45" spans="1:25" ht="15.75">
      <c r="A45" s="18" t="s">
        <v>30</v>
      </c>
      <c r="B45" s="956">
        <f>B40+B42+B43</f>
        <v>32647.552142934972</v>
      </c>
      <c r="C45" s="956">
        <f>C40+C42+C43</f>
        <v>33025.692048995639</v>
      </c>
      <c r="D45" s="956">
        <f t="shared" ref="D45:U45" si="10">D40+D42+D43</f>
        <v>33751.572936501405</v>
      </c>
      <c r="E45" s="956">
        <f t="shared" si="10"/>
        <v>54372.655927693078</v>
      </c>
      <c r="F45" s="956">
        <f t="shared" si="10"/>
        <v>62521.778918915821</v>
      </c>
      <c r="G45" s="956">
        <f t="shared" si="10"/>
        <v>66183.517991872257</v>
      </c>
      <c r="H45" s="956">
        <f t="shared" si="10"/>
        <v>70119.086969053606</v>
      </c>
      <c r="I45" s="956">
        <f t="shared" si="10"/>
        <v>74209.530997178532</v>
      </c>
      <c r="J45" s="956">
        <f t="shared" si="10"/>
        <v>78895.318360673933</v>
      </c>
      <c r="K45" s="956">
        <f t="shared" si="10"/>
        <v>83327.47173813844</v>
      </c>
      <c r="L45" s="956">
        <f t="shared" si="10"/>
        <v>88950.023781727432</v>
      </c>
      <c r="M45" s="956">
        <f t="shared" si="10"/>
        <v>94998.876177929458</v>
      </c>
      <c r="N45" s="956">
        <f t="shared" si="10"/>
        <v>100941.91469961361</v>
      </c>
      <c r="O45" s="956">
        <f t="shared" si="10"/>
        <v>106906.01367536296</v>
      </c>
      <c r="P45" s="956">
        <f t="shared" si="10"/>
        <v>112653.40846585366</v>
      </c>
      <c r="Q45" s="956">
        <f t="shared" si="10"/>
        <v>118617.07384350734</v>
      </c>
      <c r="R45" s="956">
        <f t="shared" si="10"/>
        <v>124449.03450399563</v>
      </c>
      <c r="S45" s="956">
        <f t="shared" si="10"/>
        <v>130099.56921047495</v>
      </c>
      <c r="T45" s="956">
        <f t="shared" si="10"/>
        <v>135288.62135756068</v>
      </c>
      <c r="U45" s="956">
        <f t="shared" si="10"/>
        <v>140502.26810388718</v>
      </c>
      <c r="W45" s="953">
        <f>SUM(B45:U45)</f>
        <v>1742460.9818518704</v>
      </c>
      <c r="X45" s="954">
        <f>SUM(Caledonia!W44,'New Albany'!W44,Wheatland!W44,Wilton!W44,Brownsville!W44,Gleason!W44)</f>
        <v>1742460.9818518702</v>
      </c>
      <c r="Y45" s="954">
        <f>W45-X45</f>
        <v>0</v>
      </c>
    </row>
    <row r="47" spans="1:25"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</row>
    <row r="48" spans="1:25"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9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>
    <pageSetUpPr fitToPage="1"/>
  </sheetPr>
  <dimension ref="A1:AS41"/>
  <sheetViews>
    <sheetView zoomScale="75" zoomScaleNormal="75" workbookViewId="0"/>
  </sheetViews>
  <sheetFormatPr defaultRowHeight="12.75"/>
  <cols>
    <col min="1" max="1" width="43.140625" style="271" customWidth="1"/>
    <col min="2" max="23" width="10.7109375" style="334" customWidth="1"/>
    <col min="24" max="25" width="10.7109375" style="271" customWidth="1"/>
    <col min="26" max="16384" width="9.140625" style="271"/>
  </cols>
  <sheetData>
    <row r="1" spans="1:45">
      <c r="A1" s="1281"/>
    </row>
    <row r="2" spans="1:45" ht="18.75">
      <c r="A2" s="270" t="s">
        <v>725</v>
      </c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7" spans="1:45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</row>
    <row r="8" spans="1:45" s="313" customFormat="1">
      <c r="A8" s="1188" t="s">
        <v>665</v>
      </c>
      <c r="B8" s="295">
        <v>0</v>
      </c>
      <c r="C8" s="295">
        <v>0</v>
      </c>
      <c r="D8" s="295">
        <v>0</v>
      </c>
      <c r="E8" s="295">
        <v>0</v>
      </c>
      <c r="F8" s="295">
        <v>0</v>
      </c>
      <c r="G8" s="295">
        <v>0</v>
      </c>
      <c r="H8" s="295">
        <v>0</v>
      </c>
      <c r="I8" s="295">
        <v>0</v>
      </c>
      <c r="J8" s="295">
        <v>0</v>
      </c>
      <c r="K8" s="295">
        <v>0</v>
      </c>
      <c r="L8" s="295">
        <v>0</v>
      </c>
      <c r="M8" s="295">
        <v>0</v>
      </c>
      <c r="N8" s="295">
        <v>0</v>
      </c>
      <c r="O8" s="295">
        <v>0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</v>
      </c>
      <c r="V8" s="723"/>
      <c r="W8" s="723"/>
    </row>
    <row r="9" spans="1:45" s="313" customFormat="1">
      <c r="A9" s="1188" t="s">
        <v>666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  <c r="W9" s="723"/>
    </row>
    <row r="10" spans="1:45" s="313" customFormat="1">
      <c r="A10" s="1188" t="s">
        <v>713</v>
      </c>
      <c r="B10" s="295">
        <v>0</v>
      </c>
      <c r="C10" s="295">
        <v>0</v>
      </c>
      <c r="D10" s="295">
        <v>0</v>
      </c>
      <c r="E10" s="295">
        <v>0</v>
      </c>
      <c r="F10" s="295">
        <v>0</v>
      </c>
      <c r="G10" s="295">
        <v>0</v>
      </c>
      <c r="H10" s="295">
        <v>0</v>
      </c>
      <c r="I10" s="295">
        <v>0</v>
      </c>
      <c r="J10" s="295">
        <v>0</v>
      </c>
      <c r="K10" s="295">
        <v>0</v>
      </c>
      <c r="L10" s="295">
        <v>0</v>
      </c>
      <c r="M10" s="295">
        <v>0</v>
      </c>
      <c r="N10" s="295">
        <v>0</v>
      </c>
      <c r="O10" s="295">
        <v>0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723"/>
      <c r="W10" s="723"/>
    </row>
    <row r="11" spans="1:45" s="313" customFormat="1">
      <c r="A11" s="1188" t="s">
        <v>722</v>
      </c>
      <c r="B11" s="295">
        <f>NewCo_Tax!B58+Devel_Summary!D147</f>
        <v>0</v>
      </c>
      <c r="C11" s="295">
        <f>NewCo_Tax!C58+Devel_Summary!E147</f>
        <v>0</v>
      </c>
      <c r="D11" s="295">
        <f>NewCo_Tax!D58+Devel_Summary!F147</f>
        <v>0</v>
      </c>
      <c r="E11" s="295">
        <f>NewCo_Tax!E58+Devel_Summary!G147</f>
        <v>0</v>
      </c>
      <c r="F11" s="295">
        <f>NewCo_Tax!F58+Devel_Summary!H147</f>
        <v>0</v>
      </c>
      <c r="G11" s="295">
        <f>NewCo_Tax!G58+Devel_Summary!I147</f>
        <v>0</v>
      </c>
      <c r="H11" s="295">
        <f>NewCo_Tax!H58+Devel_Summary!J147</f>
        <v>0</v>
      </c>
      <c r="I11" s="295">
        <f>NewCo_Tax!I58+Devel_Summary!K147</f>
        <v>0</v>
      </c>
      <c r="J11" s="295">
        <f>NewCo_Tax!J58+Devel_Summary!L147</f>
        <v>0</v>
      </c>
      <c r="K11" s="295">
        <f>NewCo_Tax!K58+Devel_Summary!M147</f>
        <v>0</v>
      </c>
      <c r="L11" s="295">
        <f>NewCo_Tax!L58+Devel_Summary!N147</f>
        <v>0</v>
      </c>
      <c r="M11" s="295">
        <f>NewCo_Tax!M58+Devel_Summary!O147</f>
        <v>0</v>
      </c>
      <c r="N11" s="295">
        <f>NewCo_Tax!N58+Devel_Summary!P147</f>
        <v>0</v>
      </c>
      <c r="O11" s="295">
        <f>NewCo_Tax!O58+Devel_Summary!Q147</f>
        <v>0</v>
      </c>
      <c r="P11" s="295">
        <f>NewCo_Tax!P58+Devel_Summary!R147</f>
        <v>0</v>
      </c>
      <c r="Q11" s="295">
        <f>NewCo_Tax!Q58+Devel_Summary!S147</f>
        <v>0</v>
      </c>
      <c r="R11" s="295">
        <f>NewCo_Tax!R58+Devel_Summary!T147</f>
        <v>0</v>
      </c>
      <c r="S11" s="295">
        <f>NewCo_Tax!S58+Devel_Summary!U147</f>
        <v>0</v>
      </c>
      <c r="T11" s="295">
        <f>NewCo_Tax!T58+Devel_Summary!V147</f>
        <v>0</v>
      </c>
      <c r="U11" s="295">
        <f>NewCo_Tax!U58+Devel_Summary!W147</f>
        <v>0</v>
      </c>
      <c r="V11" s="723"/>
      <c r="W11" s="723"/>
    </row>
    <row r="12" spans="1:45" s="313" customFormat="1">
      <c r="A12" s="1188" t="s">
        <v>714</v>
      </c>
      <c r="B12" s="295">
        <v>0</v>
      </c>
      <c r="C12" s="295">
        <v>0</v>
      </c>
      <c r="D12" s="295">
        <v>0</v>
      </c>
      <c r="E12" s="295">
        <v>0</v>
      </c>
      <c r="F12" s="295">
        <v>0</v>
      </c>
      <c r="G12" s="295">
        <v>0</v>
      </c>
      <c r="H12" s="295">
        <v>0</v>
      </c>
      <c r="I12" s="295">
        <v>0</v>
      </c>
      <c r="J12" s="295">
        <v>0</v>
      </c>
      <c r="K12" s="295">
        <v>0</v>
      </c>
      <c r="L12" s="295">
        <v>0</v>
      </c>
      <c r="M12" s="295">
        <v>0</v>
      </c>
      <c r="N12" s="295">
        <v>0</v>
      </c>
      <c r="O12" s="295">
        <v>0</v>
      </c>
      <c r="P12" s="295">
        <v>0</v>
      </c>
      <c r="Q12" s="295">
        <v>0</v>
      </c>
      <c r="R12" s="295">
        <v>0</v>
      </c>
      <c r="S12" s="295">
        <v>0</v>
      </c>
      <c r="T12" s="295">
        <v>0</v>
      </c>
      <c r="U12" s="295">
        <v>0</v>
      </c>
      <c r="V12" s="723"/>
      <c r="W12" s="723"/>
    </row>
    <row r="13" spans="1:45" s="313" customFormat="1">
      <c r="A13" s="1188" t="s">
        <v>667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723"/>
      <c r="W13" s="723"/>
    </row>
    <row r="14" spans="1:45" s="313" customFormat="1">
      <c r="A14" s="1238" t="s">
        <v>668</v>
      </c>
      <c r="B14" s="295">
        <f>'ENA_Summary Output'!C14</f>
        <v>1474168.806662203</v>
      </c>
      <c r="C14" s="295">
        <f>B14</f>
        <v>1474168.806662203</v>
      </c>
      <c r="D14" s="295">
        <f t="shared" ref="D14:U14" si="1">C14</f>
        <v>1474168.806662203</v>
      </c>
      <c r="E14" s="295">
        <f t="shared" si="1"/>
        <v>1474168.806662203</v>
      </c>
      <c r="F14" s="295">
        <f t="shared" si="1"/>
        <v>1474168.806662203</v>
      </c>
      <c r="G14" s="295">
        <f t="shared" si="1"/>
        <v>1474168.806662203</v>
      </c>
      <c r="H14" s="295">
        <f t="shared" si="1"/>
        <v>1474168.806662203</v>
      </c>
      <c r="I14" s="295">
        <f t="shared" si="1"/>
        <v>1474168.806662203</v>
      </c>
      <c r="J14" s="295">
        <f t="shared" si="1"/>
        <v>1474168.806662203</v>
      </c>
      <c r="K14" s="295">
        <f t="shared" si="1"/>
        <v>1474168.806662203</v>
      </c>
      <c r="L14" s="295">
        <f t="shared" si="1"/>
        <v>1474168.806662203</v>
      </c>
      <c r="M14" s="295">
        <f t="shared" si="1"/>
        <v>1474168.806662203</v>
      </c>
      <c r="N14" s="295">
        <f t="shared" si="1"/>
        <v>1474168.806662203</v>
      </c>
      <c r="O14" s="295">
        <f t="shared" si="1"/>
        <v>1474168.806662203</v>
      </c>
      <c r="P14" s="295">
        <f t="shared" si="1"/>
        <v>1474168.806662203</v>
      </c>
      <c r="Q14" s="295">
        <f t="shared" si="1"/>
        <v>1474168.806662203</v>
      </c>
      <c r="R14" s="295">
        <f t="shared" si="1"/>
        <v>1474168.806662203</v>
      </c>
      <c r="S14" s="295">
        <f t="shared" si="1"/>
        <v>1474168.806662203</v>
      </c>
      <c r="T14" s="295">
        <f t="shared" si="1"/>
        <v>1474168.806662203</v>
      </c>
      <c r="U14" s="295">
        <f t="shared" si="1"/>
        <v>1474168.806662203</v>
      </c>
      <c r="V14" s="723"/>
      <c r="W14" s="723"/>
    </row>
    <row r="15" spans="1:45" s="313" customFormat="1">
      <c r="A15" s="1238" t="s">
        <v>669</v>
      </c>
      <c r="B15" s="297">
        <f>ENA_Depreciation!C58</f>
        <v>44225.064199866087</v>
      </c>
      <c r="C15" s="297">
        <f>B15+ENA_Depreciation!D58</f>
        <v>88450.128399732173</v>
      </c>
      <c r="D15" s="297">
        <f>C15+ENA_Depreciation!E58</f>
        <v>132675.19259959826</v>
      </c>
      <c r="E15" s="297">
        <f>D15+ENA_Depreciation!F58</f>
        <v>176900.25679946435</v>
      </c>
      <c r="F15" s="297">
        <f>E15+ENA_Depreciation!G58</f>
        <v>221125.32099933043</v>
      </c>
      <c r="G15" s="297">
        <f>F15+ENA_Depreciation!H58</f>
        <v>265350.38519919652</v>
      </c>
      <c r="H15" s="297">
        <f>G15+ENA_Depreciation!I58</f>
        <v>309575.44939906261</v>
      </c>
      <c r="I15" s="297">
        <f>H15+ENA_Depreciation!J58</f>
        <v>353800.51359892869</v>
      </c>
      <c r="J15" s="297">
        <f>I15+ENA_Depreciation!K58</f>
        <v>398025.57779879478</v>
      </c>
      <c r="K15" s="297">
        <f>J15+ENA_Depreciation!L58</f>
        <v>442250.64199866087</v>
      </c>
      <c r="L15" s="297">
        <f>K15+ENA_Depreciation!M58</f>
        <v>486475.70619852695</v>
      </c>
      <c r="M15" s="297">
        <f>L15+ENA_Depreciation!N58</f>
        <v>530700.77039839304</v>
      </c>
      <c r="N15" s="297">
        <f>M15+ENA_Depreciation!O58</f>
        <v>574925.83459825907</v>
      </c>
      <c r="O15" s="297">
        <f>N15+ENA_Depreciation!P58</f>
        <v>619150.8987981251</v>
      </c>
      <c r="P15" s="297">
        <f>O15+ENA_Depreciation!Q58</f>
        <v>663375.96299799113</v>
      </c>
      <c r="Q15" s="297">
        <f>P15+ENA_Depreciation!R58</f>
        <v>707601.02719785715</v>
      </c>
      <c r="R15" s="297">
        <f>Q15+ENA_Depreciation!S58</f>
        <v>751826.09139772318</v>
      </c>
      <c r="S15" s="297">
        <f>R15+ENA_Depreciation!T58</f>
        <v>796051.15559758921</v>
      </c>
      <c r="T15" s="297">
        <f>S15+ENA_Depreciation!U58</f>
        <v>840276.21979745524</v>
      </c>
      <c r="U15" s="297">
        <f>T15+ENA_Depreciation!V58</f>
        <v>884501.28399732127</v>
      </c>
      <c r="V15" s="723"/>
      <c r="W15" s="723"/>
    </row>
    <row r="16" spans="1:45" s="313" customFormat="1">
      <c r="A16" s="1238" t="s">
        <v>670</v>
      </c>
      <c r="B16" s="295">
        <f t="shared" ref="B16:U16" si="2">B14-B15</f>
        <v>1429943.742462337</v>
      </c>
      <c r="C16" s="295">
        <f t="shared" si="2"/>
        <v>1385718.6782624708</v>
      </c>
      <c r="D16" s="295">
        <f t="shared" si="2"/>
        <v>1341493.6140626047</v>
      </c>
      <c r="E16" s="295">
        <f t="shared" si="2"/>
        <v>1297268.5498627387</v>
      </c>
      <c r="F16" s="295">
        <f t="shared" si="2"/>
        <v>1253043.4856628727</v>
      </c>
      <c r="G16" s="295">
        <f t="shared" si="2"/>
        <v>1208818.4214630066</v>
      </c>
      <c r="H16" s="295">
        <f t="shared" si="2"/>
        <v>1164593.3572631404</v>
      </c>
      <c r="I16" s="295">
        <f t="shared" si="2"/>
        <v>1120368.2930632744</v>
      </c>
      <c r="J16" s="295">
        <f t="shared" si="2"/>
        <v>1076143.2288634083</v>
      </c>
      <c r="K16" s="295">
        <f t="shared" si="2"/>
        <v>1031918.1646635422</v>
      </c>
      <c r="L16" s="295">
        <f t="shared" si="2"/>
        <v>987693.10046367603</v>
      </c>
      <c r="M16" s="295">
        <f t="shared" si="2"/>
        <v>943468.03626381001</v>
      </c>
      <c r="N16" s="295">
        <f t="shared" si="2"/>
        <v>899242.97206394398</v>
      </c>
      <c r="O16" s="295">
        <f t="shared" si="2"/>
        <v>855017.90786407795</v>
      </c>
      <c r="P16" s="295">
        <f t="shared" si="2"/>
        <v>810792.84366421192</v>
      </c>
      <c r="Q16" s="295">
        <f t="shared" si="2"/>
        <v>766567.77946434589</v>
      </c>
      <c r="R16" s="295">
        <f t="shared" si="2"/>
        <v>722342.71526447986</v>
      </c>
      <c r="S16" s="295">
        <f t="shared" si="2"/>
        <v>678117.65106461383</v>
      </c>
      <c r="T16" s="295">
        <f t="shared" si="2"/>
        <v>633892.58686474781</v>
      </c>
      <c r="U16" s="295">
        <f t="shared" si="2"/>
        <v>589667.52266488178</v>
      </c>
      <c r="V16" s="723"/>
      <c r="W16" s="723"/>
    </row>
    <row r="17" spans="1:23" s="313" customFormat="1"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  <c r="W17" s="723"/>
    </row>
    <row r="18" spans="1:23" s="313" customFormat="1">
      <c r="A18" s="1217" t="s">
        <v>671</v>
      </c>
      <c r="B18" s="1279">
        <f t="shared" ref="B18:U18" si="3">SUM(B8:B12)+B16</f>
        <v>1429943.742462337</v>
      </c>
      <c r="C18" s="1279">
        <f t="shared" si="3"/>
        <v>1385718.6782624708</v>
      </c>
      <c r="D18" s="1279">
        <f t="shared" si="3"/>
        <v>1341493.6140626047</v>
      </c>
      <c r="E18" s="1279">
        <f t="shared" si="3"/>
        <v>1297268.5498627387</v>
      </c>
      <c r="F18" s="1279">
        <f t="shared" si="3"/>
        <v>1253043.4856628727</v>
      </c>
      <c r="G18" s="1279">
        <f t="shared" si="3"/>
        <v>1208818.4214630066</v>
      </c>
      <c r="H18" s="1279">
        <f t="shared" si="3"/>
        <v>1164593.3572631404</v>
      </c>
      <c r="I18" s="1279">
        <f t="shared" si="3"/>
        <v>1120368.2930632744</v>
      </c>
      <c r="J18" s="1279">
        <f t="shared" si="3"/>
        <v>1076143.2288634083</v>
      </c>
      <c r="K18" s="1279">
        <f t="shared" si="3"/>
        <v>1031918.1646635422</v>
      </c>
      <c r="L18" s="1279">
        <f t="shared" si="3"/>
        <v>987693.10046367603</v>
      </c>
      <c r="M18" s="1279">
        <f t="shared" si="3"/>
        <v>943468.03626381001</v>
      </c>
      <c r="N18" s="1279">
        <f t="shared" si="3"/>
        <v>899242.97206394398</v>
      </c>
      <c r="O18" s="1279">
        <f t="shared" si="3"/>
        <v>855017.90786407795</v>
      </c>
      <c r="P18" s="1279">
        <f t="shared" si="3"/>
        <v>810792.84366421192</v>
      </c>
      <c r="Q18" s="1279">
        <f t="shared" si="3"/>
        <v>766567.77946434589</v>
      </c>
      <c r="R18" s="1279">
        <f t="shared" si="3"/>
        <v>722342.71526447986</v>
      </c>
      <c r="S18" s="1279">
        <f t="shared" si="3"/>
        <v>678117.65106461383</v>
      </c>
      <c r="T18" s="1279">
        <f t="shared" si="3"/>
        <v>633892.58686474781</v>
      </c>
      <c r="U18" s="1279">
        <f t="shared" si="3"/>
        <v>589667.52266488178</v>
      </c>
      <c r="V18" s="723"/>
      <c r="W18" s="723"/>
    </row>
    <row r="19" spans="1:23" s="313" customFormat="1"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723"/>
      <c r="W19" s="723"/>
    </row>
    <row r="20" spans="1:23" s="313" customFormat="1">
      <c r="A20" s="314" t="s">
        <v>672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723"/>
      <c r="W20" s="723"/>
    </row>
    <row r="21" spans="1:23" s="313" customFormat="1">
      <c r="A21" s="1188" t="s">
        <v>673</v>
      </c>
      <c r="B21" s="295">
        <v>0</v>
      </c>
      <c r="C21" s="295">
        <v>0</v>
      </c>
      <c r="D21" s="295">
        <v>0</v>
      </c>
      <c r="E21" s="295">
        <v>0</v>
      </c>
      <c r="F21" s="295">
        <v>0</v>
      </c>
      <c r="G21" s="295">
        <v>0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  <c r="M21" s="295">
        <v>0</v>
      </c>
      <c r="N21" s="295">
        <v>0</v>
      </c>
      <c r="O21" s="295">
        <v>0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</v>
      </c>
      <c r="V21" s="723"/>
      <c r="W21" s="723"/>
    </row>
    <row r="22" spans="1:23" s="313" customFormat="1">
      <c r="A22" s="1188" t="s">
        <v>674</v>
      </c>
      <c r="B22" s="295">
        <v>0</v>
      </c>
      <c r="C22" s="295">
        <v>0</v>
      </c>
      <c r="D22" s="295">
        <v>0</v>
      </c>
      <c r="E22" s="295">
        <v>0</v>
      </c>
      <c r="F22" s="295">
        <v>0</v>
      </c>
      <c r="G22" s="295">
        <v>0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  <c r="M22" s="295">
        <v>0</v>
      </c>
      <c r="N22" s="295">
        <v>0</v>
      </c>
      <c r="O22" s="295">
        <v>0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723"/>
      <c r="W22" s="723"/>
    </row>
    <row r="23" spans="1:23" s="313" customFormat="1">
      <c r="A23" s="1188" t="s">
        <v>718</v>
      </c>
      <c r="B23" s="295">
        <f>ENA_CF!C12+ENA_CF!C13</f>
        <v>179.56189859999972</v>
      </c>
      <c r="C23" s="295">
        <f>B23+ENA_CF!D12+ENA_CF!D13</f>
        <v>526.20889860000034</v>
      </c>
      <c r="D23" s="295">
        <f>C23+ENA_CF!E12+ENA_CF!E13</f>
        <v>716.29489860000058</v>
      </c>
      <c r="E23" s="295">
        <f>D23+ENA_CF!F12+ENA_CF!F13</f>
        <v>793.53689860000031</v>
      </c>
      <c r="F23" s="295">
        <f>E23+ENA_CF!G12+ENA_CF!G13</f>
        <v>841.20289860000048</v>
      </c>
      <c r="G23" s="295">
        <f>F23+ENA_CF!H12+ENA_CF!H13</f>
        <v>1041.6388986000002</v>
      </c>
      <c r="H23" s="295">
        <f>G23+ENA_CF!I12+ENA_CF!I13</f>
        <v>1174.0408985999998</v>
      </c>
      <c r="I23" s="295">
        <f>H23+ENA_CF!J12+ENA_CF!J13</f>
        <v>1244.9138985999994</v>
      </c>
      <c r="J23" s="295">
        <f>I23+ENA_CF!K12+ENA_CF!K13</f>
        <v>1190.9818986</v>
      </c>
      <c r="K23" s="295">
        <f>J23+ENA_CF!L12+ENA_CF!L13</f>
        <v>2025.9398985999997</v>
      </c>
      <c r="L23" s="295">
        <f>K23+ENA_CF!M12+ENA_CF!M13</f>
        <v>1815.1148985999998</v>
      </c>
      <c r="M23" s="295">
        <f>L23+ENA_CF!N12+ENA_CF!N13</f>
        <v>1412.6818985999998</v>
      </c>
      <c r="N23" s="295">
        <f>M23+ENA_CF!O12+ENA_CF!O13</f>
        <v>1505.5018985999995</v>
      </c>
      <c r="O23" s="295">
        <f>N23+ENA_CF!P12+ENA_CF!P13</f>
        <v>1505.5018985999995</v>
      </c>
      <c r="P23" s="295">
        <f>O23+ENA_CF!Q12+ENA_CF!Q13</f>
        <v>1994.3001997796227</v>
      </c>
      <c r="Q23" s="295">
        <f>P23+ENA_CF!R12+ENA_CF!R13</f>
        <v>1438.3342108032157</v>
      </c>
      <c r="R23" s="295">
        <f>Q23+ENA_CF!S12+ENA_CF!S13</f>
        <v>1461.9368570472793</v>
      </c>
      <c r="S23" s="295">
        <f>R23+ENA_CF!T12+ENA_CF!T13</f>
        <v>1486.011556216225</v>
      </c>
      <c r="T23" s="295">
        <f>S23+ENA_CF!U12+ENA_CF!U13</f>
        <v>1510.5677493685494</v>
      </c>
      <c r="U23" s="295">
        <f>T23+ENA_CF!V12+ENA_CF!V13</f>
        <v>1526.3570608965965</v>
      </c>
      <c r="V23" s="723"/>
      <c r="W23" s="723"/>
    </row>
    <row r="24" spans="1:23" s="313" customFormat="1">
      <c r="A24" s="1188" t="s">
        <v>675</v>
      </c>
      <c r="B24" s="295">
        <f>-(ENA_IS!B42+ENA_IS!B43)+(ENA_CF!C19+ENA_CF!C20)</f>
        <v>20316.132597754498</v>
      </c>
      <c r="C24" s="295">
        <f>B24-(ENA_IS!C42+ENA_IS!C43)+(ENA_CF!D19+ENA_CF!D20)</f>
        <v>40872.900301602378</v>
      </c>
      <c r="D24" s="295">
        <f>C24-(ENA_IS!D42+ENA_IS!D43)+(ENA_CF!E19+ENA_CF!E20)</f>
        <v>61889.060213977828</v>
      </c>
      <c r="E24" s="295">
        <f>D24-(ENA_IS!E42+ENA_IS!E43)+(ENA_CF!F19+ENA_CF!F20)</f>
        <v>95687.347283118739</v>
      </c>
      <c r="F24" s="295">
        <f>E24-(ENA_IS!F42+ENA_IS!F43)+(ENA_CF!G19+ENA_CF!G20)</f>
        <v>134383.00751365372</v>
      </c>
      <c r="G24" s="295">
        <f>F24-(ENA_IS!G42+ENA_IS!G43)+(ENA_CF!H19+ENA_CF!H20)</f>
        <v>174228.86166514613</v>
      </c>
      <c r="H24" s="295">
        <f>G24-(ENA_IS!H42+ENA_IS!H43)+(ENA_CF!I19+ENA_CF!I20)</f>
        <v>193292.7225931705</v>
      </c>
      <c r="I24" s="295">
        <f>H24-(ENA_IS!I42+ENA_IS!I43)+(ENA_CF!J19+ENA_CF!J20)</f>
        <v>206291.76263468017</v>
      </c>
      <c r="J24" s="295">
        <f>I24-(ENA_IS!J42+ENA_IS!J43)+(ENA_CF!K19+ENA_CF!K20)</f>
        <v>218638.3221198417</v>
      </c>
      <c r="K24" s="295">
        <f>J24-(ENA_IS!K42+ENA_IS!K43)+(ENA_CF!L19+ENA_CF!L20)</f>
        <v>230999.13165024438</v>
      </c>
      <c r="L24" s="295">
        <f>K24-(ENA_IS!L42+ENA_IS!L43)+(ENA_CF!M19+ENA_CF!M20)</f>
        <v>243283.67197633471</v>
      </c>
      <c r="M24" s="295">
        <f>L24-(ENA_IS!M42+ENA_IS!M43)+(ENA_CF!N19+ENA_CF!N20)</f>
        <v>255588.40923809234</v>
      </c>
      <c r="N24" s="295">
        <f>M24-(ENA_IS!N42+ENA_IS!N43)+(ENA_CF!O19+ENA_CF!O20)</f>
        <v>267810.58484779776</v>
      </c>
      <c r="O24" s="295">
        <f>N24-(ENA_IS!O42+ENA_IS!O43)+(ENA_CF!P19+ENA_CF!P20)</f>
        <v>280052.25541510986</v>
      </c>
      <c r="P24" s="295">
        <f>O24-(ENA_IS!P42+ENA_IS!P43)+(ENA_CF!Q19+ENA_CF!Q20)</f>
        <v>292211.38514406706</v>
      </c>
      <c r="Q24" s="295">
        <f>P24-(ENA_IS!Q42+ENA_IS!Q43)+(ENA_CF!R19+ENA_CF!R20)</f>
        <v>289338.57113581954</v>
      </c>
      <c r="R24" s="295">
        <f>Q24-(ENA_IS!R42+ENA_IS!R43)+(ENA_CF!S19+ENA_CF!S20)</f>
        <v>271432.3522228963</v>
      </c>
      <c r="S24" s="295">
        <f>R24-(ENA_IS!S42+ENA_IS!S43)+(ENA_CF!T19+ENA_CF!T20)</f>
        <v>253490.7873461461</v>
      </c>
      <c r="T24" s="295">
        <f>S24-(ENA_IS!T42+ENA_IS!T43)+(ENA_CF!U19+ENA_CF!U20)</f>
        <v>235516.71577400912</v>
      </c>
      <c r="U24" s="295">
        <f>T24-(ENA_IS!U42+ENA_IS!U43)+(ENA_CF!V19+ENA_CF!V20)</f>
        <v>217510.00090116123</v>
      </c>
      <c r="V24" s="723"/>
      <c r="W24" s="723"/>
    </row>
    <row r="25" spans="1:23" s="313" customFormat="1">
      <c r="A25" s="1188" t="s">
        <v>676</v>
      </c>
      <c r="B25" s="295">
        <f>ENA_Debt!B73</f>
        <v>719500</v>
      </c>
      <c r="C25" s="295">
        <f>ENA_Debt!C73</f>
        <v>702875</v>
      </c>
      <c r="D25" s="295">
        <f>ENA_Debt!D73</f>
        <v>685000</v>
      </c>
      <c r="E25" s="295">
        <f>ENA_Debt!E73</f>
        <v>667150</v>
      </c>
      <c r="F25" s="295">
        <f>ENA_Debt!F73</f>
        <v>642580</v>
      </c>
      <c r="G25" s="295">
        <f>ENA_Debt!G73</f>
        <v>614650</v>
      </c>
      <c r="H25" s="295">
        <f>ENA_Debt!H73</f>
        <v>584200</v>
      </c>
      <c r="I25" s="295">
        <f>ENA_Debt!I73</f>
        <v>549550</v>
      </c>
      <c r="J25" s="295">
        <f>ENA_Debt!J73</f>
        <v>511540</v>
      </c>
      <c r="K25" s="295">
        <f>ENA_Debt!K73</f>
        <v>467875</v>
      </c>
      <c r="L25" s="295">
        <f>ENA_Debt!L73</f>
        <v>420375</v>
      </c>
      <c r="M25" s="295">
        <f>ENA_Debt!M73</f>
        <v>372875</v>
      </c>
      <c r="N25" s="295">
        <f>ENA_Debt!N73</f>
        <v>325375</v>
      </c>
      <c r="O25" s="295">
        <f>ENA_Debt!O73</f>
        <v>277875</v>
      </c>
      <c r="P25" s="295">
        <f>ENA_Debt!P73</f>
        <v>228000</v>
      </c>
      <c r="Q25" s="295">
        <f>ENA_Debt!Q73</f>
        <v>175750</v>
      </c>
      <c r="R25" s="295">
        <f>ENA_Debt!R73</f>
        <v>123500</v>
      </c>
      <c r="S25" s="295">
        <f>ENA_Debt!S73</f>
        <v>80750</v>
      </c>
      <c r="T25" s="295">
        <f>ENA_Debt!T73</f>
        <v>38000</v>
      </c>
      <c r="U25" s="295">
        <f>ENA_Debt!U73</f>
        <v>-4.0017766878008842E-11</v>
      </c>
      <c r="V25" s="723"/>
      <c r="W25" s="723"/>
    </row>
    <row r="26" spans="1:23" s="313" customFormat="1">
      <c r="A26" s="1188" t="s">
        <v>677</v>
      </c>
      <c r="B26" s="297">
        <f>'ENA_Summary Output'!C12-ENA_IS!B13</f>
        <v>108112.53777480198</v>
      </c>
      <c r="C26" s="297">
        <f>B26-ENA_IS!C13</f>
        <v>54056.268887400998</v>
      </c>
      <c r="D26" s="297">
        <f>C26-ENA_IS!D13</f>
        <v>0</v>
      </c>
      <c r="E26" s="297">
        <f>D26-ENA_IS!E13</f>
        <v>0</v>
      </c>
      <c r="F26" s="297">
        <f>E26-ENA_IS!F13</f>
        <v>0</v>
      </c>
      <c r="G26" s="297">
        <f>F26-ENA_IS!G13</f>
        <v>0</v>
      </c>
      <c r="H26" s="297">
        <f>G26-ENA_IS!H13</f>
        <v>0</v>
      </c>
      <c r="I26" s="297">
        <f>H26-ENA_IS!I13</f>
        <v>0</v>
      </c>
      <c r="J26" s="297">
        <f>I26-ENA_IS!J13</f>
        <v>0</v>
      </c>
      <c r="K26" s="297">
        <f>J26-ENA_IS!K13</f>
        <v>0</v>
      </c>
      <c r="L26" s="297">
        <f>K26-ENA_IS!L13</f>
        <v>0</v>
      </c>
      <c r="M26" s="297">
        <f>L26-ENA_IS!M13</f>
        <v>0</v>
      </c>
      <c r="N26" s="297">
        <f>M26-ENA_IS!N13</f>
        <v>0</v>
      </c>
      <c r="O26" s="297">
        <f>N26-ENA_IS!O13</f>
        <v>0</v>
      </c>
      <c r="P26" s="297">
        <f>O26-ENA_IS!P13</f>
        <v>0</v>
      </c>
      <c r="Q26" s="297">
        <f>P26-ENA_IS!Q13</f>
        <v>0</v>
      </c>
      <c r="R26" s="297">
        <f>Q26-ENA_IS!R13</f>
        <v>0</v>
      </c>
      <c r="S26" s="297">
        <f>R26-ENA_IS!S13</f>
        <v>0</v>
      </c>
      <c r="T26" s="297">
        <f>S26-ENA_IS!T13</f>
        <v>0</v>
      </c>
      <c r="U26" s="297">
        <f>T26-ENA_IS!U13</f>
        <v>0</v>
      </c>
      <c r="V26" s="723"/>
      <c r="W26" s="723"/>
    </row>
    <row r="27" spans="1:23" s="313" customFormat="1">
      <c r="A27" s="1239" t="s">
        <v>678</v>
      </c>
      <c r="B27" s="295">
        <f t="shared" ref="B27:U27" si="4">SUM(B21:B26)</f>
        <v>848108.23227115651</v>
      </c>
      <c r="C27" s="295">
        <f t="shared" si="4"/>
        <v>798330.37808760337</v>
      </c>
      <c r="D27" s="295">
        <f t="shared" si="4"/>
        <v>747605.35511257779</v>
      </c>
      <c r="E27" s="295">
        <f t="shared" si="4"/>
        <v>763630.88418171869</v>
      </c>
      <c r="F27" s="295">
        <f t="shared" si="4"/>
        <v>777804.21041225374</v>
      </c>
      <c r="G27" s="295">
        <f t="shared" si="4"/>
        <v>789920.50056374609</v>
      </c>
      <c r="H27" s="295">
        <f t="shared" si="4"/>
        <v>778666.76349177049</v>
      </c>
      <c r="I27" s="295">
        <f t="shared" si="4"/>
        <v>757086.67653328017</v>
      </c>
      <c r="J27" s="295">
        <f t="shared" si="4"/>
        <v>731369.3040184417</v>
      </c>
      <c r="K27" s="295">
        <f t="shared" si="4"/>
        <v>700900.07154884434</v>
      </c>
      <c r="L27" s="295">
        <f t="shared" si="4"/>
        <v>665473.78687493468</v>
      </c>
      <c r="M27" s="295">
        <f t="shared" si="4"/>
        <v>629876.09113669232</v>
      </c>
      <c r="N27" s="295">
        <f t="shared" si="4"/>
        <v>594691.08674639778</v>
      </c>
      <c r="O27" s="295">
        <f t="shared" si="4"/>
        <v>559432.75731370994</v>
      </c>
      <c r="P27" s="295">
        <f t="shared" si="4"/>
        <v>522205.68534384668</v>
      </c>
      <c r="Q27" s="295">
        <f t="shared" si="4"/>
        <v>466526.90534662275</v>
      </c>
      <c r="R27" s="295">
        <f t="shared" si="4"/>
        <v>396394.28907994356</v>
      </c>
      <c r="S27" s="295">
        <f t="shared" si="4"/>
        <v>335726.79890236235</v>
      </c>
      <c r="T27" s="295">
        <f t="shared" si="4"/>
        <v>275027.28352337767</v>
      </c>
      <c r="U27" s="295">
        <f t="shared" si="4"/>
        <v>219036.35796205778</v>
      </c>
      <c r="V27" s="723"/>
      <c r="W27" s="723"/>
    </row>
    <row r="28" spans="1:23" s="313" customFormat="1"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723"/>
      <c r="W28" s="723"/>
    </row>
    <row r="29" spans="1:23" s="313" customFormat="1">
      <c r="A29" s="314" t="s">
        <v>679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  <c r="W29" s="723"/>
    </row>
    <row r="30" spans="1:23" s="313" customFormat="1">
      <c r="A30" s="1188" t="s">
        <v>680</v>
      </c>
      <c r="B30" s="295">
        <f>'ENA_Summary Output'!C8</f>
        <v>577000</v>
      </c>
      <c r="C30" s="295">
        <f>B30</f>
        <v>577000</v>
      </c>
      <c r="D30" s="295">
        <f t="shared" ref="D30:U30" si="5">C30</f>
        <v>577000</v>
      </c>
      <c r="E30" s="295">
        <f t="shared" si="5"/>
        <v>577000</v>
      </c>
      <c r="F30" s="295">
        <f t="shared" si="5"/>
        <v>577000</v>
      </c>
      <c r="G30" s="295">
        <f t="shared" si="5"/>
        <v>577000</v>
      </c>
      <c r="H30" s="295">
        <f t="shared" si="5"/>
        <v>577000</v>
      </c>
      <c r="I30" s="295">
        <f t="shared" si="5"/>
        <v>577000</v>
      </c>
      <c r="J30" s="295">
        <f t="shared" si="5"/>
        <v>577000</v>
      </c>
      <c r="K30" s="295">
        <f t="shared" si="5"/>
        <v>577000</v>
      </c>
      <c r="L30" s="295">
        <f t="shared" si="5"/>
        <v>577000</v>
      </c>
      <c r="M30" s="295">
        <f t="shared" si="5"/>
        <v>577000</v>
      </c>
      <c r="N30" s="295">
        <f t="shared" si="5"/>
        <v>577000</v>
      </c>
      <c r="O30" s="295">
        <f t="shared" si="5"/>
        <v>577000</v>
      </c>
      <c r="P30" s="295">
        <f t="shared" si="5"/>
        <v>577000</v>
      </c>
      <c r="Q30" s="295">
        <f t="shared" si="5"/>
        <v>577000</v>
      </c>
      <c r="R30" s="295">
        <f t="shared" si="5"/>
        <v>577000</v>
      </c>
      <c r="S30" s="295">
        <f t="shared" si="5"/>
        <v>577000</v>
      </c>
      <c r="T30" s="295">
        <f t="shared" si="5"/>
        <v>577000</v>
      </c>
      <c r="U30" s="295">
        <f t="shared" si="5"/>
        <v>577000</v>
      </c>
      <c r="V30" s="723"/>
      <c r="W30" s="723"/>
    </row>
    <row r="31" spans="1:23" s="313" customFormat="1">
      <c r="A31" s="1188" t="s">
        <v>681</v>
      </c>
      <c r="B31" s="297">
        <f>ENA_IS!B45-ENA_CF!C22</f>
        <v>4835.5101911804013</v>
      </c>
      <c r="C31" s="297">
        <f>B31+ENA_IS!C45-ENA_CF!D22</f>
        <v>10388.300174867414</v>
      </c>
      <c r="D31" s="297">
        <f>C31+ENA_IS!D45-ENA_CF!E22</f>
        <v>16888.258950026855</v>
      </c>
      <c r="E31" s="297">
        <f>D31+ENA_IS!E45-ENA_CF!F22</f>
        <v>-43362.334318980153</v>
      </c>
      <c r="F31" s="297">
        <f>E31+ENA_IS!F45-ENA_CF!G22</f>
        <v>-101760.72474938126</v>
      </c>
      <c r="G31" s="297">
        <f>F31+ENA_IS!G45-ENA_CF!H22</f>
        <v>-158102.07910073976</v>
      </c>
      <c r="H31" s="297">
        <f>G31+ENA_IS!H45-ENA_CF!I22</f>
        <v>-191073.40622863022</v>
      </c>
      <c r="I31" s="297">
        <f>H31+ENA_IS!I45-ENA_CF!J22</f>
        <v>-213718.383470006</v>
      </c>
      <c r="J31" s="297">
        <f>I31+ENA_IS!J45-ENA_CF!K22</f>
        <v>-232226.07515503361</v>
      </c>
      <c r="K31" s="297">
        <f>J31+ENA_IS!K45-ENA_CF!L22</f>
        <v>-245981.90688530239</v>
      </c>
      <c r="L31" s="297">
        <f>K31+ENA_IS!L45-ENA_CF!M22</f>
        <v>-254780.68641125882</v>
      </c>
      <c r="M31" s="297">
        <f>L31+ENA_IS!M45-ENA_CF!N22</f>
        <v>-263408.05487288255</v>
      </c>
      <c r="N31" s="297">
        <f>M31+ENA_IS!N45-ENA_CF!O22</f>
        <v>-272448.11468245415</v>
      </c>
      <c r="O31" s="297">
        <f>N31+ENA_IS!O45-ENA_CF!P22</f>
        <v>-281414.84944963234</v>
      </c>
      <c r="P31" s="297">
        <f>O31+ENA_IS!P45-ENA_CF!Q22</f>
        <v>-288412.84167963522</v>
      </c>
      <c r="Q31" s="297">
        <f>P31+ENA_IS!Q45-ENA_CF!R22</f>
        <v>-276959.12588227744</v>
      </c>
      <c r="R31" s="297">
        <f>Q31+ENA_IS!R45-ENA_CF!S22</f>
        <v>-251051.57381546436</v>
      </c>
      <c r="S31" s="297">
        <f>R31+ENA_IS!S45-ENA_CF!T22</f>
        <v>-234609.14783774916</v>
      </c>
      <c r="T31" s="297">
        <f>S31+ENA_IS!T45-ENA_CF!U22</f>
        <v>-218134.69665863062</v>
      </c>
      <c r="U31" s="297">
        <f>T31+ENA_IS!U45-ENA_CF!V22</f>
        <v>-206368.83529717673</v>
      </c>
      <c r="V31" s="723"/>
      <c r="W31" s="723"/>
    </row>
    <row r="32" spans="1:23" s="313" customFormat="1">
      <c r="A32" s="1239" t="s">
        <v>682</v>
      </c>
      <c r="B32" s="295">
        <f t="shared" ref="B32:U32" si="6">SUM(B30:B31)</f>
        <v>581835.51019118039</v>
      </c>
      <c r="C32" s="295">
        <f t="shared" si="6"/>
        <v>587388.30017486739</v>
      </c>
      <c r="D32" s="295">
        <f t="shared" si="6"/>
        <v>593888.25895002682</v>
      </c>
      <c r="E32" s="295">
        <f t="shared" si="6"/>
        <v>533637.66568101989</v>
      </c>
      <c r="F32" s="295">
        <f t="shared" si="6"/>
        <v>475239.27525061875</v>
      </c>
      <c r="G32" s="295">
        <f t="shared" si="6"/>
        <v>418897.92089926021</v>
      </c>
      <c r="H32" s="295">
        <f t="shared" si="6"/>
        <v>385926.59377136978</v>
      </c>
      <c r="I32" s="295">
        <f t="shared" si="6"/>
        <v>363281.616529994</v>
      </c>
      <c r="J32" s="295">
        <f t="shared" si="6"/>
        <v>344773.92484496639</v>
      </c>
      <c r="K32" s="295">
        <f t="shared" si="6"/>
        <v>331018.09311469761</v>
      </c>
      <c r="L32" s="295">
        <f t="shared" si="6"/>
        <v>322219.31358874118</v>
      </c>
      <c r="M32" s="295">
        <f t="shared" si="6"/>
        <v>313591.94512711745</v>
      </c>
      <c r="N32" s="295">
        <f t="shared" si="6"/>
        <v>304551.88531754585</v>
      </c>
      <c r="O32" s="295">
        <f t="shared" si="6"/>
        <v>295585.15055036766</v>
      </c>
      <c r="P32" s="295">
        <f t="shared" si="6"/>
        <v>288587.15832036478</v>
      </c>
      <c r="Q32" s="295">
        <f t="shared" si="6"/>
        <v>300040.87411772256</v>
      </c>
      <c r="R32" s="295">
        <f t="shared" si="6"/>
        <v>325948.42618453561</v>
      </c>
      <c r="S32" s="295">
        <f t="shared" si="6"/>
        <v>342390.85216225084</v>
      </c>
      <c r="T32" s="295">
        <f t="shared" si="6"/>
        <v>358865.30334136938</v>
      </c>
      <c r="U32" s="295">
        <f t="shared" si="6"/>
        <v>370631.16470282327</v>
      </c>
      <c r="V32" s="723"/>
      <c r="W32" s="723"/>
    </row>
    <row r="33" spans="1:23" s="313" customFormat="1"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723"/>
      <c r="W33" s="723"/>
    </row>
    <row r="34" spans="1:23" s="313" customFormat="1">
      <c r="A34" s="1217" t="s">
        <v>683</v>
      </c>
      <c r="B34" s="1279">
        <f t="shared" ref="B34:U34" si="7">B27+B32</f>
        <v>1429943.742462337</v>
      </c>
      <c r="C34" s="1279">
        <f t="shared" si="7"/>
        <v>1385718.6782624708</v>
      </c>
      <c r="D34" s="1279">
        <f t="shared" si="7"/>
        <v>1341493.6140626045</v>
      </c>
      <c r="E34" s="1279">
        <f t="shared" si="7"/>
        <v>1297268.5498627387</v>
      </c>
      <c r="F34" s="1279">
        <f t="shared" si="7"/>
        <v>1253043.4856628724</v>
      </c>
      <c r="G34" s="1279">
        <f t="shared" si="7"/>
        <v>1208818.4214630062</v>
      </c>
      <c r="H34" s="1279">
        <f t="shared" si="7"/>
        <v>1164593.3572631404</v>
      </c>
      <c r="I34" s="1279">
        <f t="shared" si="7"/>
        <v>1120368.2930632741</v>
      </c>
      <c r="J34" s="1279">
        <f t="shared" si="7"/>
        <v>1076143.2288634081</v>
      </c>
      <c r="K34" s="1279">
        <f t="shared" si="7"/>
        <v>1031918.1646635419</v>
      </c>
      <c r="L34" s="1279">
        <f t="shared" si="7"/>
        <v>987693.1004636758</v>
      </c>
      <c r="M34" s="1279">
        <f t="shared" si="7"/>
        <v>943468.03626380977</v>
      </c>
      <c r="N34" s="1279">
        <f t="shared" si="7"/>
        <v>899242.97206394363</v>
      </c>
      <c r="O34" s="1279">
        <f t="shared" si="7"/>
        <v>855017.9078640776</v>
      </c>
      <c r="P34" s="1279">
        <f t="shared" si="7"/>
        <v>810792.84366421145</v>
      </c>
      <c r="Q34" s="1279">
        <f t="shared" si="7"/>
        <v>766567.77946434531</v>
      </c>
      <c r="R34" s="1279">
        <f t="shared" si="7"/>
        <v>722342.71526447916</v>
      </c>
      <c r="S34" s="1279">
        <f t="shared" si="7"/>
        <v>678117.65106461314</v>
      </c>
      <c r="T34" s="1279">
        <f t="shared" si="7"/>
        <v>633892.58686474711</v>
      </c>
      <c r="U34" s="1279">
        <f t="shared" si="7"/>
        <v>589667.52266488108</v>
      </c>
      <c r="V34" s="723"/>
      <c r="W34" s="723"/>
    </row>
    <row r="35" spans="1:23" s="313" customFormat="1"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723"/>
      <c r="W35" s="723"/>
    </row>
    <row r="36" spans="1:23" s="313" customFormat="1">
      <c r="A36" s="1240" t="s">
        <v>684</v>
      </c>
      <c r="B36" s="1295">
        <f t="shared" ref="B36:U36" si="8">B18-B34</f>
        <v>0</v>
      </c>
      <c r="C36" s="1295">
        <f t="shared" si="8"/>
        <v>0</v>
      </c>
      <c r="D36" s="1295">
        <f t="shared" si="8"/>
        <v>0</v>
      </c>
      <c r="E36" s="1295">
        <f t="shared" si="8"/>
        <v>0</v>
      </c>
      <c r="F36" s="1295">
        <f t="shared" si="8"/>
        <v>0</v>
      </c>
      <c r="G36" s="1295">
        <f t="shared" si="8"/>
        <v>0</v>
      </c>
      <c r="H36" s="1295">
        <f t="shared" si="8"/>
        <v>0</v>
      </c>
      <c r="I36" s="1295">
        <f t="shared" si="8"/>
        <v>0</v>
      </c>
      <c r="J36" s="1295">
        <f t="shared" si="8"/>
        <v>0</v>
      </c>
      <c r="K36" s="1295">
        <f t="shared" si="8"/>
        <v>0</v>
      </c>
      <c r="L36" s="1295">
        <f t="shared" si="8"/>
        <v>0</v>
      </c>
      <c r="M36" s="1295">
        <f t="shared" si="8"/>
        <v>0</v>
      </c>
      <c r="N36" s="1295">
        <f t="shared" si="8"/>
        <v>0</v>
      </c>
      <c r="O36" s="1295">
        <f t="shared" si="8"/>
        <v>0</v>
      </c>
      <c r="P36" s="1295">
        <f t="shared" si="8"/>
        <v>0</v>
      </c>
      <c r="Q36" s="1295">
        <f t="shared" si="8"/>
        <v>0</v>
      </c>
      <c r="R36" s="1295">
        <f t="shared" si="8"/>
        <v>0</v>
      </c>
      <c r="S36" s="1295">
        <f t="shared" si="8"/>
        <v>0</v>
      </c>
      <c r="T36" s="1295">
        <f t="shared" si="8"/>
        <v>0</v>
      </c>
      <c r="U36" s="1295">
        <f t="shared" si="8"/>
        <v>0</v>
      </c>
      <c r="V36" s="723"/>
      <c r="W36" s="723"/>
    </row>
    <row r="37" spans="1:23"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</row>
    <row r="38" spans="1:23">
      <c r="A38" s="299"/>
    </row>
    <row r="41" spans="1:23" ht="13.5">
      <c r="A41" s="1280"/>
    </row>
  </sheetData>
  <mergeCells count="1">
    <mergeCell ref="X5:Y5"/>
  </mergeCells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2:BC44"/>
  <sheetViews>
    <sheetView zoomScale="75" zoomScaleNormal="75" workbookViewId="0"/>
  </sheetViews>
  <sheetFormatPr defaultRowHeight="12.75" outlineLevelRow="1"/>
  <cols>
    <col min="1" max="1" width="44.5703125" style="271" bestFit="1" customWidth="1"/>
    <col min="2" max="2" width="12" style="271" bestFit="1" customWidth="1"/>
    <col min="3" max="5" width="11.140625" style="271" customWidth="1"/>
    <col min="6" max="7" width="12" style="271" customWidth="1"/>
    <col min="8" max="8" width="12.7109375" style="271" customWidth="1"/>
    <col min="9" max="9" width="12.5703125" style="271" customWidth="1"/>
    <col min="10" max="10" width="12.7109375" style="271" customWidth="1"/>
    <col min="11" max="13" width="11.28515625" style="271" customWidth="1"/>
    <col min="14" max="14" width="11.85546875" style="271" customWidth="1"/>
    <col min="15" max="15" width="11.140625" style="271" customWidth="1"/>
    <col min="16" max="16" width="11.85546875" style="271" customWidth="1"/>
    <col min="17" max="17" width="11.140625" style="271" customWidth="1"/>
    <col min="18" max="18" width="11.5703125" style="271" customWidth="1"/>
    <col min="19" max="19" width="11.28515625" style="271" customWidth="1"/>
    <col min="20" max="21" width="11.5703125" style="271" customWidth="1"/>
    <col min="22" max="22" width="12.5703125" style="271" customWidth="1"/>
    <col min="23" max="23" width="12.7109375" style="8" customWidth="1"/>
    <col min="24" max="24" width="12.28515625" style="8" customWidth="1"/>
    <col min="25" max="25" width="13.85546875" style="8" bestFit="1" customWidth="1"/>
    <col min="26" max="27" width="9.85546875" style="271" customWidth="1"/>
    <col min="28" max="28" width="9.140625" style="271"/>
    <col min="29" max="29" width="9.42578125" style="271" customWidth="1"/>
    <col min="30" max="30" width="9.85546875" style="271" customWidth="1"/>
    <col min="31" max="31" width="9.140625" style="271"/>
    <col min="32" max="32" width="9.42578125" style="271" customWidth="1"/>
    <col min="33" max="34" width="9.85546875" style="271" customWidth="1"/>
    <col min="35" max="36" width="9.140625" style="271"/>
    <col min="37" max="38" width="9.85546875" style="271" customWidth="1"/>
    <col min="39" max="80" width="9.140625" style="271"/>
    <col min="81" max="82" width="9.85546875" style="271" customWidth="1"/>
    <col min="83" max="16384" width="9.140625" style="271"/>
  </cols>
  <sheetData>
    <row r="2" spans="1:55" ht="18.75">
      <c r="A2" s="270" t="s">
        <v>691</v>
      </c>
      <c r="B2" s="270"/>
    </row>
    <row r="5" spans="1:55" ht="18.75">
      <c r="A5" s="288" t="s">
        <v>334</v>
      </c>
      <c r="B5" s="288"/>
    </row>
    <row r="6" spans="1:55">
      <c r="W6" s="289"/>
      <c r="X6" s="289"/>
    </row>
    <row r="7" spans="1:55" ht="13.5" outlineLevel="1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015" t="s">
        <v>128</v>
      </c>
      <c r="X7" s="1363" t="s">
        <v>212</v>
      </c>
      <c r="Y7" s="1363"/>
    </row>
    <row r="8" spans="1:55" outlineLevel="1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1017"/>
      <c r="X8" s="1016"/>
      <c r="Y8" s="1018"/>
    </row>
    <row r="9" spans="1:55" outlineLevel="1">
      <c r="A9" s="3"/>
      <c r="B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017"/>
      <c r="X9" s="1016"/>
      <c r="Y9" s="1018"/>
    </row>
    <row r="10" spans="1:55">
      <c r="A10" s="14" t="s">
        <v>480</v>
      </c>
      <c r="B10" s="295">
        <v>0</v>
      </c>
      <c r="C10" s="295">
        <f>ENA_IS!B32-ENA_IS!B13</f>
        <v>123624.03367595081</v>
      </c>
      <c r="D10" s="295">
        <f>ENA_IS!C32-ENA_IS!C13</f>
        <v>123040.16414335201</v>
      </c>
      <c r="E10" s="295">
        <f>ENA_IS!D32-ENA_IS!D13</f>
        <v>122528.82101623941</v>
      </c>
      <c r="F10" s="295">
        <f>ENA_IS!E32</f>
        <v>208898.30003993292</v>
      </c>
      <c r="G10" s="295">
        <f>ENA_IS!F32</f>
        <v>219835.48571459821</v>
      </c>
      <c r="H10" s="295">
        <f>ENA_IS!G32</f>
        <v>223020.10910985898</v>
      </c>
      <c r="I10" s="295">
        <f>ENA_IS!H32</f>
        <v>226306.69628506326</v>
      </c>
      <c r="J10" s="295">
        <f>ENA_IS!I32</f>
        <v>229700.32015338406</v>
      </c>
      <c r="K10" s="295">
        <f>ENA_IS!J32</f>
        <v>233268.60972890729</v>
      </c>
      <c r="L10" s="295">
        <f>ENA_IS!K32</f>
        <v>235988.5932867979</v>
      </c>
      <c r="M10" s="295">
        <f>ENA_IS!L32</f>
        <v>240410.20860099664</v>
      </c>
      <c r="N10" s="295">
        <f>ENA_IS!M32</f>
        <v>245095.57628469079</v>
      </c>
      <c r="O10" s="295">
        <f>ENA_IS!N32</f>
        <v>249350.73879004439</v>
      </c>
      <c r="P10" s="295">
        <f>ENA_IS!O32</f>
        <v>253772.3489547327</v>
      </c>
      <c r="Q10" s="295">
        <f>ENA_IS!P32</f>
        <v>257772.04886117522</v>
      </c>
      <c r="R10" s="295">
        <f>ENA_IS!Q32</f>
        <v>261928.1366757263</v>
      </c>
      <c r="S10" s="295">
        <f>ENA_IS!R32</f>
        <v>265529.08366466878</v>
      </c>
      <c r="T10" s="295">
        <f>ENA_IS!S32</f>
        <v>269171.90668593551</v>
      </c>
      <c r="U10" s="295">
        <f>ENA_IS!T32</f>
        <v>272856.91380543611</v>
      </c>
      <c r="V10" s="295">
        <f>ENA_IS!U32</f>
        <v>276593.78266094258</v>
      </c>
      <c r="W10" s="342">
        <f>SUM(C10:V10)</f>
        <v>4538691.8781384332</v>
      </c>
      <c r="X10" s="1019">
        <f>SUM(Caledonia!W54,'New Albany'!W54,Wheatland!W54,Wilton!W54,Brownsville!W54,Gleason!W54)</f>
        <v>4538691.8781384341</v>
      </c>
      <c r="Y10" s="1020">
        <f>W10-X10</f>
        <v>0</v>
      </c>
    </row>
    <row r="11" spans="1:55"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4"/>
      <c r="X11" s="1018"/>
      <c r="Y11" s="1018"/>
    </row>
    <row r="12" spans="1:55" s="8" customFormat="1" ht="12" customHeight="1">
      <c r="A12" s="15" t="s">
        <v>481</v>
      </c>
      <c r="B12" s="296">
        <v>0</v>
      </c>
      <c r="C12" s="29">
        <f>ENA_IS!B27</f>
        <v>2138.7599999999998</v>
      </c>
      <c r="D12" s="29">
        <f>ENA_IS!C27</f>
        <v>2485.4070000000002</v>
      </c>
      <c r="E12" s="29">
        <f>ENA_IS!D27</f>
        <v>2675.4930000000004</v>
      </c>
      <c r="F12" s="29">
        <f>ENA_IS!E27</f>
        <v>2752.7350000000001</v>
      </c>
      <c r="G12" s="29">
        <f>ENA_IS!F27</f>
        <v>2800.4010000000003</v>
      </c>
      <c r="H12" s="29">
        <f>ENA_IS!G27</f>
        <v>3000.837</v>
      </c>
      <c r="I12" s="29">
        <f>ENA_IS!H27</f>
        <v>3133.239</v>
      </c>
      <c r="J12" s="29">
        <f>ENA_IS!I27</f>
        <v>3204.1120000000001</v>
      </c>
      <c r="K12" s="29">
        <f>ENA_IS!J27</f>
        <v>3150.1800000000003</v>
      </c>
      <c r="L12" s="29">
        <f>ENA_IS!K27</f>
        <v>3985.1379999999999</v>
      </c>
      <c r="M12" s="29">
        <f>ENA_IS!L27</f>
        <v>3774.3130000000001</v>
      </c>
      <c r="N12" s="29">
        <f>ENA_IS!M27</f>
        <v>3371.88</v>
      </c>
      <c r="O12" s="29">
        <f>ENA_IS!N27</f>
        <v>3464.7</v>
      </c>
      <c r="P12" s="29">
        <f>ENA_IS!O27</f>
        <v>3464.7</v>
      </c>
      <c r="Q12" s="29">
        <f>ENA_IS!P27</f>
        <v>3953.498301179623</v>
      </c>
      <c r="R12" s="29">
        <f>ENA_IS!Q27</f>
        <v>3397.5323122032155</v>
      </c>
      <c r="S12" s="29">
        <f>ENA_IS!R27</f>
        <v>3421.1349584472796</v>
      </c>
      <c r="T12" s="29">
        <f>ENA_IS!S27</f>
        <v>3445.2096576162253</v>
      </c>
      <c r="U12" s="29">
        <f>ENA_IS!T27</f>
        <v>3469.7658507685501</v>
      </c>
      <c r="V12" s="29">
        <f>ENA_IS!U27</f>
        <v>3485.5551622965972</v>
      </c>
      <c r="W12" s="342">
        <f>SUM(C12:V12)</f>
        <v>64574.591242511466</v>
      </c>
      <c r="X12" s="1019">
        <f>SUM(ENA_IS!B27:U27)</f>
        <v>64574.591242511466</v>
      </c>
      <c r="Y12" s="1020">
        <f>W12-X12</f>
        <v>0</v>
      </c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</row>
    <row r="13" spans="1:55" s="8" customFormat="1">
      <c r="A13" s="15" t="s">
        <v>482</v>
      </c>
      <c r="B13" s="296">
        <v>0</v>
      </c>
      <c r="C13" s="29">
        <f>SUM(Brownsville!B56,Caledonia!B56,'New Albany'!B56,Gleason!B56,Wheatland!B56,Wilton!B56)</f>
        <v>-1959.1981014</v>
      </c>
      <c r="D13" s="29">
        <f>-C12</f>
        <v>-2138.7599999999998</v>
      </c>
      <c r="E13" s="29">
        <f t="shared" ref="E13:V13" si="1">-D12</f>
        <v>-2485.4070000000002</v>
      </c>
      <c r="F13" s="29">
        <f t="shared" si="1"/>
        <v>-2675.4930000000004</v>
      </c>
      <c r="G13" s="29">
        <f t="shared" si="1"/>
        <v>-2752.7350000000001</v>
      </c>
      <c r="H13" s="29">
        <f t="shared" si="1"/>
        <v>-2800.4010000000003</v>
      </c>
      <c r="I13" s="29">
        <f t="shared" si="1"/>
        <v>-3000.837</v>
      </c>
      <c r="J13" s="29">
        <f t="shared" si="1"/>
        <v>-3133.239</v>
      </c>
      <c r="K13" s="29">
        <f t="shared" si="1"/>
        <v>-3204.1120000000001</v>
      </c>
      <c r="L13" s="29">
        <f t="shared" si="1"/>
        <v>-3150.1800000000003</v>
      </c>
      <c r="M13" s="29">
        <f t="shared" si="1"/>
        <v>-3985.1379999999999</v>
      </c>
      <c r="N13" s="29">
        <f t="shared" si="1"/>
        <v>-3774.3130000000001</v>
      </c>
      <c r="O13" s="29">
        <f t="shared" si="1"/>
        <v>-3371.88</v>
      </c>
      <c r="P13" s="29">
        <f t="shared" si="1"/>
        <v>-3464.7</v>
      </c>
      <c r="Q13" s="29">
        <f t="shared" si="1"/>
        <v>-3464.7</v>
      </c>
      <c r="R13" s="29">
        <f t="shared" si="1"/>
        <v>-3953.498301179623</v>
      </c>
      <c r="S13" s="29">
        <f t="shared" si="1"/>
        <v>-3397.5323122032155</v>
      </c>
      <c r="T13" s="29">
        <f t="shared" si="1"/>
        <v>-3421.1349584472796</v>
      </c>
      <c r="U13" s="29">
        <f t="shared" si="1"/>
        <v>-3445.2096576162253</v>
      </c>
      <c r="V13" s="29">
        <f t="shared" si="1"/>
        <v>-3469.7658507685501</v>
      </c>
      <c r="W13" s="342">
        <f>SUM(C13:V13)</f>
        <v>-63048.234181614876</v>
      </c>
      <c r="X13" s="1019">
        <f>SUM(Caledonia!W56,'New Albany'!W56,Wheatland!W56,Wilton!W56,Brownsville!W56,Gleason!W56)</f>
        <v>-63048.234181614891</v>
      </c>
      <c r="Y13" s="1020">
        <f>W13-X13</f>
        <v>0</v>
      </c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5" t="s">
        <v>483</v>
      </c>
      <c r="B14" s="296">
        <v>0</v>
      </c>
      <c r="C14" s="296">
        <f>-ENA_Debt!B75</f>
        <v>-15500</v>
      </c>
      <c r="D14" s="296">
        <f>-ENA_Debt!C75</f>
        <v>-16625</v>
      </c>
      <c r="E14" s="296">
        <f>-ENA_Debt!D75</f>
        <v>-17875</v>
      </c>
      <c r="F14" s="296">
        <f>-ENA_Debt!E75</f>
        <v>-17850</v>
      </c>
      <c r="G14" s="296">
        <f>-ENA_Debt!F75</f>
        <v>-24570</v>
      </c>
      <c r="H14" s="296">
        <f>-ENA_Debt!G75</f>
        <v>-27930</v>
      </c>
      <c r="I14" s="296">
        <f>-ENA_Debt!H75</f>
        <v>-30449.999999999996</v>
      </c>
      <c r="J14" s="296">
        <f>-ENA_Debt!I75</f>
        <v>-34650</v>
      </c>
      <c r="K14" s="296">
        <f>-ENA_Debt!J75</f>
        <v>-38010</v>
      </c>
      <c r="L14" s="296">
        <f>-ENA_Debt!K75</f>
        <v>-43664.999999999985</v>
      </c>
      <c r="M14" s="296">
        <f>-ENA_Debt!L75</f>
        <v>-47500</v>
      </c>
      <c r="N14" s="296">
        <f>-ENA_Debt!M75</f>
        <v>-47500</v>
      </c>
      <c r="O14" s="296">
        <f>-ENA_Debt!N75</f>
        <v>-47500</v>
      </c>
      <c r="P14" s="296">
        <f>-ENA_Debt!O75</f>
        <v>-47500</v>
      </c>
      <c r="Q14" s="296">
        <f>-ENA_Debt!P75</f>
        <v>-49875</v>
      </c>
      <c r="R14" s="296">
        <f>-ENA_Debt!Q75</f>
        <v>-52250</v>
      </c>
      <c r="S14" s="296">
        <f>-ENA_Debt!R75</f>
        <v>-52250</v>
      </c>
      <c r="T14" s="296">
        <f>-ENA_Debt!S75</f>
        <v>-42750</v>
      </c>
      <c r="U14" s="296">
        <f>-ENA_Debt!T75</f>
        <v>-42750</v>
      </c>
      <c r="V14" s="296">
        <f>-ENA_Debt!U75</f>
        <v>-38000.000000000044</v>
      </c>
      <c r="W14" s="342">
        <f>SUM(C14:V14)</f>
        <v>-735000</v>
      </c>
      <c r="X14" s="1019">
        <f>SUM(ENA_Debt!B75:U75)</f>
        <v>735000</v>
      </c>
      <c r="Y14" s="1020">
        <f>W14+X14</f>
        <v>0</v>
      </c>
    </row>
    <row r="15" spans="1:55">
      <c r="A15" s="15" t="s">
        <v>484</v>
      </c>
      <c r="B15" s="632">
        <v>0</v>
      </c>
      <c r="C15" s="632">
        <f>-ENA_Debt!B76</f>
        <v>-80195.063655030797</v>
      </c>
      <c r="D15" s="632">
        <f>-ENA_Debt!C76</f>
        <v>-78991.765229295008</v>
      </c>
      <c r="E15" s="632">
        <f>-ENA_Debt!D76</f>
        <v>-77294.472108145099</v>
      </c>
      <c r="F15" s="632">
        <f>-ENA_Debt!E76</f>
        <v>-75962.102669404514</v>
      </c>
      <c r="G15" s="632">
        <f>-ENA_Debt!F76</f>
        <v>-73604.857221081445</v>
      </c>
      <c r="H15" s="632">
        <f>-ENA_Debt!G76</f>
        <v>-70810.911430527034</v>
      </c>
      <c r="I15" s="632">
        <f>-ENA_Debt!H76</f>
        <v>-67670.892539356602</v>
      </c>
      <c r="J15" s="632">
        <f>-ENA_Debt!I76</f>
        <v>-64385.856262833673</v>
      </c>
      <c r="K15" s="632">
        <f>-ENA_Debt!J76</f>
        <v>-60305.328678986996</v>
      </c>
      <c r="L15" s="632">
        <f>-ENA_Debt!K76</f>
        <v>-55783.800136892532</v>
      </c>
      <c r="M15" s="632">
        <f>-ENA_Debt!L76</f>
        <v>-51026.119096509239</v>
      </c>
      <c r="N15" s="632">
        <f>-ENA_Debt!M76</f>
        <v>-45838.663928815877</v>
      </c>
      <c r="O15" s="632">
        <f>-ENA_Debt!N76</f>
        <v>-40393.401779603009</v>
      </c>
      <c r="P15" s="632">
        <f>-ENA_Debt!O76</f>
        <v>-35077.043121149894</v>
      </c>
      <c r="Q15" s="632">
        <f>-ENA_Debt!P76</f>
        <v>-29693.683778234088</v>
      </c>
      <c r="R15" s="632">
        <f>-ENA_Debt!Q76</f>
        <v>-24114.420260095823</v>
      </c>
      <c r="S15" s="632">
        <f>-ENA_Debt!R76</f>
        <v>-18196.511978097195</v>
      </c>
      <c r="T15" s="632">
        <f>-ENA_Debt!S76</f>
        <v>-12616.520191649557</v>
      </c>
      <c r="U15" s="632">
        <f>-ENA_Debt!T76</f>
        <v>-7831.7973990417522</v>
      </c>
      <c r="V15" s="632">
        <f>-ENA_Debt!U76</f>
        <v>-3058.7268993839834</v>
      </c>
      <c r="W15" s="1021">
        <f>SUM(C15:V15)</f>
        <v>-972851.93836413382</v>
      </c>
      <c r="X15" s="1019">
        <f>SUM(ENA_Debt!B76:U76)</f>
        <v>972851.93836413382</v>
      </c>
      <c r="Y15" s="1020">
        <f>W15+X15</f>
        <v>0</v>
      </c>
    </row>
    <row r="16" spans="1:55">
      <c r="A16" s="1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0"/>
      <c r="X16" s="1019"/>
      <c r="Y16" s="275"/>
    </row>
    <row r="17" spans="1:27">
      <c r="A17" s="14" t="s">
        <v>213</v>
      </c>
      <c r="B17" s="628">
        <f>SUM(B10:B15)</f>
        <v>0</v>
      </c>
      <c r="C17" s="628">
        <f>SUM(C10:C15)</f>
        <v>28108.531919519999</v>
      </c>
      <c r="D17" s="628">
        <f t="shared" ref="D17:V17" si="2">SUM(D10:D15)</f>
        <v>27770.045914057016</v>
      </c>
      <c r="E17" s="628">
        <f t="shared" si="2"/>
        <v>27549.434908094307</v>
      </c>
      <c r="F17" s="628">
        <f t="shared" si="2"/>
        <v>115163.4393705284</v>
      </c>
      <c r="G17" s="628">
        <f t="shared" si="2"/>
        <v>121708.29449351679</v>
      </c>
      <c r="H17" s="628">
        <f t="shared" si="2"/>
        <v>124479.63367933194</v>
      </c>
      <c r="I17" s="628">
        <f t="shared" si="2"/>
        <v>128318.20574570665</v>
      </c>
      <c r="J17" s="628">
        <f t="shared" si="2"/>
        <v>130735.33689055039</v>
      </c>
      <c r="K17" s="628">
        <f t="shared" si="2"/>
        <v>134899.3490499203</v>
      </c>
      <c r="L17" s="628">
        <f t="shared" si="2"/>
        <v>137374.75114990538</v>
      </c>
      <c r="M17" s="628">
        <f t="shared" si="2"/>
        <v>141673.26450448739</v>
      </c>
      <c r="N17" s="628">
        <f t="shared" si="2"/>
        <v>151354.47935587494</v>
      </c>
      <c r="O17" s="628">
        <f t="shared" si="2"/>
        <v>161550.15701044138</v>
      </c>
      <c r="P17" s="628">
        <f t="shared" si="2"/>
        <v>171195.30583358282</v>
      </c>
      <c r="Q17" s="628">
        <f t="shared" si="2"/>
        <v>178692.16338412074</v>
      </c>
      <c r="R17" s="628">
        <f t="shared" si="2"/>
        <v>185007.75042665409</v>
      </c>
      <c r="S17" s="628">
        <f t="shared" si="2"/>
        <v>195106.17433281569</v>
      </c>
      <c r="T17" s="628">
        <f t="shared" si="2"/>
        <v>213829.46119345486</v>
      </c>
      <c r="U17" s="628">
        <f t="shared" si="2"/>
        <v>222299.67259954667</v>
      </c>
      <c r="V17" s="628">
        <f t="shared" si="2"/>
        <v>235550.84507308656</v>
      </c>
      <c r="W17" s="342">
        <f>SUM(C17:V17)</f>
        <v>2832366.2968351962</v>
      </c>
      <c r="X17" s="1019">
        <f>SUM(Caledonia!W59,'New Albany'!W59,Wheatland!W59,Wilton!W59,Brownsville!W59,Gleason!W59)</f>
        <v>2832366.2968351957</v>
      </c>
      <c r="Y17" s="275"/>
    </row>
    <row r="18" spans="1:27">
      <c r="A18" s="14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0"/>
      <c r="X18" s="1018"/>
      <c r="Y18" s="275"/>
    </row>
    <row r="19" spans="1:27">
      <c r="A19" s="4" t="s">
        <v>485</v>
      </c>
      <c r="B19" s="295">
        <v>0</v>
      </c>
      <c r="C19" s="295">
        <f>-ENA_Tax!B8</f>
        <v>-296.48996776542862</v>
      </c>
      <c r="D19" s="295">
        <f>-ENA_Tax!C8</f>
        <v>-297.14384874839146</v>
      </c>
      <c r="E19" s="295">
        <f>-ENA_Tax!D8</f>
        <v>-297.82074675234321</v>
      </c>
      <c r="F19" s="295">
        <f>-ENA_Tax!E8</f>
        <v>-540.19017382831646</v>
      </c>
      <c r="G19" s="295">
        <f>-ENA_Tax!F8</f>
        <v>-788.12514419986553</v>
      </c>
      <c r="H19" s="295">
        <f>-ENA_Tax!G8</f>
        <v>-1954.7613361011786</v>
      </c>
      <c r="I19" s="295">
        <f>-ENA_Tax!H8</f>
        <v>-3789.4719670718487</v>
      </c>
      <c r="J19" s="295">
        <f>-ENA_Tax!I8</f>
        <v>-4860.7481389284203</v>
      </c>
      <c r="K19" s="295">
        <f>-ENA_Tax!J8</f>
        <v>-6233.8317488410057</v>
      </c>
      <c r="L19" s="295">
        <f>-ENA_Tax!K8</f>
        <v>-6705.3693523558413</v>
      </c>
      <c r="M19" s="295">
        <f>-ENA_Tax!L8</f>
        <v>-7281.2767234353205</v>
      </c>
      <c r="N19" s="295">
        <f>-ENA_Tax!M8</f>
        <v>-7887.7467565623083</v>
      </c>
      <c r="O19" s="295">
        <f>-ENA_Tax!N8</f>
        <v>-8501.4069963103248</v>
      </c>
      <c r="P19" s="295">
        <f>-ENA_Tax!O8</f>
        <v>-9104.4928450579228</v>
      </c>
      <c r="Q19" s="295">
        <f>-ENA_Tax!P8</f>
        <v>-9701.7460142074033</v>
      </c>
      <c r="R19" s="295">
        <f>-ENA_Tax!Q8</f>
        <v>-12547.679438513642</v>
      </c>
      <c r="S19" s="295">
        <f>-ENA_Tax!R8</f>
        <v>-15381.987392820172</v>
      </c>
      <c r="T19" s="295">
        <f>-ENA_Tax!S8</f>
        <v>-15966.050288761568</v>
      </c>
      <c r="U19" s="295">
        <f>-ENA_Tax!T8</f>
        <v>-16502.633352102333</v>
      </c>
      <c r="V19" s="295">
        <f>-ENA_Tax!U8</f>
        <v>-17041.798175550404</v>
      </c>
      <c r="W19" s="342">
        <f>SUM(C19:V19)</f>
        <v>-145680.77040791407</v>
      </c>
      <c r="X19" s="1019">
        <f>SUM(Caledonia!W61,'New Albany'!W61,Wheatland!W61,Wilton!W61,Brownsville!W61,Gleason!W61)</f>
        <v>-145680.77040791401</v>
      </c>
      <c r="Y19" s="1020">
        <f>W19-X19</f>
        <v>0</v>
      </c>
    </row>
    <row r="20" spans="1:27">
      <c r="A20" s="4" t="s">
        <v>486</v>
      </c>
      <c r="B20" s="297">
        <v>0</v>
      </c>
      <c r="C20" s="297">
        <f>-ENA_Tax!B24</f>
        <v>0</v>
      </c>
      <c r="D20" s="297">
        <f>-ENA_Tax!C24</f>
        <v>0</v>
      </c>
      <c r="E20" s="297">
        <f>-ENA_Tax!D24</f>
        <v>0</v>
      </c>
      <c r="F20" s="297">
        <f>-ENA_Tax!E24</f>
        <v>0</v>
      </c>
      <c r="G20" s="297">
        <f>-ENA_Tax!F24</f>
        <v>0</v>
      </c>
      <c r="H20" s="297">
        <f>-ENA_Tax!G24</f>
        <v>0</v>
      </c>
      <c r="I20" s="297">
        <f>-ENA_Tax!H24</f>
        <v>-21438.319681690733</v>
      </c>
      <c r="J20" s="297">
        <f>-ENA_Tax!I24</f>
        <v>-29020.080513067678</v>
      </c>
      <c r="K20" s="297">
        <f>-ENA_Tax!J24</f>
        <v>-31262.507255377757</v>
      </c>
      <c r="L20" s="297">
        <f>-ENA_Tax!K24</f>
        <v>-33586.078329142329</v>
      </c>
      <c r="M20" s="297">
        <f>-ENA_Tax!L24</f>
        <v>-36643.18447336823</v>
      </c>
      <c r="N20" s="297">
        <f>-ENA_Tax!M24</f>
        <v>-39840.487959759404</v>
      </c>
      <c r="O20" s="297">
        <f>-ENA_Tax!N24</f>
        <v>-43066.775504945879</v>
      </c>
      <c r="P20" s="297">
        <f>-ENA_Tax!O24</f>
        <v>-46218.064545983711</v>
      </c>
      <c r="Q20" s="297">
        <f>-ENA_Tax!P24</f>
        <v>-49339.016674056802</v>
      </c>
      <c r="R20" s="297">
        <f>-ENA_Tax!Q24</f>
        <v>-65296.712941990889</v>
      </c>
      <c r="S20" s="297">
        <f>-ENA_Tax!R24</f>
        <v>-81182.70450281298</v>
      </c>
      <c r="T20" s="297">
        <f>-ENA_Tax!S24</f>
        <v>-84206.267671933529</v>
      </c>
      <c r="U20" s="297">
        <f>-ENA_Tax!T24</f>
        <v>-86982.869069002205</v>
      </c>
      <c r="V20" s="297">
        <f>-ENA_Tax!U24</f>
        <v>-89772.640155102854</v>
      </c>
      <c r="W20" s="1021">
        <f>SUM(C20:V20)</f>
        <v>-737855.70927823498</v>
      </c>
      <c r="X20" s="1019">
        <f>SUM(Caledonia!W62,'New Albany'!W62,Wheatland!W62,Wilton!W62,Brownsville!W62,Gleason!W62)</f>
        <v>-737855.70927823498</v>
      </c>
      <c r="Y20" s="1020">
        <f>W20-X20</f>
        <v>0</v>
      </c>
    </row>
    <row r="21" spans="1:27">
      <c r="A21" s="15"/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973"/>
      <c r="X21" s="1022"/>
      <c r="Y21" s="275"/>
    </row>
    <row r="22" spans="1:27" s="299" customFormat="1">
      <c r="A22" s="14" t="s">
        <v>214</v>
      </c>
      <c r="B22" s="628">
        <f t="shared" ref="B22:W22" si="3">SUM(B20,B19,B17)</f>
        <v>0</v>
      </c>
      <c r="C22" s="628">
        <f t="shared" si="3"/>
        <v>27812.041951754571</v>
      </c>
      <c r="D22" s="628">
        <f t="shared" si="3"/>
        <v>27472.902065308626</v>
      </c>
      <c r="E22" s="628">
        <f t="shared" si="3"/>
        <v>27251.614161341964</v>
      </c>
      <c r="F22" s="628">
        <f t="shared" si="3"/>
        <v>114623.24919670008</v>
      </c>
      <c r="G22" s="628">
        <f t="shared" si="3"/>
        <v>120920.16934931693</v>
      </c>
      <c r="H22" s="628">
        <f t="shared" si="3"/>
        <v>122524.87234323076</v>
      </c>
      <c r="I22" s="628">
        <f t="shared" si="3"/>
        <v>103090.41409694408</v>
      </c>
      <c r="J22" s="628">
        <f t="shared" si="3"/>
        <v>96854.508238554292</v>
      </c>
      <c r="K22" s="628">
        <f t="shared" si="3"/>
        <v>97403.010045701551</v>
      </c>
      <c r="L22" s="628">
        <f t="shared" si="3"/>
        <v>97083.303468407219</v>
      </c>
      <c r="M22" s="628">
        <f t="shared" si="3"/>
        <v>97748.803307683847</v>
      </c>
      <c r="N22" s="628">
        <f t="shared" si="3"/>
        <v>103626.24463955322</v>
      </c>
      <c r="O22" s="628">
        <f t="shared" si="3"/>
        <v>109981.97450918518</v>
      </c>
      <c r="P22" s="628">
        <f t="shared" si="3"/>
        <v>115872.7484425412</v>
      </c>
      <c r="Q22" s="628">
        <f t="shared" si="3"/>
        <v>119651.40069585653</v>
      </c>
      <c r="R22" s="628">
        <f t="shared" si="3"/>
        <v>107163.35804614956</v>
      </c>
      <c r="S22" s="628">
        <f t="shared" si="3"/>
        <v>98541.482437182538</v>
      </c>
      <c r="T22" s="628">
        <f t="shared" si="3"/>
        <v>113657.14323275976</v>
      </c>
      <c r="U22" s="628">
        <f t="shared" si="3"/>
        <v>118814.17017844213</v>
      </c>
      <c r="V22" s="628">
        <f t="shared" si="3"/>
        <v>128736.4067424333</v>
      </c>
      <c r="W22" s="1023">
        <f t="shared" si="3"/>
        <v>1948829.8171490473</v>
      </c>
      <c r="X22" s="1019">
        <f>SUM(Caledonia!W64,'New Albany'!W64,Wheatland!W64,Wilton!W64,Brownsville!W64,Gleason!W64)</f>
        <v>1948829.8171490473</v>
      </c>
      <c r="Y22" s="1020">
        <f>W22-X22</f>
        <v>0</v>
      </c>
      <c r="Z22" s="271"/>
      <c r="AA22" s="271"/>
    </row>
    <row r="23" spans="1:27">
      <c r="A23" s="15"/>
      <c r="B23" s="298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973"/>
      <c r="X23" s="300"/>
      <c r="Y23" s="271"/>
    </row>
    <row r="24" spans="1:27">
      <c r="A24" s="15"/>
      <c r="B24" s="301"/>
      <c r="C24" s="301"/>
      <c r="D24" s="301"/>
      <c r="E24" s="301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300"/>
    </row>
    <row r="25" spans="1:27" ht="18.75">
      <c r="A25" s="288" t="s">
        <v>215</v>
      </c>
    </row>
    <row r="26" spans="1:27" ht="12" customHeight="1">
      <c r="A26" s="288"/>
    </row>
    <row r="27" spans="1:27" ht="13.5" thickBot="1">
      <c r="A27" s="99" t="s">
        <v>5</v>
      </c>
      <c r="B27" s="290" t="s">
        <v>211</v>
      </c>
      <c r="C27" s="9">
        <v>2001</v>
      </c>
      <c r="D27" s="9">
        <f t="shared" ref="D27:V27" si="4">C27+1</f>
        <v>2002</v>
      </c>
      <c r="E27" s="9">
        <f t="shared" si="4"/>
        <v>2003</v>
      </c>
      <c r="F27" s="9">
        <f t="shared" si="4"/>
        <v>2004</v>
      </c>
      <c r="G27" s="9">
        <f t="shared" si="4"/>
        <v>2005</v>
      </c>
      <c r="H27" s="9">
        <f t="shared" si="4"/>
        <v>2006</v>
      </c>
      <c r="I27" s="9">
        <f t="shared" si="4"/>
        <v>2007</v>
      </c>
      <c r="J27" s="9">
        <f t="shared" si="4"/>
        <v>2008</v>
      </c>
      <c r="K27" s="9">
        <f t="shared" si="4"/>
        <v>2009</v>
      </c>
      <c r="L27" s="9">
        <f t="shared" si="4"/>
        <v>2010</v>
      </c>
      <c r="M27" s="9">
        <f t="shared" si="4"/>
        <v>2011</v>
      </c>
      <c r="N27" s="9">
        <f t="shared" si="4"/>
        <v>2012</v>
      </c>
      <c r="O27" s="9">
        <f t="shared" si="4"/>
        <v>2013</v>
      </c>
      <c r="P27" s="9">
        <f t="shared" si="4"/>
        <v>2014</v>
      </c>
      <c r="Q27" s="9">
        <f t="shared" si="4"/>
        <v>2015</v>
      </c>
      <c r="R27" s="9">
        <f t="shared" si="4"/>
        <v>2016</v>
      </c>
      <c r="S27" s="9">
        <f t="shared" si="4"/>
        <v>2017</v>
      </c>
      <c r="T27" s="9">
        <f t="shared" si="4"/>
        <v>2018</v>
      </c>
      <c r="U27" s="9">
        <f t="shared" si="4"/>
        <v>2019</v>
      </c>
      <c r="V27" s="9">
        <f t="shared" si="4"/>
        <v>2020</v>
      </c>
      <c r="X27" s="271"/>
    </row>
    <row r="28" spans="1:27">
      <c r="V28" s="8"/>
      <c r="X28" s="271"/>
    </row>
    <row r="29" spans="1:27">
      <c r="A29" s="271" t="s">
        <v>216</v>
      </c>
      <c r="B29" s="295">
        <f>-'ENA_Summary Output'!C8</f>
        <v>-577000</v>
      </c>
      <c r="C29" s="295">
        <v>0</v>
      </c>
      <c r="D29" s="295">
        <v>0</v>
      </c>
      <c r="E29" s="295">
        <v>0</v>
      </c>
      <c r="F29" s="295">
        <v>0</v>
      </c>
      <c r="G29" s="295">
        <v>0</v>
      </c>
      <c r="H29" s="295">
        <v>0</v>
      </c>
      <c r="I29" s="295">
        <v>0</v>
      </c>
      <c r="J29" s="295">
        <v>0</v>
      </c>
      <c r="K29" s="295">
        <v>0</v>
      </c>
      <c r="L29" s="295">
        <v>0</v>
      </c>
      <c r="M29" s="295">
        <v>0</v>
      </c>
      <c r="N29" s="295">
        <v>0</v>
      </c>
      <c r="O29" s="295">
        <v>0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4">
        <v>0</v>
      </c>
    </row>
    <row r="30" spans="1:27">
      <c r="A30" s="271" t="s">
        <v>217</v>
      </c>
      <c r="B30" s="296">
        <f>B22</f>
        <v>0</v>
      </c>
      <c r="C30" s="296">
        <f>C22</f>
        <v>27812.041951754571</v>
      </c>
      <c r="D30" s="296">
        <f t="shared" ref="D30:V30" si="5">D22</f>
        <v>27472.902065308626</v>
      </c>
      <c r="E30" s="296">
        <f t="shared" si="5"/>
        <v>27251.614161341964</v>
      </c>
      <c r="F30" s="296">
        <f t="shared" si="5"/>
        <v>114623.24919670008</v>
      </c>
      <c r="G30" s="296">
        <f t="shared" si="5"/>
        <v>120920.16934931693</v>
      </c>
      <c r="H30" s="296">
        <f t="shared" si="5"/>
        <v>122524.87234323076</v>
      </c>
      <c r="I30" s="296">
        <f t="shared" si="5"/>
        <v>103090.41409694408</v>
      </c>
      <c r="J30" s="296">
        <f t="shared" si="5"/>
        <v>96854.508238554292</v>
      </c>
      <c r="K30" s="296">
        <f t="shared" si="5"/>
        <v>97403.010045701551</v>
      </c>
      <c r="L30" s="296">
        <f t="shared" si="5"/>
        <v>97083.303468407219</v>
      </c>
      <c r="M30" s="296">
        <f t="shared" si="5"/>
        <v>97748.803307683847</v>
      </c>
      <c r="N30" s="296">
        <f t="shared" si="5"/>
        <v>103626.24463955322</v>
      </c>
      <c r="O30" s="296">
        <f t="shared" si="5"/>
        <v>109981.97450918518</v>
      </c>
      <c r="P30" s="296">
        <f t="shared" si="5"/>
        <v>115872.7484425412</v>
      </c>
      <c r="Q30" s="296">
        <f t="shared" si="5"/>
        <v>119651.40069585653</v>
      </c>
      <c r="R30" s="296">
        <f t="shared" si="5"/>
        <v>107163.35804614956</v>
      </c>
      <c r="S30" s="296">
        <f t="shared" si="5"/>
        <v>98541.482437182538</v>
      </c>
      <c r="T30" s="296">
        <f t="shared" si="5"/>
        <v>113657.14323275976</v>
      </c>
      <c r="U30" s="296">
        <f t="shared" si="5"/>
        <v>118814.17017844213</v>
      </c>
      <c r="V30" s="296">
        <f t="shared" si="5"/>
        <v>128736.4067424333</v>
      </c>
    </row>
    <row r="31" spans="1:27">
      <c r="A31" s="271" t="s">
        <v>218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f>2*V10</f>
        <v>553187.56532188517</v>
      </c>
    </row>
    <row r="32" spans="1:27">
      <c r="A32" s="271" t="s">
        <v>219</v>
      </c>
      <c r="B32" s="295">
        <f t="shared" ref="B32:V32" si="6">SUM(B29:B31)</f>
        <v>-577000</v>
      </c>
      <c r="C32" s="295">
        <f t="shared" si="6"/>
        <v>27812.041951754571</v>
      </c>
      <c r="D32" s="295">
        <f t="shared" si="6"/>
        <v>27472.902065308626</v>
      </c>
      <c r="E32" s="295">
        <f t="shared" si="6"/>
        <v>27251.614161341964</v>
      </c>
      <c r="F32" s="295">
        <f t="shared" si="6"/>
        <v>114623.24919670008</v>
      </c>
      <c r="G32" s="295">
        <f t="shared" si="6"/>
        <v>120920.16934931693</v>
      </c>
      <c r="H32" s="295">
        <f t="shared" si="6"/>
        <v>122524.87234323076</v>
      </c>
      <c r="I32" s="295">
        <f t="shared" si="6"/>
        <v>103090.41409694408</v>
      </c>
      <c r="J32" s="295">
        <f t="shared" si="6"/>
        <v>96854.508238554292</v>
      </c>
      <c r="K32" s="295">
        <f t="shared" si="6"/>
        <v>97403.010045701551</v>
      </c>
      <c r="L32" s="295">
        <f t="shared" si="6"/>
        <v>97083.303468407219</v>
      </c>
      <c r="M32" s="295">
        <f t="shared" si="6"/>
        <v>97748.803307683847</v>
      </c>
      <c r="N32" s="295">
        <f t="shared" si="6"/>
        <v>103626.24463955322</v>
      </c>
      <c r="O32" s="295">
        <f t="shared" si="6"/>
        <v>109981.97450918518</v>
      </c>
      <c r="P32" s="295">
        <f t="shared" si="6"/>
        <v>115872.7484425412</v>
      </c>
      <c r="Q32" s="295">
        <f t="shared" si="6"/>
        <v>119651.40069585653</v>
      </c>
      <c r="R32" s="295">
        <f t="shared" si="6"/>
        <v>107163.35804614956</v>
      </c>
      <c r="S32" s="295">
        <f t="shared" si="6"/>
        <v>98541.482437182538</v>
      </c>
      <c r="T32" s="295">
        <f t="shared" si="6"/>
        <v>113657.14323275976</v>
      </c>
      <c r="U32" s="295">
        <f t="shared" si="6"/>
        <v>118814.17017844213</v>
      </c>
      <c r="V32" s="295">
        <f t="shared" si="6"/>
        <v>681923.97206431848</v>
      </c>
    </row>
    <row r="33" spans="1:22">
      <c r="A33" s="271" t="s">
        <v>220</v>
      </c>
      <c r="B33" s="615">
        <f>[14]!_xludf.xirr(B32:V32,B8:V8)</f>
        <v>0.13966240286827084</v>
      </c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4"/>
    </row>
    <row r="35" spans="1:22">
      <c r="B35" s="302"/>
      <c r="C35" s="302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Q35" s="302"/>
      <c r="R35" s="302"/>
      <c r="S35" s="302"/>
      <c r="T35" s="302"/>
      <c r="U35" s="302"/>
      <c r="V35" s="302"/>
    </row>
    <row r="36" spans="1:22" customFormat="1"/>
    <row r="37" spans="1:22" customFormat="1"/>
    <row r="38" spans="1:22" customFormat="1"/>
    <row r="39" spans="1:22" customFormat="1"/>
    <row r="40" spans="1:22" customFormat="1"/>
    <row r="41" spans="1:22" customFormat="1"/>
    <row r="42" spans="1:22" customFormat="1"/>
    <row r="43" spans="1:22" customFormat="1"/>
    <row r="44" spans="1:22" customFormat="1"/>
  </sheetData>
  <mergeCells count="1">
    <mergeCell ref="X7:Y7"/>
  </mergeCells>
  <pageMargins left="0.5" right="0.5" top="0.75" bottom="0.5" header="0.25" footer="0.25"/>
  <pageSetup scale="44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2:Y32"/>
  <sheetViews>
    <sheetView zoomScale="75" zoomScaleNormal="75" workbookViewId="0"/>
  </sheetViews>
  <sheetFormatPr defaultRowHeight="12.75"/>
  <cols>
    <col min="1" max="1" width="43.42578125" style="271" customWidth="1"/>
    <col min="2" max="3" width="10.42578125" style="271" customWidth="1"/>
    <col min="4" max="7" width="10.140625" style="271" customWidth="1"/>
    <col min="8" max="21" width="10" style="271" customWidth="1"/>
    <col min="22" max="22" width="10" style="7" customWidth="1"/>
    <col min="23" max="23" width="12.7109375" style="7" bestFit="1" customWidth="1"/>
    <col min="24" max="24" width="12.28515625" style="7" bestFit="1" customWidth="1"/>
    <col min="25" max="25" width="9.7109375" style="7" bestFit="1" customWidth="1"/>
    <col min="26" max="16384" width="9.140625" style="7"/>
  </cols>
  <sheetData>
    <row r="2" spans="1:25" ht="18.75">
      <c r="A2" s="303" t="s">
        <v>692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5" ht="13.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5">
      <c r="A7" s="633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634"/>
    </row>
    <row r="8" spans="1:25" ht="13.5" thickBot="1">
      <c r="A8" s="314" t="s">
        <v>221</v>
      </c>
      <c r="B8" s="635">
        <f>SUM(Caledonia!B100,'New Albany'!B100,Wheatland!B106,Wilton!B97,Brownsville!B103,Gleason!B103)</f>
        <v>296.48996776542862</v>
      </c>
      <c r="C8" s="635">
        <f>SUM(Caledonia!C100,'New Albany'!C100,Wheatland!C106,Wilton!C97,Brownsville!C103,Gleason!C103)</f>
        <v>297.14384874839146</v>
      </c>
      <c r="D8" s="635">
        <f>SUM(Caledonia!D100,'New Albany'!D100,Wheatland!D106,Wilton!D97,Brownsville!D103,Gleason!D103)</f>
        <v>297.82074675234321</v>
      </c>
      <c r="E8" s="635">
        <f>SUM(Caledonia!E100,'New Albany'!E100,Wheatland!E106,Wilton!E97,Brownsville!E103,Gleason!E103)</f>
        <v>540.19017382831646</v>
      </c>
      <c r="F8" s="635">
        <f>SUM(Caledonia!F100,'New Albany'!F100,Wheatland!F106,Wilton!F97,Brownsville!F103,Gleason!F103)</f>
        <v>788.12514419986553</v>
      </c>
      <c r="G8" s="635">
        <f>SUM(Caledonia!G100,'New Albany'!G100,Wheatland!G106,Wilton!G97,Brownsville!G103,Gleason!G103)</f>
        <v>1954.7613361011786</v>
      </c>
      <c r="H8" s="635">
        <f>SUM(Caledonia!H100,'New Albany'!H100,Wheatland!H106,Wilton!H97,Brownsville!H103,Gleason!H103)</f>
        <v>3789.4719670718487</v>
      </c>
      <c r="I8" s="635">
        <f>SUM(Caledonia!I100,'New Albany'!I100,Wheatland!I106,Wilton!I97,Brownsville!I103,Gleason!I103)</f>
        <v>4860.7481389284203</v>
      </c>
      <c r="J8" s="635">
        <f>SUM(Caledonia!J100,'New Albany'!J100,Wheatland!J106,Wilton!J97,Brownsville!J103,Gleason!J103)</f>
        <v>6233.8317488410057</v>
      </c>
      <c r="K8" s="635">
        <f>SUM(Caledonia!K100,'New Albany'!K100,Wheatland!K106,Wilton!K97,Brownsville!K103,Gleason!K103)</f>
        <v>6705.3693523558413</v>
      </c>
      <c r="L8" s="635">
        <f>SUM(Caledonia!L100,'New Albany'!L100,Wheatland!L106,Wilton!L97,Brownsville!L103,Gleason!L103)</f>
        <v>7281.2767234353205</v>
      </c>
      <c r="M8" s="635">
        <f>SUM(Caledonia!M100,'New Albany'!M100,Wheatland!M106,Wilton!M97,Brownsville!M103,Gleason!M103)</f>
        <v>7887.7467565623083</v>
      </c>
      <c r="N8" s="635">
        <f>SUM(Caledonia!N100,'New Albany'!N100,Wheatland!N106,Wilton!N97,Brownsville!N103,Gleason!N103)</f>
        <v>8501.4069963103248</v>
      </c>
      <c r="O8" s="635">
        <f>SUM(Caledonia!O100,'New Albany'!O100,Wheatland!O106,Wilton!O97,Brownsville!O103,Gleason!O103)</f>
        <v>9104.4928450579228</v>
      </c>
      <c r="P8" s="635">
        <f>SUM(Caledonia!P100,'New Albany'!P100,Wheatland!P106,Wilton!P97,Brownsville!P103,Gleason!P103)</f>
        <v>9701.7460142074033</v>
      </c>
      <c r="Q8" s="635">
        <f>SUM(Caledonia!Q100,'New Albany'!Q100,Wheatland!Q106,Wilton!Q97,Brownsville!Q103,Gleason!Q103)</f>
        <v>12547.679438513642</v>
      </c>
      <c r="R8" s="635">
        <f>SUM(Caledonia!R100,'New Albany'!R100,Wheatland!R106,Wilton!R97,Brownsville!R103,Gleason!R103)</f>
        <v>15381.987392820172</v>
      </c>
      <c r="S8" s="635">
        <f>SUM(Caledonia!S100,'New Albany'!S100,Wheatland!S106,Wilton!S97,Brownsville!S103,Gleason!S103)</f>
        <v>15966.050288761568</v>
      </c>
      <c r="T8" s="635">
        <f>SUM(Caledonia!T100,'New Albany'!T100,Wheatland!T106,Wilton!T97,Brownsville!T103,Gleason!T103)</f>
        <v>16502.633352102333</v>
      </c>
      <c r="U8" s="635">
        <f>SUM(Caledonia!U100,'New Albany'!U100,Wheatland!U106,Wilton!U97,Brownsville!U103,Gleason!U103)</f>
        <v>17041.798175550404</v>
      </c>
      <c r="V8" s="636"/>
      <c r="W8" s="1046">
        <f>SUM(B8:U8)</f>
        <v>145680.77040791407</v>
      </c>
      <c r="X8" s="1047">
        <f>SUM(Brownsville!W103,Caledonia!W100,'New Albany'!W100,Gleason!W103,Wheatland!W106,Wilton!W97)</f>
        <v>145680.77040791404</v>
      </c>
      <c r="Y8" s="96">
        <f>W8-X8</f>
        <v>0</v>
      </c>
    </row>
    <row r="9" spans="1:25">
      <c r="A9" s="314"/>
      <c r="B9" s="315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636"/>
      <c r="W9" s="636"/>
    </row>
    <row r="10" spans="1:25">
      <c r="A10" s="598"/>
      <c r="B10" s="316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637"/>
      <c r="W10" s="637"/>
    </row>
    <row r="11" spans="1:25">
      <c r="A11" s="633" t="s">
        <v>345</v>
      </c>
      <c r="B11" s="296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317"/>
      <c r="W11" s="317"/>
    </row>
    <row r="12" spans="1:25">
      <c r="A12" s="598" t="s">
        <v>501</v>
      </c>
      <c r="B12" s="316">
        <f>ENA_IS!B40-ENA_IS!B13</f>
        <v>-796.09417894608487</v>
      </c>
      <c r="C12" s="316">
        <f>ENA_IS!C40-ENA_IS!C13</f>
        <v>-176.6652858090747</v>
      </c>
      <c r="D12" s="316">
        <f>ENA_IS!D40-ENA_IS!D13</f>
        <v>1009.2847082282169</v>
      </c>
      <c r="E12" s="316">
        <f>ENA_IS!E40</f>
        <v>88711.133170662317</v>
      </c>
      <c r="F12" s="316">
        <f>ENA_IS!F40</f>
        <v>102005.56429365068</v>
      </c>
      <c r="G12" s="316">
        <f>ENA_IS!G40</f>
        <v>107984.13347946586</v>
      </c>
      <c r="H12" s="316">
        <f>ENA_IS!H40</f>
        <v>114410.73954584057</v>
      </c>
      <c r="I12" s="316">
        <f>ENA_IS!I40</f>
        <v>121089.39969068429</v>
      </c>
      <c r="J12" s="316">
        <f>ENA_IS!J40</f>
        <v>128738.21685005422</v>
      </c>
      <c r="K12" s="316">
        <f>ENA_IS!K40</f>
        <v>135979.72895003928</v>
      </c>
      <c r="L12" s="316">
        <f>ENA_IS!L40</f>
        <v>145159.02530462132</v>
      </c>
      <c r="M12" s="316">
        <f>ENA_IS!M40</f>
        <v>155031.84815600881</v>
      </c>
      <c r="N12" s="316">
        <f>ENA_IS!N40</f>
        <v>164732.27281057529</v>
      </c>
      <c r="O12" s="316">
        <f>ENA_IS!O40</f>
        <v>174470.24163371674</v>
      </c>
      <c r="P12" s="316">
        <f>ENA_IS!P40</f>
        <v>183853.30088307505</v>
      </c>
      <c r="Q12" s="316">
        <f>ENA_IS!Q40</f>
        <v>193588.65221576439</v>
      </c>
      <c r="R12" s="316">
        <f>ENA_IS!R40</f>
        <v>203107.50748670549</v>
      </c>
      <c r="S12" s="316">
        <f>ENA_IS!S40</f>
        <v>212330.32229441986</v>
      </c>
      <c r="T12" s="316">
        <f>ENA_IS!T40</f>
        <v>220800.05220652826</v>
      </c>
      <c r="U12" s="316">
        <f>ENA_IS!U40</f>
        <v>229309.9915616925</v>
      </c>
      <c r="V12" s="637"/>
      <c r="W12" s="1046">
        <f>SUM(B12:U12)</f>
        <v>2681338.655776978</v>
      </c>
      <c r="X12" s="1047">
        <f>SUM(Caledonia!W86,'New Albany'!W86,Wheatland!W90,Wilton!W83,Brownsville!W89,Gleason!W89)</f>
        <v>2681338.655776978</v>
      </c>
      <c r="Y12" s="96">
        <f>W12-X12</f>
        <v>0</v>
      </c>
    </row>
    <row r="13" spans="1:25">
      <c r="A13" s="598" t="s">
        <v>502</v>
      </c>
      <c r="B13" s="316">
        <f>ENA_IS!B34</f>
        <v>44225.064199866087</v>
      </c>
      <c r="C13" s="316">
        <f>ENA_IS!C34</f>
        <v>44225.064199866087</v>
      </c>
      <c r="D13" s="316">
        <f>ENA_IS!D34</f>
        <v>44225.064199866087</v>
      </c>
      <c r="E13" s="316">
        <f>ENA_IS!E34</f>
        <v>44225.064199866087</v>
      </c>
      <c r="F13" s="316">
        <f>ENA_IS!F34</f>
        <v>44225.064199866087</v>
      </c>
      <c r="G13" s="316">
        <f>ENA_IS!G34</f>
        <v>44225.064199866087</v>
      </c>
      <c r="H13" s="316">
        <f>ENA_IS!H34</f>
        <v>44225.064199866087</v>
      </c>
      <c r="I13" s="316">
        <f>ENA_IS!I34</f>
        <v>44225.064199866087</v>
      </c>
      <c r="J13" s="316">
        <f>ENA_IS!J34</f>
        <v>44225.064199866087</v>
      </c>
      <c r="K13" s="316">
        <f>ENA_IS!K34</f>
        <v>44225.064199866087</v>
      </c>
      <c r="L13" s="316">
        <f>ENA_IS!L34</f>
        <v>44225.064199866087</v>
      </c>
      <c r="M13" s="316">
        <f>ENA_IS!M34</f>
        <v>44225.064199866087</v>
      </c>
      <c r="N13" s="316">
        <f>ENA_IS!N34</f>
        <v>44225.064199866087</v>
      </c>
      <c r="O13" s="316">
        <f>ENA_IS!O34</f>
        <v>44225.064199866087</v>
      </c>
      <c r="P13" s="316">
        <f>ENA_IS!P34</f>
        <v>44225.064199866087</v>
      </c>
      <c r="Q13" s="316">
        <f>ENA_IS!Q34</f>
        <v>44225.064199866087</v>
      </c>
      <c r="R13" s="316">
        <f>ENA_IS!R34</f>
        <v>44225.064199866087</v>
      </c>
      <c r="S13" s="316">
        <f>ENA_IS!S34</f>
        <v>44225.064199866087</v>
      </c>
      <c r="T13" s="316">
        <f>ENA_IS!T34</f>
        <v>44225.064199866087</v>
      </c>
      <c r="U13" s="316">
        <f>ENA_IS!U34</f>
        <v>44225.064199866087</v>
      </c>
      <c r="V13" s="637"/>
      <c r="W13" s="1046">
        <f>SUM(B13:U13)</f>
        <v>884501.28399732127</v>
      </c>
      <c r="X13" s="1047">
        <f>SUM(Caledonia!W87,'New Albany'!W87,Wheatland!W91,Wilton!W84,Brownsville!W90,Gleason!W90)</f>
        <v>884501.2839973215</v>
      </c>
      <c r="Y13" s="96">
        <f>W13-X13</f>
        <v>0</v>
      </c>
    </row>
    <row r="14" spans="1:25">
      <c r="A14" s="598" t="s">
        <v>503</v>
      </c>
      <c r="B14" s="296">
        <f>-ENA_Depreciation!C104</f>
        <v>-65600</v>
      </c>
      <c r="C14" s="296">
        <f>-ENA_Depreciation!D104</f>
        <v>-124639.99999999997</v>
      </c>
      <c r="D14" s="296">
        <f>-ENA_Depreciation!E104</f>
        <v>-112175.99999999999</v>
      </c>
      <c r="E14" s="296">
        <f>-ENA_Depreciation!F104</f>
        <v>-101023.99999999997</v>
      </c>
      <c r="F14" s="296">
        <f>-ENA_Depreciation!G104</f>
        <v>-90921.599999999991</v>
      </c>
      <c r="G14" s="296">
        <f>-ENA_Depreciation!H104</f>
        <v>-81737.599999999991</v>
      </c>
      <c r="H14" s="296">
        <f>-ENA_Depreciation!I104</f>
        <v>-77407.999999999985</v>
      </c>
      <c r="I14" s="296">
        <f>-ENA_Depreciation!J104</f>
        <v>-77539.199999999997</v>
      </c>
      <c r="J14" s="296">
        <f>-ENA_Depreciation!K104</f>
        <v>-77407.999999999985</v>
      </c>
      <c r="K14" s="296">
        <f>-ENA_Depreciation!L104</f>
        <v>-77539.199999999997</v>
      </c>
      <c r="L14" s="296">
        <f>-ENA_Depreciation!M104</f>
        <v>-77407.999999999985</v>
      </c>
      <c r="M14" s="296">
        <f>-ENA_Depreciation!N104</f>
        <v>-77539.199999999997</v>
      </c>
      <c r="N14" s="296">
        <f>-ENA_Depreciation!O104</f>
        <v>-77407.999999999985</v>
      </c>
      <c r="O14" s="296">
        <f>-ENA_Depreciation!P104</f>
        <v>-77539.199999999997</v>
      </c>
      <c r="P14" s="296">
        <f>-ENA_Depreciation!Q104</f>
        <v>-77407.999999999985</v>
      </c>
      <c r="Q14" s="296">
        <f>-ENA_Depreciation!R104</f>
        <v>-38703.999999999993</v>
      </c>
      <c r="R14" s="296">
        <f>-ENA_Depreciation!S104</f>
        <v>0</v>
      </c>
      <c r="S14" s="296">
        <f>-ENA_Depreciation!T104</f>
        <v>0</v>
      </c>
      <c r="T14" s="296">
        <f>-ENA_Depreciation!U104</f>
        <v>0</v>
      </c>
      <c r="U14" s="296">
        <f>-ENA_Depreciation!V104</f>
        <v>0</v>
      </c>
      <c r="V14" s="637"/>
      <c r="W14" s="1046">
        <f>SUM(B14:U14)</f>
        <v>-1311999.9999999995</v>
      </c>
      <c r="X14" s="1047">
        <f>SUM(Caledonia!W88,'New Albany'!W88,Wheatland!W92,Wilton!W85,Brownsville!W91,Gleason!W91)</f>
        <v>-1311999.9999999998</v>
      </c>
      <c r="Y14" s="96">
        <f>W14-X14</f>
        <v>0</v>
      </c>
    </row>
    <row r="15" spans="1:25" ht="15">
      <c r="A15" s="598" t="s">
        <v>504</v>
      </c>
      <c r="B15" s="640">
        <f>-B8</f>
        <v>-296.48996776542862</v>
      </c>
      <c r="C15" s="640">
        <f t="shared" ref="C15:U15" si="0">-C8</f>
        <v>-297.14384874839146</v>
      </c>
      <c r="D15" s="640">
        <f t="shared" si="0"/>
        <v>-297.82074675234321</v>
      </c>
      <c r="E15" s="640">
        <f t="shared" si="0"/>
        <v>-540.19017382831646</v>
      </c>
      <c r="F15" s="640">
        <f t="shared" si="0"/>
        <v>-788.12514419986553</v>
      </c>
      <c r="G15" s="640">
        <f t="shared" si="0"/>
        <v>-1954.7613361011786</v>
      </c>
      <c r="H15" s="640">
        <f t="shared" si="0"/>
        <v>-3789.4719670718487</v>
      </c>
      <c r="I15" s="640">
        <f t="shared" si="0"/>
        <v>-4860.7481389284203</v>
      </c>
      <c r="J15" s="640">
        <f t="shared" si="0"/>
        <v>-6233.8317488410057</v>
      </c>
      <c r="K15" s="640">
        <f t="shared" si="0"/>
        <v>-6705.3693523558413</v>
      </c>
      <c r="L15" s="640">
        <f t="shared" si="0"/>
        <v>-7281.2767234353205</v>
      </c>
      <c r="M15" s="640">
        <f t="shared" si="0"/>
        <v>-7887.7467565623083</v>
      </c>
      <c r="N15" s="640">
        <f t="shared" si="0"/>
        <v>-8501.4069963103248</v>
      </c>
      <c r="O15" s="640">
        <f t="shared" si="0"/>
        <v>-9104.4928450579228</v>
      </c>
      <c r="P15" s="640">
        <f t="shared" si="0"/>
        <v>-9701.7460142074033</v>
      </c>
      <c r="Q15" s="640">
        <f t="shared" si="0"/>
        <v>-12547.679438513642</v>
      </c>
      <c r="R15" s="640">
        <f t="shared" si="0"/>
        <v>-15381.987392820172</v>
      </c>
      <c r="S15" s="640">
        <f t="shared" si="0"/>
        <v>-15966.050288761568</v>
      </c>
      <c r="T15" s="640">
        <f t="shared" si="0"/>
        <v>-16502.633352102333</v>
      </c>
      <c r="U15" s="640">
        <f t="shared" si="0"/>
        <v>-17041.798175550404</v>
      </c>
      <c r="V15" s="639"/>
      <c r="W15" s="1046">
        <f>SUM(B15:U15)</f>
        <v>-145680.77040791407</v>
      </c>
      <c r="X15" s="1047">
        <f>SUM(Brownsville!W103,Caledonia!W100,'New Albany'!W100,Gleason!W103,Wheatland!W106,Wilton!W97)</f>
        <v>145680.77040791404</v>
      </c>
      <c r="Y15" s="96">
        <f>X15+W15</f>
        <v>0</v>
      </c>
    </row>
    <row r="16" spans="1:25">
      <c r="A16" s="318" t="s">
        <v>222</v>
      </c>
      <c r="B16" s="641">
        <f t="shared" ref="B16:U16" si="1">SUM(B12:B15)</f>
        <v>-22467.519946845427</v>
      </c>
      <c r="C16" s="641">
        <f t="shared" si="1"/>
        <v>-80888.744934691364</v>
      </c>
      <c r="D16" s="641">
        <f t="shared" si="1"/>
        <v>-67239.471838658035</v>
      </c>
      <c r="E16" s="641">
        <f t="shared" si="1"/>
        <v>31372.007196700131</v>
      </c>
      <c r="F16" s="641">
        <f t="shared" si="1"/>
        <v>54520.903349316904</v>
      </c>
      <c r="G16" s="641">
        <f t="shared" si="1"/>
        <v>68516.836343230767</v>
      </c>
      <c r="H16" s="641">
        <f t="shared" si="1"/>
        <v>77438.33177863482</v>
      </c>
      <c r="I16" s="641">
        <f t="shared" si="1"/>
        <v>82914.515751621948</v>
      </c>
      <c r="J16" s="641">
        <f t="shared" si="1"/>
        <v>89321.449301079308</v>
      </c>
      <c r="K16" s="641">
        <f t="shared" si="1"/>
        <v>95960.223797549523</v>
      </c>
      <c r="L16" s="641">
        <f t="shared" si="1"/>
        <v>104694.8127810521</v>
      </c>
      <c r="M16" s="641">
        <f t="shared" si="1"/>
        <v>113829.96559931259</v>
      </c>
      <c r="N16" s="641">
        <f t="shared" si="1"/>
        <v>123047.93001413108</v>
      </c>
      <c r="O16" s="641">
        <f t="shared" si="1"/>
        <v>132051.6129885249</v>
      </c>
      <c r="P16" s="641">
        <f t="shared" si="1"/>
        <v>140968.61906873374</v>
      </c>
      <c r="Q16" s="641">
        <f t="shared" si="1"/>
        <v>186562.03697711683</v>
      </c>
      <c r="R16" s="641">
        <f t="shared" si="1"/>
        <v>231950.5842937514</v>
      </c>
      <c r="S16" s="641">
        <f t="shared" si="1"/>
        <v>240589.33620552439</v>
      </c>
      <c r="T16" s="641">
        <f t="shared" si="1"/>
        <v>248522.48305429201</v>
      </c>
      <c r="U16" s="641">
        <f t="shared" si="1"/>
        <v>256493.25758600817</v>
      </c>
      <c r="V16" s="642"/>
      <c r="W16" s="1046"/>
      <c r="X16" s="1047"/>
      <c r="Y16" s="96"/>
    </row>
    <row r="17" spans="1:25">
      <c r="A17" s="318"/>
      <c r="B17" s="641"/>
      <c r="C17" s="6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641"/>
      <c r="R17" s="641"/>
      <c r="S17" s="641"/>
      <c r="T17" s="641"/>
      <c r="U17" s="641"/>
      <c r="V17" s="642"/>
      <c r="W17" s="642"/>
    </row>
    <row r="18" spans="1:25">
      <c r="A18" s="598" t="s">
        <v>354</v>
      </c>
      <c r="B18" s="643">
        <f>ENA_Assumptions!$K$38</f>
        <v>0.35</v>
      </c>
      <c r="C18" s="643">
        <f>ENA_Assumptions!$K$38</f>
        <v>0.35</v>
      </c>
      <c r="D18" s="643">
        <f>ENA_Assumptions!$K$38</f>
        <v>0.35</v>
      </c>
      <c r="E18" s="643">
        <f>ENA_Assumptions!$K$38</f>
        <v>0.35</v>
      </c>
      <c r="F18" s="643">
        <f>ENA_Assumptions!$K$38</f>
        <v>0.35</v>
      </c>
      <c r="G18" s="643">
        <f>ENA_Assumptions!$K$38</f>
        <v>0.35</v>
      </c>
      <c r="H18" s="643">
        <f>ENA_Assumptions!$K$38</f>
        <v>0.35</v>
      </c>
      <c r="I18" s="643">
        <f>ENA_Assumptions!$K$38</f>
        <v>0.35</v>
      </c>
      <c r="J18" s="643">
        <f>ENA_Assumptions!$K$38</f>
        <v>0.35</v>
      </c>
      <c r="K18" s="643">
        <f>ENA_Assumptions!$K$38</f>
        <v>0.35</v>
      </c>
      <c r="L18" s="643">
        <f>ENA_Assumptions!$K$38</f>
        <v>0.35</v>
      </c>
      <c r="M18" s="643">
        <f>ENA_Assumptions!$K$38</f>
        <v>0.35</v>
      </c>
      <c r="N18" s="643">
        <f>ENA_Assumptions!$K$38</f>
        <v>0.35</v>
      </c>
      <c r="O18" s="643">
        <f>ENA_Assumptions!$K$38</f>
        <v>0.35</v>
      </c>
      <c r="P18" s="643">
        <f>ENA_Assumptions!$K$38</f>
        <v>0.35</v>
      </c>
      <c r="Q18" s="643">
        <f>ENA_Assumptions!$K$38</f>
        <v>0.35</v>
      </c>
      <c r="R18" s="643">
        <f>ENA_Assumptions!$K$38</f>
        <v>0.35</v>
      </c>
      <c r="S18" s="643">
        <f>ENA_Assumptions!$K$38</f>
        <v>0.35</v>
      </c>
      <c r="T18" s="643">
        <f>ENA_Assumptions!$K$38</f>
        <v>0.35</v>
      </c>
      <c r="U18" s="643">
        <f>ENA_Assumptions!$K$38</f>
        <v>0.35</v>
      </c>
      <c r="V18" s="644"/>
      <c r="W18" s="644"/>
    </row>
    <row r="19" spans="1:25">
      <c r="A19" s="318" t="s">
        <v>223</v>
      </c>
      <c r="B19" s="641">
        <f t="shared" ref="B19:U19" si="2">B16*B18</f>
        <v>-7863.6319813958989</v>
      </c>
      <c r="C19" s="641">
        <f t="shared" si="2"/>
        <v>-28311.060727141976</v>
      </c>
      <c r="D19" s="641">
        <f t="shared" si="2"/>
        <v>-23533.815143530312</v>
      </c>
      <c r="E19" s="641">
        <f t="shared" si="2"/>
        <v>10980.202518845046</v>
      </c>
      <c r="F19" s="641">
        <f t="shared" si="2"/>
        <v>19082.316172260915</v>
      </c>
      <c r="G19" s="641">
        <f t="shared" si="2"/>
        <v>23980.892720130767</v>
      </c>
      <c r="H19" s="641">
        <f t="shared" si="2"/>
        <v>27103.416122522187</v>
      </c>
      <c r="I19" s="641">
        <f t="shared" si="2"/>
        <v>29020.080513067678</v>
      </c>
      <c r="J19" s="641">
        <f t="shared" si="2"/>
        <v>31262.507255377757</v>
      </c>
      <c r="K19" s="641">
        <f t="shared" si="2"/>
        <v>33586.078329142329</v>
      </c>
      <c r="L19" s="641">
        <f t="shared" si="2"/>
        <v>36643.18447336823</v>
      </c>
      <c r="M19" s="641">
        <f t="shared" si="2"/>
        <v>39840.487959759404</v>
      </c>
      <c r="N19" s="641">
        <f t="shared" si="2"/>
        <v>43066.775504945879</v>
      </c>
      <c r="O19" s="641">
        <f t="shared" si="2"/>
        <v>46218.064545983711</v>
      </c>
      <c r="P19" s="641">
        <f t="shared" si="2"/>
        <v>49339.016674056802</v>
      </c>
      <c r="Q19" s="641">
        <f t="shared" si="2"/>
        <v>65296.712941990889</v>
      </c>
      <c r="R19" s="641">
        <f t="shared" si="2"/>
        <v>81182.70450281298</v>
      </c>
      <c r="S19" s="641">
        <f t="shared" si="2"/>
        <v>84206.267671933529</v>
      </c>
      <c r="T19" s="641">
        <f t="shared" si="2"/>
        <v>86982.869069002205</v>
      </c>
      <c r="U19" s="641">
        <f t="shared" si="2"/>
        <v>89772.640155102854</v>
      </c>
      <c r="V19" s="637"/>
      <c r="W19" s="637"/>
    </row>
    <row r="20" spans="1:25">
      <c r="A20" s="313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317"/>
    </row>
    <row r="21" spans="1:25">
      <c r="A21" s="313" t="s">
        <v>224</v>
      </c>
      <c r="B21" s="319">
        <f>IF(B19&lt;0,-B19,0)</f>
        <v>7863.6319813958989</v>
      </c>
      <c r="C21" s="319">
        <f>IF(C19&lt;0,-C19+B21-B22,B21-B22)</f>
        <v>36174.692708537877</v>
      </c>
      <c r="D21" s="319">
        <f t="shared" ref="D21:U21" si="3">IF(D19&lt;0,-D19+C21-C22,C21-C22)</f>
        <v>59708.507852068185</v>
      </c>
      <c r="E21" s="319">
        <f t="shared" si="3"/>
        <v>59708.507852068185</v>
      </c>
      <c r="F21" s="319">
        <f t="shared" si="3"/>
        <v>48728.305333223136</v>
      </c>
      <c r="G21" s="319">
        <f t="shared" si="3"/>
        <v>29645.989160962221</v>
      </c>
      <c r="H21" s="319">
        <f t="shared" si="3"/>
        <v>5665.0964408314539</v>
      </c>
      <c r="I21" s="319">
        <f t="shared" si="3"/>
        <v>0</v>
      </c>
      <c r="J21" s="319">
        <f t="shared" si="3"/>
        <v>0</v>
      </c>
      <c r="K21" s="319">
        <f t="shared" si="3"/>
        <v>0</v>
      </c>
      <c r="L21" s="319">
        <f t="shared" si="3"/>
        <v>0</v>
      </c>
      <c r="M21" s="319">
        <f t="shared" si="3"/>
        <v>0</v>
      </c>
      <c r="N21" s="319">
        <f t="shared" si="3"/>
        <v>0</v>
      </c>
      <c r="O21" s="319">
        <f t="shared" si="3"/>
        <v>0</v>
      </c>
      <c r="P21" s="319">
        <f t="shared" si="3"/>
        <v>0</v>
      </c>
      <c r="Q21" s="319">
        <f t="shared" si="3"/>
        <v>0</v>
      </c>
      <c r="R21" s="319">
        <f t="shared" si="3"/>
        <v>0</v>
      </c>
      <c r="S21" s="319">
        <f t="shared" si="3"/>
        <v>0</v>
      </c>
      <c r="T21" s="319">
        <f t="shared" si="3"/>
        <v>0</v>
      </c>
      <c r="U21" s="319">
        <f t="shared" si="3"/>
        <v>0</v>
      </c>
      <c r="V21" s="637"/>
      <c r="W21" s="637"/>
    </row>
    <row r="22" spans="1:25">
      <c r="A22" s="313" t="s">
        <v>225</v>
      </c>
      <c r="B22" s="316">
        <f t="shared" ref="B22:U22" si="4">IF(B19&lt;0,0,IF(B21&gt;B19,B19,B21))</f>
        <v>0</v>
      </c>
      <c r="C22" s="316">
        <f t="shared" si="4"/>
        <v>0</v>
      </c>
      <c r="D22" s="316">
        <f t="shared" si="4"/>
        <v>0</v>
      </c>
      <c r="E22" s="316">
        <f t="shared" si="4"/>
        <v>10980.202518845046</v>
      </c>
      <c r="F22" s="316">
        <f t="shared" si="4"/>
        <v>19082.316172260915</v>
      </c>
      <c r="G22" s="316">
        <f t="shared" si="4"/>
        <v>23980.892720130767</v>
      </c>
      <c r="H22" s="319">
        <f t="shared" si="4"/>
        <v>5665.0964408314539</v>
      </c>
      <c r="I22" s="319">
        <f t="shared" si="4"/>
        <v>0</v>
      </c>
      <c r="J22" s="319">
        <f t="shared" si="4"/>
        <v>0</v>
      </c>
      <c r="K22" s="319">
        <f t="shared" si="4"/>
        <v>0</v>
      </c>
      <c r="L22" s="319">
        <f t="shared" si="4"/>
        <v>0</v>
      </c>
      <c r="M22" s="319">
        <f t="shared" si="4"/>
        <v>0</v>
      </c>
      <c r="N22" s="319">
        <f t="shared" si="4"/>
        <v>0</v>
      </c>
      <c r="O22" s="319">
        <f t="shared" si="4"/>
        <v>0</v>
      </c>
      <c r="P22" s="319">
        <f t="shared" si="4"/>
        <v>0</v>
      </c>
      <c r="Q22" s="319">
        <f t="shared" si="4"/>
        <v>0</v>
      </c>
      <c r="R22" s="319">
        <f t="shared" si="4"/>
        <v>0</v>
      </c>
      <c r="S22" s="319">
        <f t="shared" si="4"/>
        <v>0</v>
      </c>
      <c r="T22" s="319">
        <f t="shared" si="4"/>
        <v>0</v>
      </c>
      <c r="U22" s="319">
        <f t="shared" si="4"/>
        <v>0</v>
      </c>
      <c r="V22" s="645"/>
      <c r="W22" s="645"/>
    </row>
    <row r="23" spans="1:25">
      <c r="A23" s="313"/>
      <c r="B23" s="316"/>
      <c r="C23" s="316"/>
      <c r="D23" s="316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637"/>
      <c r="W23" s="637"/>
    </row>
    <row r="24" spans="1:25" ht="13.5" thickBot="1">
      <c r="A24" s="314" t="s">
        <v>226</v>
      </c>
      <c r="B24" s="646">
        <f>IF('NewCo_Summary Output'!$P$8=1,IF(B19&lt;0,0,(B19-B22)),B19)</f>
        <v>0</v>
      </c>
      <c r="C24" s="646">
        <f>IF('NewCo_Summary Output'!$P$8=1,IF(C19&lt;0,0,(C19-C22)),C19)</f>
        <v>0</v>
      </c>
      <c r="D24" s="646">
        <f>IF('NewCo_Summary Output'!$P$8=1,IF(D19&lt;0,0,(D19-D22)),D19)</f>
        <v>0</v>
      </c>
      <c r="E24" s="646">
        <f>IF('NewCo_Summary Output'!$P$8=1,IF(E19&lt;0,0,(E19-E22)),E19)</f>
        <v>0</v>
      </c>
      <c r="F24" s="646">
        <f>IF('NewCo_Summary Output'!$P$8=1,IF(F19&lt;0,0,(F19-F22)),F19)</f>
        <v>0</v>
      </c>
      <c r="G24" s="646">
        <f>IF('NewCo_Summary Output'!$P$8=1,IF(G19&lt;0,0,(G19-G22)),G19)</f>
        <v>0</v>
      </c>
      <c r="H24" s="646">
        <f>IF('NewCo_Summary Output'!$P$8=1,IF(H19&lt;0,0,(H19-H22)),H19)</f>
        <v>21438.319681690733</v>
      </c>
      <c r="I24" s="646">
        <f>IF('NewCo_Summary Output'!$P$8=1,IF(I19&lt;0,0,(I19-I22)),I19)</f>
        <v>29020.080513067678</v>
      </c>
      <c r="J24" s="646">
        <f>IF('NewCo_Summary Output'!$P$8=1,IF(J19&lt;0,0,(J19-J22)),J19)</f>
        <v>31262.507255377757</v>
      </c>
      <c r="K24" s="646">
        <f>IF('NewCo_Summary Output'!$P$8=1,IF(K19&lt;0,0,(K19-K22)),K19)</f>
        <v>33586.078329142329</v>
      </c>
      <c r="L24" s="646">
        <f>IF('NewCo_Summary Output'!$P$8=1,IF(L19&lt;0,0,(L19-L22)),L19)</f>
        <v>36643.18447336823</v>
      </c>
      <c r="M24" s="646">
        <f>IF('NewCo_Summary Output'!$P$8=1,IF(M19&lt;0,0,(M19-M22)),M19)</f>
        <v>39840.487959759404</v>
      </c>
      <c r="N24" s="646">
        <f>IF('NewCo_Summary Output'!$P$8=1,IF(N19&lt;0,0,(N19-N22)),N19)</f>
        <v>43066.775504945879</v>
      </c>
      <c r="O24" s="646">
        <f>IF('NewCo_Summary Output'!$P$8=1,IF(O19&lt;0,0,(O19-O22)),O19)</f>
        <v>46218.064545983711</v>
      </c>
      <c r="P24" s="646">
        <f>IF('NewCo_Summary Output'!$P$8=1,IF(P19&lt;0,0,(P19-P22)),P19)</f>
        <v>49339.016674056802</v>
      </c>
      <c r="Q24" s="646">
        <f>IF('NewCo_Summary Output'!$P$8=1,IF(Q19&lt;0,0,(Q19-Q22)),Q19)</f>
        <v>65296.712941990889</v>
      </c>
      <c r="R24" s="646">
        <f>IF('NewCo_Summary Output'!$P$8=1,IF(R19&lt;0,0,(R19-R22)),R19)</f>
        <v>81182.70450281298</v>
      </c>
      <c r="S24" s="646">
        <f>IF('NewCo_Summary Output'!$P$8=1,IF(S19&lt;0,0,(S19-S22)),S19)</f>
        <v>84206.267671933529</v>
      </c>
      <c r="T24" s="646">
        <f>IF('NewCo_Summary Output'!$P$8=1,IF(T19&lt;0,0,(T19-T22)),T19)</f>
        <v>86982.869069002205</v>
      </c>
      <c r="U24" s="646">
        <f>IF('NewCo_Summary Output'!$P$8=1,IF(U19&lt;0,0,(U19-U22)),U19)</f>
        <v>89772.640155102854</v>
      </c>
      <c r="V24" s="647"/>
      <c r="W24" s="1046">
        <f>SUM(B24:U24)</f>
        <v>737855.70927823498</v>
      </c>
      <c r="X24" s="1047">
        <f>SUM(Brownsville!W62,Caledonia!W62,'New Albany'!W62,Gleason!W62,Wheatland!W62,Wilton!W62)</f>
        <v>-737855.70927823498</v>
      </c>
      <c r="Y24" s="96">
        <f>X24+W24</f>
        <v>0</v>
      </c>
    </row>
    <row r="25" spans="1:25" ht="13.5" thickTop="1">
      <c r="V25" s="8"/>
      <c r="W25" s="8"/>
    </row>
    <row r="26" spans="1:25">
      <c r="E26" s="302"/>
      <c r="F26" s="302"/>
      <c r="V26" s="8"/>
      <c r="W26" s="8"/>
    </row>
    <row r="27" spans="1:25">
      <c r="V27" s="8"/>
      <c r="W27" s="8"/>
    </row>
    <row r="28" spans="1:25">
      <c r="V28" s="8"/>
      <c r="W28" s="8"/>
    </row>
    <row r="29" spans="1:25">
      <c r="V29" s="8"/>
      <c r="W29" s="8"/>
    </row>
    <row r="30" spans="1:25">
      <c r="V30" s="8"/>
      <c r="W30" s="8"/>
    </row>
    <row r="31" spans="1:25">
      <c r="V31" s="8"/>
      <c r="W31" s="8"/>
    </row>
    <row r="32" spans="1:25">
      <c r="V32" s="8"/>
      <c r="W32" s="8"/>
    </row>
  </sheetData>
  <pageMargins left="0.5" right="0.5" top="0.75" bottom="0.5" header="0.25" footer="0.25"/>
  <pageSetup scale="53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2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AD121"/>
  <sheetViews>
    <sheetView zoomScale="75" zoomScaleNormal="75" workbookViewId="0"/>
  </sheetViews>
  <sheetFormatPr defaultRowHeight="12.75"/>
  <cols>
    <col min="1" max="1" width="41.7109375" style="271" customWidth="1"/>
    <col min="2" max="24" width="14.5703125" style="271" customWidth="1"/>
    <col min="25" max="29" width="14.42578125" style="271" customWidth="1"/>
    <col min="30" max="16384" width="9.140625" style="271"/>
  </cols>
  <sheetData>
    <row r="1" spans="1:27">
      <c r="A1" s="957"/>
      <c r="C1" s="958"/>
      <c r="D1" s="959"/>
      <c r="E1" s="959"/>
      <c r="F1" s="960"/>
      <c r="G1" s="7"/>
      <c r="H1" s="7"/>
      <c r="I1" s="3"/>
      <c r="J1" s="3"/>
      <c r="K1" s="3"/>
      <c r="L1" s="960"/>
      <c r="M1" s="7"/>
      <c r="N1" s="7"/>
      <c r="O1" s="3"/>
      <c r="P1" s="3"/>
      <c r="Q1" s="3"/>
      <c r="R1" s="960"/>
      <c r="S1" s="7"/>
      <c r="T1" s="7"/>
      <c r="U1" s="7"/>
    </row>
    <row r="2" spans="1:27" ht="18.75">
      <c r="A2" s="270" t="s">
        <v>693</v>
      </c>
      <c r="B2" s="961"/>
      <c r="C2" s="958"/>
      <c r="D2" s="959"/>
      <c r="E2" s="959"/>
      <c r="F2" s="960"/>
      <c r="I2" s="958"/>
      <c r="J2" s="958"/>
      <c r="K2" s="958"/>
      <c r="L2" s="960"/>
      <c r="O2" s="958"/>
      <c r="P2" s="958"/>
      <c r="Q2" s="958"/>
      <c r="R2" s="960"/>
      <c r="AA2" s="295"/>
    </row>
    <row r="3" spans="1:27" s="313" customFormat="1">
      <c r="P3" s="962"/>
      <c r="Q3" s="962"/>
      <c r="R3" s="962"/>
      <c r="S3" s="962"/>
      <c r="T3" s="962"/>
      <c r="U3" s="962"/>
    </row>
    <row r="4" spans="1:27" s="965" customFormat="1" ht="13.5">
      <c r="A4" s="963"/>
      <c r="B4" s="964"/>
      <c r="C4" s="964"/>
      <c r="D4" s="964"/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4"/>
      <c r="R4" s="964"/>
      <c r="S4" s="964"/>
      <c r="T4" s="964"/>
      <c r="U4" s="964"/>
    </row>
    <row r="5" spans="1:27" ht="13.5" thickBot="1">
      <c r="A5" s="99" t="s">
        <v>5</v>
      </c>
      <c r="B5" s="290">
        <v>2001</v>
      </c>
      <c r="C5" s="290">
        <f>B5+1</f>
        <v>2002</v>
      </c>
      <c r="D5" s="290">
        <f t="shared" ref="D5:U5" si="0">C5+1</f>
        <v>2003</v>
      </c>
      <c r="E5" s="290">
        <f t="shared" si="0"/>
        <v>2004</v>
      </c>
      <c r="F5" s="290">
        <f t="shared" si="0"/>
        <v>2005</v>
      </c>
      <c r="G5" s="290">
        <f t="shared" si="0"/>
        <v>2006</v>
      </c>
      <c r="H5" s="290">
        <f t="shared" si="0"/>
        <v>2007</v>
      </c>
      <c r="I5" s="290">
        <f t="shared" si="0"/>
        <v>2008</v>
      </c>
      <c r="J5" s="290">
        <f t="shared" si="0"/>
        <v>2009</v>
      </c>
      <c r="K5" s="290">
        <f t="shared" si="0"/>
        <v>2010</v>
      </c>
      <c r="L5" s="290">
        <f t="shared" si="0"/>
        <v>2011</v>
      </c>
      <c r="M5" s="290">
        <f t="shared" si="0"/>
        <v>2012</v>
      </c>
      <c r="N5" s="290">
        <f t="shared" si="0"/>
        <v>2013</v>
      </c>
      <c r="O5" s="290">
        <f t="shared" si="0"/>
        <v>2014</v>
      </c>
      <c r="P5" s="290">
        <f t="shared" si="0"/>
        <v>2015</v>
      </c>
      <c r="Q5" s="290">
        <f t="shared" si="0"/>
        <v>2016</v>
      </c>
      <c r="R5" s="290">
        <f t="shared" si="0"/>
        <v>2017</v>
      </c>
      <c r="S5" s="290">
        <f t="shared" si="0"/>
        <v>2018</v>
      </c>
      <c r="T5" s="290">
        <f t="shared" si="0"/>
        <v>2019</v>
      </c>
      <c r="U5" s="290">
        <f t="shared" si="0"/>
        <v>2020</v>
      </c>
    </row>
    <row r="6" spans="1:27" s="968" customFormat="1">
      <c r="A6" s="966"/>
      <c r="B6" s="967">
        <v>37256</v>
      </c>
      <c r="C6" s="967">
        <v>37621</v>
      </c>
      <c r="D6" s="967">
        <v>37986</v>
      </c>
      <c r="E6" s="967">
        <v>38352</v>
      </c>
      <c r="F6" s="967">
        <v>38717</v>
      </c>
      <c r="G6" s="967">
        <v>39082</v>
      </c>
      <c r="H6" s="967">
        <v>39447</v>
      </c>
      <c r="I6" s="967">
        <v>39813</v>
      </c>
      <c r="J6" s="967">
        <v>40178</v>
      </c>
      <c r="K6" s="967">
        <v>40543</v>
      </c>
      <c r="L6" s="967">
        <v>40908</v>
      </c>
      <c r="M6" s="967">
        <v>41274</v>
      </c>
      <c r="N6" s="967">
        <v>41639</v>
      </c>
      <c r="O6" s="967">
        <v>42004</v>
      </c>
      <c r="P6" s="967">
        <v>42369</v>
      </c>
      <c r="Q6" s="967">
        <v>42735</v>
      </c>
      <c r="R6" s="967">
        <v>43100</v>
      </c>
      <c r="S6" s="967">
        <v>43465</v>
      </c>
      <c r="T6" s="967">
        <v>43830</v>
      </c>
      <c r="U6" s="967">
        <v>44196</v>
      </c>
    </row>
    <row r="7" spans="1:27">
      <c r="R7" s="313"/>
      <c r="S7" s="313"/>
      <c r="T7" s="313"/>
      <c r="U7" s="313"/>
    </row>
    <row r="8" spans="1:27">
      <c r="A8" s="299" t="s">
        <v>464</v>
      </c>
      <c r="B8" s="283">
        <f>ENA_IS!B32-ENA_IS!B13</f>
        <v>123624.03367595081</v>
      </c>
      <c r="C8" s="283">
        <f>ENA_IS!C32-ENA_IS!C13</f>
        <v>123040.16414335201</v>
      </c>
      <c r="D8" s="283">
        <f>ENA_IS!D32-ENA_IS!D13</f>
        <v>122528.82101623941</v>
      </c>
      <c r="E8" s="283">
        <f>ENA_IS!E32</f>
        <v>208898.30003993292</v>
      </c>
      <c r="F8" s="283">
        <f>ENA_IS!F32</f>
        <v>219835.48571459821</v>
      </c>
      <c r="G8" s="283">
        <f>ENA_IS!G32</f>
        <v>223020.10910985898</v>
      </c>
      <c r="H8" s="283">
        <f>ENA_IS!H32</f>
        <v>226306.69628506326</v>
      </c>
      <c r="I8" s="283">
        <f>ENA_IS!I32</f>
        <v>229700.32015338406</v>
      </c>
      <c r="J8" s="283">
        <f>ENA_IS!J32</f>
        <v>233268.60972890729</v>
      </c>
      <c r="K8" s="283">
        <f>ENA_IS!K32</f>
        <v>235988.5932867979</v>
      </c>
      <c r="L8" s="283">
        <f>ENA_IS!L32</f>
        <v>240410.20860099664</v>
      </c>
      <c r="M8" s="283">
        <f>ENA_IS!M32</f>
        <v>245095.57628469079</v>
      </c>
      <c r="N8" s="283">
        <f>ENA_IS!N32</f>
        <v>249350.73879004439</v>
      </c>
      <c r="O8" s="283">
        <f>ENA_IS!O32</f>
        <v>253772.3489547327</v>
      </c>
      <c r="P8" s="283">
        <f>ENA_IS!P32</f>
        <v>257772.04886117522</v>
      </c>
      <c r="Q8" s="283">
        <f>ENA_IS!Q32</f>
        <v>261928.1366757263</v>
      </c>
      <c r="R8" s="283">
        <f>ENA_IS!R32</f>
        <v>265529.08366466878</v>
      </c>
      <c r="S8" s="283">
        <f>ENA_IS!S32</f>
        <v>269171.90668593551</v>
      </c>
      <c r="T8" s="283">
        <f>ENA_IS!T32</f>
        <v>272856.91380543611</v>
      </c>
      <c r="U8" s="283">
        <f>ENA_IS!U32</f>
        <v>276593.78266094258</v>
      </c>
    </row>
    <row r="9" spans="1:27">
      <c r="B9" s="7"/>
      <c r="C9" s="96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27">
      <c r="A10" s="565" t="s">
        <v>297</v>
      </c>
      <c r="B10" s="7"/>
      <c r="C10" s="96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7" ht="13.5">
      <c r="B11" s="970">
        <f>'ENA_Summary Output'!$B$19</f>
        <v>36892</v>
      </c>
      <c r="C11" s="970">
        <v>37257</v>
      </c>
      <c r="D11" s="970">
        <v>37622</v>
      </c>
      <c r="E11" s="970">
        <v>37987</v>
      </c>
      <c r="F11" s="970">
        <v>38353</v>
      </c>
      <c r="G11" s="970">
        <v>38718</v>
      </c>
      <c r="H11" s="970">
        <v>39083</v>
      </c>
      <c r="I11" s="970">
        <v>39448</v>
      </c>
      <c r="J11" s="970">
        <v>39814</v>
      </c>
      <c r="K11" s="970">
        <v>40179</v>
      </c>
      <c r="L11" s="970">
        <v>40544</v>
      </c>
      <c r="M11" s="970">
        <v>40909</v>
      </c>
      <c r="N11" s="970">
        <v>41275</v>
      </c>
      <c r="O11" s="970">
        <v>41640</v>
      </c>
      <c r="P11" s="970">
        <v>42005</v>
      </c>
      <c r="Q11" s="970">
        <v>42370</v>
      </c>
      <c r="R11" s="970">
        <v>42736</v>
      </c>
      <c r="S11" s="970">
        <v>43101</v>
      </c>
      <c r="T11" s="970">
        <v>43466</v>
      </c>
      <c r="U11" s="970">
        <v>43831</v>
      </c>
      <c r="W11" s="971" t="s">
        <v>465</v>
      </c>
      <c r="X11" s="971" t="s">
        <v>212</v>
      </c>
    </row>
    <row r="12" spans="1:27">
      <c r="A12" s="729" t="s">
        <v>178</v>
      </c>
      <c r="B12" s="20">
        <v>0</v>
      </c>
      <c r="C12" s="20">
        <f t="shared" ref="C12:U12" si="1">B28</f>
        <v>34500</v>
      </c>
      <c r="D12" s="20">
        <f t="shared" si="1"/>
        <v>17875</v>
      </c>
      <c r="E12" s="20">
        <f t="shared" si="1"/>
        <v>0</v>
      </c>
      <c r="F12" s="20">
        <f t="shared" si="1"/>
        <v>0</v>
      </c>
      <c r="G12" s="20">
        <f t="shared" si="1"/>
        <v>0</v>
      </c>
      <c r="H12" s="20">
        <f t="shared" si="1"/>
        <v>0</v>
      </c>
      <c r="I12" s="20">
        <f t="shared" si="1"/>
        <v>0</v>
      </c>
      <c r="J12" s="20">
        <f t="shared" si="1"/>
        <v>0</v>
      </c>
      <c r="K12" s="20">
        <f t="shared" si="1"/>
        <v>0</v>
      </c>
      <c r="L12" s="20">
        <f t="shared" si="1"/>
        <v>0</v>
      </c>
      <c r="M12" s="20">
        <f t="shared" si="1"/>
        <v>0</v>
      </c>
      <c r="N12" s="20">
        <f t="shared" si="1"/>
        <v>0</v>
      </c>
      <c r="O12" s="20">
        <f t="shared" si="1"/>
        <v>0</v>
      </c>
      <c r="P12" s="20">
        <f t="shared" si="1"/>
        <v>0</v>
      </c>
      <c r="Q12" s="20">
        <f t="shared" si="1"/>
        <v>0</v>
      </c>
      <c r="R12" s="20">
        <f t="shared" si="1"/>
        <v>0</v>
      </c>
      <c r="S12" s="20">
        <f t="shared" si="1"/>
        <v>0</v>
      </c>
      <c r="T12" s="20">
        <f t="shared" si="1"/>
        <v>0</v>
      </c>
      <c r="U12" s="20">
        <f t="shared" si="1"/>
        <v>0</v>
      </c>
      <c r="W12" s="972"/>
      <c r="X12" s="972"/>
    </row>
    <row r="13" spans="1:27">
      <c r="A13" s="729" t="s">
        <v>466</v>
      </c>
      <c r="B13" s="973">
        <v>0</v>
      </c>
      <c r="C13" s="300">
        <f t="shared" ref="C13:U13" si="2">C12*$E$97*(C11-B23)/365.25</f>
        <v>8.5482546201232026</v>
      </c>
      <c r="D13" s="300">
        <f t="shared" si="2"/>
        <v>4.4289869952087608</v>
      </c>
      <c r="E13" s="300">
        <f t="shared" si="2"/>
        <v>0</v>
      </c>
      <c r="F13" s="300">
        <f t="shared" si="2"/>
        <v>0</v>
      </c>
      <c r="G13" s="300">
        <f t="shared" si="2"/>
        <v>0</v>
      </c>
      <c r="H13" s="300">
        <f t="shared" si="2"/>
        <v>0</v>
      </c>
      <c r="I13" s="300">
        <f t="shared" si="2"/>
        <v>0</v>
      </c>
      <c r="J13" s="300">
        <f t="shared" si="2"/>
        <v>0</v>
      </c>
      <c r="K13" s="300">
        <f t="shared" si="2"/>
        <v>0</v>
      </c>
      <c r="L13" s="300">
        <f t="shared" si="2"/>
        <v>0</v>
      </c>
      <c r="M13" s="300">
        <f t="shared" si="2"/>
        <v>0</v>
      </c>
      <c r="N13" s="300">
        <f t="shared" si="2"/>
        <v>0</v>
      </c>
      <c r="O13" s="300">
        <f t="shared" si="2"/>
        <v>0</v>
      </c>
      <c r="P13" s="300">
        <f t="shared" si="2"/>
        <v>0</v>
      </c>
      <c r="Q13" s="300">
        <f t="shared" si="2"/>
        <v>0</v>
      </c>
      <c r="R13" s="300">
        <f t="shared" si="2"/>
        <v>0</v>
      </c>
      <c r="S13" s="300">
        <f t="shared" si="2"/>
        <v>0</v>
      </c>
      <c r="T13" s="300">
        <f t="shared" si="2"/>
        <v>0</v>
      </c>
      <c r="U13" s="300">
        <f t="shared" si="2"/>
        <v>0</v>
      </c>
      <c r="W13" s="972"/>
      <c r="X13" s="972"/>
    </row>
    <row r="14" spans="1:27" ht="13.5">
      <c r="A14" s="729" t="s">
        <v>179</v>
      </c>
      <c r="B14" s="273">
        <f>'ENA_Summary Output'!B20</f>
        <v>50000</v>
      </c>
      <c r="C14" s="24">
        <f>C12</f>
        <v>34500</v>
      </c>
      <c r="D14" s="24">
        <f>D12</f>
        <v>17875</v>
      </c>
      <c r="E14" s="24">
        <f>E12</f>
        <v>0</v>
      </c>
      <c r="F14" s="24">
        <f>F12</f>
        <v>0</v>
      </c>
      <c r="G14" s="24">
        <f>G12</f>
        <v>0</v>
      </c>
      <c r="H14" s="24">
        <f t="shared" ref="H14:U14" si="3">H12</f>
        <v>0</v>
      </c>
      <c r="I14" s="24">
        <f t="shared" si="3"/>
        <v>0</v>
      </c>
      <c r="J14" s="24">
        <f t="shared" si="3"/>
        <v>0</v>
      </c>
      <c r="K14" s="24">
        <f t="shared" si="3"/>
        <v>0</v>
      </c>
      <c r="L14" s="24">
        <f t="shared" si="3"/>
        <v>0</v>
      </c>
      <c r="M14" s="24">
        <f t="shared" si="3"/>
        <v>0</v>
      </c>
      <c r="N14" s="24">
        <f t="shared" si="3"/>
        <v>0</v>
      </c>
      <c r="O14" s="24">
        <f t="shared" si="3"/>
        <v>0</v>
      </c>
      <c r="P14" s="24">
        <f t="shared" si="3"/>
        <v>0</v>
      </c>
      <c r="Q14" s="24">
        <f t="shared" si="3"/>
        <v>0</v>
      </c>
      <c r="R14" s="24">
        <f t="shared" si="3"/>
        <v>0</v>
      </c>
      <c r="S14" s="24">
        <f t="shared" si="3"/>
        <v>0</v>
      </c>
      <c r="T14" s="24">
        <f t="shared" si="3"/>
        <v>0</v>
      </c>
      <c r="U14" s="24">
        <f t="shared" si="3"/>
        <v>0</v>
      </c>
      <c r="W14" s="974">
        <f>SUM(B19:U19,B26:U26)</f>
        <v>50000</v>
      </c>
      <c r="X14" s="975">
        <f>B14-W14</f>
        <v>0</v>
      </c>
    </row>
    <row r="15" spans="1:27">
      <c r="B15" s="976"/>
      <c r="C15" s="96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W15" s="972"/>
      <c r="X15" s="972"/>
    </row>
    <row r="16" spans="1:27">
      <c r="A16" s="275"/>
      <c r="B16" s="970">
        <v>37072</v>
      </c>
      <c r="C16" s="970">
        <v>37437</v>
      </c>
      <c r="D16" s="970">
        <v>37802</v>
      </c>
      <c r="E16" s="970">
        <v>38168</v>
      </c>
      <c r="F16" s="970">
        <v>38533</v>
      </c>
      <c r="G16" s="970">
        <v>38898</v>
      </c>
      <c r="H16" s="970">
        <v>39263</v>
      </c>
      <c r="I16" s="970">
        <v>39629</v>
      </c>
      <c r="J16" s="970">
        <v>39994</v>
      </c>
      <c r="K16" s="970">
        <v>40359</v>
      </c>
      <c r="L16" s="970">
        <v>40724</v>
      </c>
      <c r="M16" s="970">
        <v>41090</v>
      </c>
      <c r="N16" s="970">
        <v>41455</v>
      </c>
      <c r="O16" s="970">
        <v>41820</v>
      </c>
      <c r="P16" s="970">
        <v>42185</v>
      </c>
      <c r="Q16" s="970">
        <v>42551</v>
      </c>
      <c r="R16" s="970">
        <v>42916</v>
      </c>
      <c r="S16" s="970">
        <v>43281</v>
      </c>
      <c r="T16" s="970">
        <v>43646</v>
      </c>
      <c r="U16" s="970">
        <v>44012</v>
      </c>
      <c r="W16" s="972"/>
      <c r="X16" s="972"/>
    </row>
    <row r="17" spans="1:25">
      <c r="A17" s="729" t="s">
        <v>178</v>
      </c>
      <c r="B17" s="20">
        <f t="shared" ref="B17:G17" si="4">B14</f>
        <v>50000</v>
      </c>
      <c r="C17" s="20">
        <f t="shared" si="4"/>
        <v>34500</v>
      </c>
      <c r="D17" s="20">
        <f t="shared" si="4"/>
        <v>17875</v>
      </c>
      <c r="E17" s="20">
        <f t="shared" si="4"/>
        <v>0</v>
      </c>
      <c r="F17" s="20">
        <f t="shared" si="4"/>
        <v>0</v>
      </c>
      <c r="G17" s="20">
        <f t="shared" si="4"/>
        <v>0</v>
      </c>
      <c r="H17" s="20">
        <f t="shared" ref="H17:U17" si="5">H14</f>
        <v>0</v>
      </c>
      <c r="I17" s="20">
        <f t="shared" si="5"/>
        <v>0</v>
      </c>
      <c r="J17" s="20">
        <f t="shared" si="5"/>
        <v>0</v>
      </c>
      <c r="K17" s="20">
        <f t="shared" si="5"/>
        <v>0</v>
      </c>
      <c r="L17" s="20">
        <f t="shared" si="5"/>
        <v>0</v>
      </c>
      <c r="M17" s="20">
        <f t="shared" si="5"/>
        <v>0</v>
      </c>
      <c r="N17" s="20">
        <f t="shared" si="5"/>
        <v>0</v>
      </c>
      <c r="O17" s="20">
        <f t="shared" si="5"/>
        <v>0</v>
      </c>
      <c r="P17" s="20">
        <f t="shared" si="5"/>
        <v>0</v>
      </c>
      <c r="Q17" s="20">
        <f t="shared" si="5"/>
        <v>0</v>
      </c>
      <c r="R17" s="20">
        <f t="shared" si="5"/>
        <v>0</v>
      </c>
      <c r="S17" s="20">
        <f t="shared" si="5"/>
        <v>0</v>
      </c>
      <c r="T17" s="20">
        <f t="shared" si="5"/>
        <v>0</v>
      </c>
      <c r="U17" s="20">
        <f t="shared" si="5"/>
        <v>0</v>
      </c>
      <c r="W17" s="972"/>
      <c r="X17" s="972"/>
    </row>
    <row r="18" spans="1:25">
      <c r="A18" s="729" t="s">
        <v>467</v>
      </c>
      <c r="B18" s="757">
        <v>0.155</v>
      </c>
      <c r="C18" s="757">
        <v>0.16500000000000001</v>
      </c>
      <c r="D18" s="757">
        <v>0.25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W18" s="972"/>
      <c r="X18" s="972"/>
    </row>
    <row r="19" spans="1:25">
      <c r="A19" s="729" t="s">
        <v>468</v>
      </c>
      <c r="B19" s="20">
        <f>$B$14*B18</f>
        <v>7750</v>
      </c>
      <c r="C19" s="20">
        <f>$B$14*C18</f>
        <v>8250</v>
      </c>
      <c r="D19" s="20">
        <f>$B$14*D18</f>
        <v>12500</v>
      </c>
      <c r="E19" s="20">
        <f t="shared" ref="E19:U19" si="6">$B$14*E18</f>
        <v>0</v>
      </c>
      <c r="F19" s="20">
        <f t="shared" si="6"/>
        <v>0</v>
      </c>
      <c r="G19" s="20">
        <f t="shared" si="6"/>
        <v>0</v>
      </c>
      <c r="H19" s="20">
        <f t="shared" si="6"/>
        <v>0</v>
      </c>
      <c r="I19" s="20">
        <f t="shared" si="6"/>
        <v>0</v>
      </c>
      <c r="J19" s="20">
        <f t="shared" si="6"/>
        <v>0</v>
      </c>
      <c r="K19" s="20">
        <f t="shared" si="6"/>
        <v>0</v>
      </c>
      <c r="L19" s="20">
        <f t="shared" si="6"/>
        <v>0</v>
      </c>
      <c r="M19" s="20">
        <f t="shared" si="6"/>
        <v>0</v>
      </c>
      <c r="N19" s="20">
        <f t="shared" si="6"/>
        <v>0</v>
      </c>
      <c r="O19" s="20">
        <f t="shared" si="6"/>
        <v>0</v>
      </c>
      <c r="P19" s="20">
        <f t="shared" si="6"/>
        <v>0</v>
      </c>
      <c r="Q19" s="20">
        <f t="shared" si="6"/>
        <v>0</v>
      </c>
      <c r="R19" s="20">
        <f t="shared" si="6"/>
        <v>0</v>
      </c>
      <c r="S19" s="20">
        <f t="shared" si="6"/>
        <v>0</v>
      </c>
      <c r="T19" s="20">
        <f t="shared" si="6"/>
        <v>0</v>
      </c>
      <c r="U19" s="20">
        <f t="shared" si="6"/>
        <v>0</v>
      </c>
      <c r="V19" s="7"/>
      <c r="W19" s="977"/>
      <c r="X19" s="977"/>
      <c r="Y19" s="7"/>
    </row>
    <row r="20" spans="1:25">
      <c r="A20" s="729" t="s">
        <v>466</v>
      </c>
      <c r="B20" s="300">
        <f t="shared" ref="B20:G20" si="7">B17*$E$97*(B16-B11)/365.25</f>
        <v>2229.9794661190963</v>
      </c>
      <c r="C20" s="300">
        <f t="shared" si="7"/>
        <v>1538.6858316221767</v>
      </c>
      <c r="D20" s="300">
        <f t="shared" si="7"/>
        <v>797.21765913757702</v>
      </c>
      <c r="E20" s="300">
        <f t="shared" si="7"/>
        <v>0</v>
      </c>
      <c r="F20" s="300">
        <f t="shared" si="7"/>
        <v>0</v>
      </c>
      <c r="G20" s="300">
        <f t="shared" si="7"/>
        <v>0</v>
      </c>
      <c r="H20" s="300">
        <f t="shared" ref="H20:U20" si="8">H17*$E$97*(H16-H11)/365.25</f>
        <v>0</v>
      </c>
      <c r="I20" s="300">
        <f t="shared" si="8"/>
        <v>0</v>
      </c>
      <c r="J20" s="300">
        <f t="shared" si="8"/>
        <v>0</v>
      </c>
      <c r="K20" s="300">
        <f t="shared" si="8"/>
        <v>0</v>
      </c>
      <c r="L20" s="300">
        <f t="shared" si="8"/>
        <v>0</v>
      </c>
      <c r="M20" s="300">
        <f t="shared" si="8"/>
        <v>0</v>
      </c>
      <c r="N20" s="300">
        <f t="shared" si="8"/>
        <v>0</v>
      </c>
      <c r="O20" s="300">
        <f t="shared" si="8"/>
        <v>0</v>
      </c>
      <c r="P20" s="300">
        <f t="shared" si="8"/>
        <v>0</v>
      </c>
      <c r="Q20" s="300">
        <f t="shared" si="8"/>
        <v>0</v>
      </c>
      <c r="R20" s="300">
        <f t="shared" si="8"/>
        <v>0</v>
      </c>
      <c r="S20" s="300">
        <f t="shared" si="8"/>
        <v>0</v>
      </c>
      <c r="T20" s="300">
        <f t="shared" si="8"/>
        <v>0</v>
      </c>
      <c r="U20" s="300">
        <f t="shared" si="8"/>
        <v>0</v>
      </c>
      <c r="V20" s="7"/>
      <c r="W20" s="977"/>
      <c r="X20" s="977"/>
      <c r="Y20" s="7"/>
    </row>
    <row r="21" spans="1:25">
      <c r="A21" s="729" t="s">
        <v>179</v>
      </c>
      <c r="B21" s="24">
        <f>B17-B19</f>
        <v>42250</v>
      </c>
      <c r="C21" s="24">
        <f t="shared" ref="C21:U21" si="9">C17-C19</f>
        <v>26250</v>
      </c>
      <c r="D21" s="24">
        <f t="shared" si="9"/>
        <v>5375</v>
      </c>
      <c r="E21" s="24">
        <f t="shared" si="9"/>
        <v>0</v>
      </c>
      <c r="F21" s="24">
        <f t="shared" si="9"/>
        <v>0</v>
      </c>
      <c r="G21" s="24">
        <f t="shared" si="9"/>
        <v>0</v>
      </c>
      <c r="H21" s="24">
        <f t="shared" si="9"/>
        <v>0</v>
      </c>
      <c r="I21" s="24">
        <f t="shared" si="9"/>
        <v>0</v>
      </c>
      <c r="J21" s="24">
        <f t="shared" si="9"/>
        <v>0</v>
      </c>
      <c r="K21" s="24">
        <f t="shared" si="9"/>
        <v>0</v>
      </c>
      <c r="L21" s="24">
        <f t="shared" si="9"/>
        <v>0</v>
      </c>
      <c r="M21" s="24">
        <f t="shared" si="9"/>
        <v>0</v>
      </c>
      <c r="N21" s="24">
        <f t="shared" si="9"/>
        <v>0</v>
      </c>
      <c r="O21" s="24">
        <f t="shared" si="9"/>
        <v>0</v>
      </c>
      <c r="P21" s="24">
        <f t="shared" si="9"/>
        <v>0</v>
      </c>
      <c r="Q21" s="24">
        <f t="shared" si="9"/>
        <v>0</v>
      </c>
      <c r="R21" s="24">
        <f t="shared" si="9"/>
        <v>0</v>
      </c>
      <c r="S21" s="24">
        <f t="shared" si="9"/>
        <v>0</v>
      </c>
      <c r="T21" s="24">
        <f t="shared" si="9"/>
        <v>0</v>
      </c>
      <c r="U21" s="24">
        <f t="shared" si="9"/>
        <v>0</v>
      </c>
      <c r="V21" s="7"/>
      <c r="W21" s="977"/>
      <c r="X21" s="977"/>
      <c r="Y21" s="7"/>
    </row>
    <row r="22" spans="1:25">
      <c r="A22" s="729"/>
      <c r="B22" s="978"/>
      <c r="C22" s="978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7"/>
      <c r="W22" s="977"/>
      <c r="X22" s="977"/>
      <c r="Y22" s="7"/>
    </row>
    <row r="23" spans="1:25">
      <c r="A23" s="275"/>
      <c r="B23" s="970">
        <v>37256</v>
      </c>
      <c r="C23" s="970">
        <v>37621</v>
      </c>
      <c r="D23" s="970">
        <v>37986</v>
      </c>
      <c r="E23" s="970">
        <v>38352</v>
      </c>
      <c r="F23" s="970">
        <v>38717</v>
      </c>
      <c r="G23" s="970">
        <v>39082</v>
      </c>
      <c r="H23" s="970">
        <v>39447</v>
      </c>
      <c r="I23" s="970">
        <v>39813</v>
      </c>
      <c r="J23" s="970">
        <v>40178</v>
      </c>
      <c r="K23" s="970">
        <v>40543</v>
      </c>
      <c r="L23" s="970">
        <v>40908</v>
      </c>
      <c r="M23" s="970">
        <v>41274</v>
      </c>
      <c r="N23" s="970">
        <v>41639</v>
      </c>
      <c r="O23" s="970">
        <v>42004</v>
      </c>
      <c r="P23" s="970">
        <v>42369</v>
      </c>
      <c r="Q23" s="970">
        <v>42735</v>
      </c>
      <c r="R23" s="970">
        <v>43100</v>
      </c>
      <c r="S23" s="970">
        <v>43465</v>
      </c>
      <c r="T23" s="970">
        <v>43830</v>
      </c>
      <c r="U23" s="970">
        <v>44196</v>
      </c>
      <c r="V23" s="7"/>
      <c r="W23" s="977"/>
      <c r="X23" s="977"/>
      <c r="Y23" s="7"/>
    </row>
    <row r="24" spans="1:25">
      <c r="A24" s="729" t="s">
        <v>178</v>
      </c>
      <c r="B24" s="20">
        <f t="shared" ref="B24:G24" si="10">B21</f>
        <v>42250</v>
      </c>
      <c r="C24" s="20">
        <f t="shared" si="10"/>
        <v>26250</v>
      </c>
      <c r="D24" s="20">
        <f t="shared" si="10"/>
        <v>5375</v>
      </c>
      <c r="E24" s="20">
        <f t="shared" si="10"/>
        <v>0</v>
      </c>
      <c r="F24" s="20">
        <f t="shared" si="10"/>
        <v>0</v>
      </c>
      <c r="G24" s="20">
        <f t="shared" si="10"/>
        <v>0</v>
      </c>
      <c r="H24" s="20">
        <f t="shared" ref="H24:U24" si="11">H21</f>
        <v>0</v>
      </c>
      <c r="I24" s="20">
        <f t="shared" si="11"/>
        <v>0</v>
      </c>
      <c r="J24" s="20">
        <f t="shared" si="11"/>
        <v>0</v>
      </c>
      <c r="K24" s="20">
        <f t="shared" si="11"/>
        <v>0</v>
      </c>
      <c r="L24" s="20">
        <f t="shared" si="11"/>
        <v>0</v>
      </c>
      <c r="M24" s="20">
        <f t="shared" si="11"/>
        <v>0</v>
      </c>
      <c r="N24" s="20">
        <f t="shared" si="11"/>
        <v>0</v>
      </c>
      <c r="O24" s="20">
        <f t="shared" si="11"/>
        <v>0</v>
      </c>
      <c r="P24" s="20">
        <f t="shared" si="11"/>
        <v>0</v>
      </c>
      <c r="Q24" s="20">
        <f t="shared" si="11"/>
        <v>0</v>
      </c>
      <c r="R24" s="20">
        <f t="shared" si="11"/>
        <v>0</v>
      </c>
      <c r="S24" s="20">
        <f t="shared" si="11"/>
        <v>0</v>
      </c>
      <c r="T24" s="20">
        <f t="shared" si="11"/>
        <v>0</v>
      </c>
      <c r="U24" s="20">
        <f t="shared" si="11"/>
        <v>0</v>
      </c>
      <c r="V24" s="7"/>
      <c r="W24" s="977"/>
      <c r="X24" s="977"/>
      <c r="Y24" s="7"/>
    </row>
    <row r="25" spans="1:25">
      <c r="A25" s="729" t="s">
        <v>467</v>
      </c>
      <c r="B25" s="757">
        <v>0.155</v>
      </c>
      <c r="C25" s="757">
        <v>0.16750000000000001</v>
      </c>
      <c r="D25" s="757">
        <v>0.1075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7"/>
      <c r="W25" s="977"/>
      <c r="X25" s="977"/>
      <c r="Y25" s="7"/>
    </row>
    <row r="26" spans="1:25">
      <c r="A26" s="729" t="s">
        <v>468</v>
      </c>
      <c r="B26" s="20">
        <f>B25*$B$14</f>
        <v>7750</v>
      </c>
      <c r="C26" s="20">
        <f t="shared" ref="C26:U26" si="12">C25*$B$14</f>
        <v>8375</v>
      </c>
      <c r="D26" s="20">
        <f t="shared" si="12"/>
        <v>5375</v>
      </c>
      <c r="E26" s="20">
        <f t="shared" si="12"/>
        <v>0</v>
      </c>
      <c r="F26" s="20">
        <f t="shared" si="12"/>
        <v>0</v>
      </c>
      <c r="G26" s="20">
        <f t="shared" si="12"/>
        <v>0</v>
      </c>
      <c r="H26" s="20">
        <f t="shared" si="12"/>
        <v>0</v>
      </c>
      <c r="I26" s="20">
        <f t="shared" si="12"/>
        <v>0</v>
      </c>
      <c r="J26" s="20">
        <f t="shared" si="12"/>
        <v>0</v>
      </c>
      <c r="K26" s="20">
        <f t="shared" si="12"/>
        <v>0</v>
      </c>
      <c r="L26" s="20">
        <f t="shared" si="12"/>
        <v>0</v>
      </c>
      <c r="M26" s="20">
        <f t="shared" si="12"/>
        <v>0</v>
      </c>
      <c r="N26" s="20">
        <f t="shared" si="12"/>
        <v>0</v>
      </c>
      <c r="O26" s="20">
        <f t="shared" si="12"/>
        <v>0</v>
      </c>
      <c r="P26" s="20">
        <f t="shared" si="12"/>
        <v>0</v>
      </c>
      <c r="Q26" s="20">
        <f t="shared" si="12"/>
        <v>0</v>
      </c>
      <c r="R26" s="20">
        <f t="shared" si="12"/>
        <v>0</v>
      </c>
      <c r="S26" s="20">
        <f t="shared" si="12"/>
        <v>0</v>
      </c>
      <c r="T26" s="20">
        <f t="shared" si="12"/>
        <v>0</v>
      </c>
      <c r="U26" s="20">
        <f t="shared" si="12"/>
        <v>0</v>
      </c>
      <c r="V26" s="7"/>
      <c r="W26" s="977"/>
      <c r="X26" s="977"/>
      <c r="Y26" s="7"/>
    </row>
    <row r="27" spans="1:25">
      <c r="A27" s="729" t="s">
        <v>466</v>
      </c>
      <c r="B27" s="300">
        <f t="shared" ref="B27:G27" si="13">B24*$E$97*(B23-B16)/365.25</f>
        <v>1926.2067077344284</v>
      </c>
      <c r="C27" s="300">
        <f t="shared" si="13"/>
        <v>1196.7556468172484</v>
      </c>
      <c r="D27" s="300">
        <f t="shared" si="13"/>
        <v>245.04996577686515</v>
      </c>
      <c r="E27" s="300">
        <f t="shared" si="13"/>
        <v>0</v>
      </c>
      <c r="F27" s="300">
        <f t="shared" si="13"/>
        <v>0</v>
      </c>
      <c r="G27" s="300">
        <f t="shared" si="13"/>
        <v>0</v>
      </c>
      <c r="H27" s="300">
        <f t="shared" ref="H27:U27" si="14">H24*$E$97*(H23-H16)/365.25</f>
        <v>0</v>
      </c>
      <c r="I27" s="300">
        <f t="shared" si="14"/>
        <v>0</v>
      </c>
      <c r="J27" s="300">
        <f t="shared" si="14"/>
        <v>0</v>
      </c>
      <c r="K27" s="300">
        <f t="shared" si="14"/>
        <v>0</v>
      </c>
      <c r="L27" s="300">
        <f t="shared" si="14"/>
        <v>0</v>
      </c>
      <c r="M27" s="300">
        <f t="shared" si="14"/>
        <v>0</v>
      </c>
      <c r="N27" s="300">
        <f t="shared" si="14"/>
        <v>0</v>
      </c>
      <c r="O27" s="300">
        <f t="shared" si="14"/>
        <v>0</v>
      </c>
      <c r="P27" s="300">
        <f t="shared" si="14"/>
        <v>0</v>
      </c>
      <c r="Q27" s="300">
        <f t="shared" si="14"/>
        <v>0</v>
      </c>
      <c r="R27" s="300">
        <f t="shared" si="14"/>
        <v>0</v>
      </c>
      <c r="S27" s="300">
        <f t="shared" si="14"/>
        <v>0</v>
      </c>
      <c r="T27" s="300">
        <f t="shared" si="14"/>
        <v>0</v>
      </c>
      <c r="U27" s="300">
        <f t="shared" si="14"/>
        <v>0</v>
      </c>
      <c r="V27" s="7"/>
      <c r="W27" s="977"/>
      <c r="X27" s="977"/>
      <c r="Y27" s="7"/>
    </row>
    <row r="28" spans="1:25">
      <c r="A28" s="729" t="s">
        <v>179</v>
      </c>
      <c r="B28" s="24">
        <f>B24-B26</f>
        <v>34500</v>
      </c>
      <c r="C28" s="24">
        <f t="shared" ref="C28:U28" si="15">C24-C26</f>
        <v>17875</v>
      </c>
      <c r="D28" s="24">
        <f t="shared" si="15"/>
        <v>0</v>
      </c>
      <c r="E28" s="24">
        <f t="shared" si="15"/>
        <v>0</v>
      </c>
      <c r="F28" s="24">
        <f t="shared" si="15"/>
        <v>0</v>
      </c>
      <c r="G28" s="24">
        <f t="shared" si="15"/>
        <v>0</v>
      </c>
      <c r="H28" s="24">
        <f t="shared" si="15"/>
        <v>0</v>
      </c>
      <c r="I28" s="24">
        <f t="shared" si="15"/>
        <v>0</v>
      </c>
      <c r="J28" s="24">
        <f t="shared" si="15"/>
        <v>0</v>
      </c>
      <c r="K28" s="24">
        <f t="shared" si="15"/>
        <v>0</v>
      </c>
      <c r="L28" s="24">
        <f t="shared" si="15"/>
        <v>0</v>
      </c>
      <c r="M28" s="24">
        <f t="shared" si="15"/>
        <v>0</v>
      </c>
      <c r="N28" s="24">
        <f t="shared" si="15"/>
        <v>0</v>
      </c>
      <c r="O28" s="24">
        <f t="shared" si="15"/>
        <v>0</v>
      </c>
      <c r="P28" s="24">
        <f t="shared" si="15"/>
        <v>0</v>
      </c>
      <c r="Q28" s="24">
        <f t="shared" si="15"/>
        <v>0</v>
      </c>
      <c r="R28" s="24">
        <f t="shared" si="15"/>
        <v>0</v>
      </c>
      <c r="S28" s="24">
        <f t="shared" si="15"/>
        <v>0</v>
      </c>
      <c r="T28" s="24">
        <f t="shared" si="15"/>
        <v>0</v>
      </c>
      <c r="U28" s="24">
        <f t="shared" si="15"/>
        <v>0</v>
      </c>
      <c r="W28" s="972"/>
      <c r="X28" s="972"/>
    </row>
    <row r="29" spans="1:25">
      <c r="A29" s="729"/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W29" s="972"/>
      <c r="X29" s="972"/>
    </row>
    <row r="30" spans="1:25">
      <c r="A30" s="565" t="s">
        <v>298</v>
      </c>
      <c r="B30" s="7"/>
      <c r="C30" s="96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W30" s="972"/>
      <c r="X30" s="972"/>
    </row>
    <row r="31" spans="1:25">
      <c r="B31" s="970">
        <f>'ENA_Summary Output'!$B$19</f>
        <v>36892</v>
      </c>
      <c r="C31" s="970">
        <v>37257</v>
      </c>
      <c r="D31" s="970">
        <v>37622</v>
      </c>
      <c r="E31" s="970">
        <v>37987</v>
      </c>
      <c r="F31" s="970">
        <v>38353</v>
      </c>
      <c r="G31" s="970">
        <v>38718</v>
      </c>
      <c r="H31" s="970">
        <v>39083</v>
      </c>
      <c r="I31" s="970">
        <v>39448</v>
      </c>
      <c r="J31" s="970">
        <v>39814</v>
      </c>
      <c r="K31" s="970">
        <v>40179</v>
      </c>
      <c r="L31" s="970">
        <v>40544</v>
      </c>
      <c r="M31" s="970">
        <v>40909</v>
      </c>
      <c r="N31" s="970">
        <v>41275</v>
      </c>
      <c r="O31" s="970">
        <v>41640</v>
      </c>
      <c r="P31" s="970">
        <v>42005</v>
      </c>
      <c r="Q31" s="970">
        <v>42370</v>
      </c>
      <c r="R31" s="970">
        <v>42736</v>
      </c>
      <c r="S31" s="970">
        <v>43101</v>
      </c>
      <c r="T31" s="970">
        <v>43466</v>
      </c>
      <c r="U31" s="970">
        <v>43831</v>
      </c>
      <c r="W31" s="972"/>
      <c r="X31" s="972"/>
    </row>
    <row r="32" spans="1:25">
      <c r="A32" s="729" t="s">
        <v>178</v>
      </c>
      <c r="B32" s="20">
        <v>0</v>
      </c>
      <c r="C32" s="20">
        <f t="shared" ref="C32:U32" si="16">B48</f>
        <v>210000</v>
      </c>
      <c r="D32" s="20">
        <f t="shared" si="16"/>
        <v>210000</v>
      </c>
      <c r="E32" s="20">
        <f t="shared" si="16"/>
        <v>210000</v>
      </c>
      <c r="F32" s="20">
        <f t="shared" si="16"/>
        <v>192150</v>
      </c>
      <c r="G32" s="20">
        <f t="shared" si="16"/>
        <v>167580</v>
      </c>
      <c r="H32" s="20">
        <f t="shared" si="16"/>
        <v>139650</v>
      </c>
      <c r="I32" s="20">
        <f t="shared" si="16"/>
        <v>109200</v>
      </c>
      <c r="J32" s="20">
        <f t="shared" si="16"/>
        <v>74550</v>
      </c>
      <c r="K32" s="20">
        <f t="shared" si="16"/>
        <v>36540</v>
      </c>
      <c r="L32" s="20">
        <f t="shared" si="16"/>
        <v>0</v>
      </c>
      <c r="M32" s="20">
        <f t="shared" si="16"/>
        <v>0</v>
      </c>
      <c r="N32" s="20">
        <f t="shared" si="16"/>
        <v>0</v>
      </c>
      <c r="O32" s="20">
        <f t="shared" si="16"/>
        <v>0</v>
      </c>
      <c r="P32" s="20">
        <f t="shared" si="16"/>
        <v>0</v>
      </c>
      <c r="Q32" s="20">
        <f t="shared" si="16"/>
        <v>0</v>
      </c>
      <c r="R32" s="20">
        <f t="shared" si="16"/>
        <v>0</v>
      </c>
      <c r="S32" s="20">
        <f t="shared" si="16"/>
        <v>0</v>
      </c>
      <c r="T32" s="20">
        <f t="shared" si="16"/>
        <v>0</v>
      </c>
      <c r="U32" s="20">
        <f t="shared" si="16"/>
        <v>0</v>
      </c>
      <c r="W32" s="972"/>
      <c r="X32" s="972"/>
    </row>
    <row r="33" spans="1:25">
      <c r="A33" s="729" t="s">
        <v>466</v>
      </c>
      <c r="B33" s="973">
        <v>0</v>
      </c>
      <c r="C33" s="300">
        <f t="shared" ref="C33:K33" si="17">C32*$J$97*(C31-B43)/365.25</f>
        <v>63.244353182751539</v>
      </c>
      <c r="D33" s="300">
        <f t="shared" si="17"/>
        <v>63.244353182751539</v>
      </c>
      <c r="E33" s="300">
        <f t="shared" si="17"/>
        <v>63.244353182751539</v>
      </c>
      <c r="F33" s="300">
        <f t="shared" si="17"/>
        <v>57.868583162217661</v>
      </c>
      <c r="G33" s="300">
        <f t="shared" si="17"/>
        <v>50.468993839835726</v>
      </c>
      <c r="H33" s="300">
        <f t="shared" si="17"/>
        <v>42.057494866529773</v>
      </c>
      <c r="I33" s="300">
        <f t="shared" si="17"/>
        <v>32.887063655030801</v>
      </c>
      <c r="J33" s="300">
        <f t="shared" si="17"/>
        <v>22.451745379876797</v>
      </c>
      <c r="K33" s="300">
        <f t="shared" si="17"/>
        <v>11.004517453798767</v>
      </c>
      <c r="L33" s="300">
        <f t="shared" ref="L33:U33" si="18">L32*$J$97*(L31-K43)/365.25</f>
        <v>0</v>
      </c>
      <c r="M33" s="300">
        <f t="shared" si="18"/>
        <v>0</v>
      </c>
      <c r="N33" s="300">
        <f t="shared" si="18"/>
        <v>0</v>
      </c>
      <c r="O33" s="300">
        <f t="shared" si="18"/>
        <v>0</v>
      </c>
      <c r="P33" s="300">
        <f t="shared" si="18"/>
        <v>0</v>
      </c>
      <c r="Q33" s="300">
        <f t="shared" si="18"/>
        <v>0</v>
      </c>
      <c r="R33" s="300">
        <f t="shared" si="18"/>
        <v>0</v>
      </c>
      <c r="S33" s="300">
        <f t="shared" si="18"/>
        <v>0</v>
      </c>
      <c r="T33" s="300">
        <f t="shared" si="18"/>
        <v>0</v>
      </c>
      <c r="U33" s="300">
        <f t="shared" si="18"/>
        <v>0</v>
      </c>
      <c r="V33" s="7"/>
      <c r="W33" s="977"/>
      <c r="X33" s="977"/>
      <c r="Y33" s="7"/>
    </row>
    <row r="34" spans="1:25" ht="13.5">
      <c r="A34" s="729" t="s">
        <v>179</v>
      </c>
      <c r="B34" s="273">
        <f>'ENA_Summary Output'!C20</f>
        <v>210000</v>
      </c>
      <c r="C34" s="24">
        <f t="shared" ref="C34:K34" si="19">C32</f>
        <v>210000</v>
      </c>
      <c r="D34" s="24">
        <f t="shared" si="19"/>
        <v>210000</v>
      </c>
      <c r="E34" s="24">
        <f t="shared" si="19"/>
        <v>210000</v>
      </c>
      <c r="F34" s="24">
        <f t="shared" si="19"/>
        <v>192150</v>
      </c>
      <c r="G34" s="24">
        <f t="shared" si="19"/>
        <v>167580</v>
      </c>
      <c r="H34" s="24">
        <f t="shared" si="19"/>
        <v>139650</v>
      </c>
      <c r="I34" s="24">
        <f t="shared" si="19"/>
        <v>109200</v>
      </c>
      <c r="J34" s="24">
        <f t="shared" si="19"/>
        <v>74550</v>
      </c>
      <c r="K34" s="24">
        <f t="shared" si="19"/>
        <v>36540</v>
      </c>
      <c r="L34" s="24">
        <f t="shared" ref="L34:U34" si="20">L32</f>
        <v>0</v>
      </c>
      <c r="M34" s="24">
        <f t="shared" si="20"/>
        <v>0</v>
      </c>
      <c r="N34" s="24">
        <f t="shared" si="20"/>
        <v>0</v>
      </c>
      <c r="O34" s="24">
        <f t="shared" si="20"/>
        <v>0</v>
      </c>
      <c r="P34" s="24">
        <f t="shared" si="20"/>
        <v>0</v>
      </c>
      <c r="Q34" s="24">
        <f t="shared" si="20"/>
        <v>0</v>
      </c>
      <c r="R34" s="24">
        <f t="shared" si="20"/>
        <v>0</v>
      </c>
      <c r="S34" s="24">
        <f t="shared" si="20"/>
        <v>0</v>
      </c>
      <c r="T34" s="24">
        <f t="shared" si="20"/>
        <v>0</v>
      </c>
      <c r="U34" s="24">
        <f t="shared" si="20"/>
        <v>0</v>
      </c>
      <c r="V34" s="7"/>
      <c r="W34" s="974">
        <f>SUM(B39:U39,B46:U46)</f>
        <v>210000</v>
      </c>
      <c r="X34" s="975">
        <f>B34-W34</f>
        <v>0</v>
      </c>
      <c r="Y34" s="7"/>
    </row>
    <row r="35" spans="1:25">
      <c r="B35" s="976"/>
      <c r="C35" s="96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977"/>
      <c r="X35" s="977"/>
      <c r="Y35" s="7"/>
    </row>
    <row r="36" spans="1:25">
      <c r="A36" s="275"/>
      <c r="B36" s="970">
        <v>37072</v>
      </c>
      <c r="C36" s="970">
        <v>37437</v>
      </c>
      <c r="D36" s="970">
        <v>37802</v>
      </c>
      <c r="E36" s="970">
        <v>38168</v>
      </c>
      <c r="F36" s="970">
        <v>38533</v>
      </c>
      <c r="G36" s="970">
        <v>38898</v>
      </c>
      <c r="H36" s="970">
        <v>39263</v>
      </c>
      <c r="I36" s="970">
        <v>39629</v>
      </c>
      <c r="J36" s="970">
        <v>39994</v>
      </c>
      <c r="K36" s="970">
        <v>40359</v>
      </c>
      <c r="L36" s="970">
        <v>40724</v>
      </c>
      <c r="M36" s="970">
        <v>41090</v>
      </c>
      <c r="N36" s="970">
        <v>41455</v>
      </c>
      <c r="O36" s="970">
        <v>41820</v>
      </c>
      <c r="P36" s="970">
        <v>42185</v>
      </c>
      <c r="Q36" s="970">
        <v>42551</v>
      </c>
      <c r="R36" s="970">
        <v>42916</v>
      </c>
      <c r="S36" s="970">
        <v>43281</v>
      </c>
      <c r="T36" s="970">
        <v>43646</v>
      </c>
      <c r="U36" s="970">
        <v>44012</v>
      </c>
      <c r="V36" s="7"/>
      <c r="W36" s="977"/>
      <c r="X36" s="977"/>
      <c r="Y36" s="7"/>
    </row>
    <row r="37" spans="1:25">
      <c r="A37" s="729" t="s">
        <v>178</v>
      </c>
      <c r="B37" s="20">
        <f t="shared" ref="B37:K37" si="21">B34</f>
        <v>210000</v>
      </c>
      <c r="C37" s="20">
        <f t="shared" si="21"/>
        <v>210000</v>
      </c>
      <c r="D37" s="20">
        <f t="shared" si="21"/>
        <v>210000</v>
      </c>
      <c r="E37" s="20">
        <f t="shared" si="21"/>
        <v>210000</v>
      </c>
      <c r="F37" s="20">
        <f t="shared" si="21"/>
        <v>192150</v>
      </c>
      <c r="G37" s="20">
        <f t="shared" si="21"/>
        <v>167580</v>
      </c>
      <c r="H37" s="20">
        <f t="shared" si="21"/>
        <v>139650</v>
      </c>
      <c r="I37" s="20">
        <f t="shared" si="21"/>
        <v>109200</v>
      </c>
      <c r="J37" s="20">
        <f t="shared" si="21"/>
        <v>74550</v>
      </c>
      <c r="K37" s="20">
        <f t="shared" si="21"/>
        <v>36540</v>
      </c>
      <c r="L37" s="20">
        <f t="shared" ref="L37:U37" si="22">L34</f>
        <v>0</v>
      </c>
      <c r="M37" s="20">
        <f t="shared" si="22"/>
        <v>0</v>
      </c>
      <c r="N37" s="20">
        <f t="shared" si="22"/>
        <v>0</v>
      </c>
      <c r="O37" s="20">
        <f t="shared" si="22"/>
        <v>0</v>
      </c>
      <c r="P37" s="20">
        <f t="shared" si="22"/>
        <v>0</v>
      </c>
      <c r="Q37" s="20">
        <f t="shared" si="22"/>
        <v>0</v>
      </c>
      <c r="R37" s="20">
        <f t="shared" si="22"/>
        <v>0</v>
      </c>
      <c r="S37" s="20">
        <f t="shared" si="22"/>
        <v>0</v>
      </c>
      <c r="T37" s="20">
        <f t="shared" si="22"/>
        <v>0</v>
      </c>
      <c r="U37" s="20">
        <f t="shared" si="22"/>
        <v>0</v>
      </c>
      <c r="V37" s="7"/>
      <c r="W37" s="977"/>
      <c r="X37" s="977"/>
      <c r="Y37" s="7"/>
    </row>
    <row r="38" spans="1:25">
      <c r="A38" s="729" t="s">
        <v>467</v>
      </c>
      <c r="B38" s="757">
        <v>0</v>
      </c>
      <c r="C38" s="757">
        <v>0</v>
      </c>
      <c r="D38" s="757">
        <v>0</v>
      </c>
      <c r="E38" s="757">
        <v>4.2500000000000003E-2</v>
      </c>
      <c r="F38" s="757">
        <v>5.8500000000000003E-2</v>
      </c>
      <c r="G38" s="757">
        <v>6.6500000000000004E-2</v>
      </c>
      <c r="H38" s="757">
        <v>7.2499999999999995E-2</v>
      </c>
      <c r="I38" s="757">
        <v>8.2500000000000004E-2</v>
      </c>
      <c r="J38" s="757">
        <v>9.0499999999999997E-2</v>
      </c>
      <c r="K38" s="757">
        <v>0.12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W38" s="972"/>
      <c r="X38" s="972"/>
    </row>
    <row r="39" spans="1:25">
      <c r="A39" s="729" t="s">
        <v>468</v>
      </c>
      <c r="B39" s="20">
        <f>B38*$B$34</f>
        <v>0</v>
      </c>
      <c r="C39" s="20">
        <f t="shared" ref="C39:U39" si="23">C38*$B$34</f>
        <v>0</v>
      </c>
      <c r="D39" s="20">
        <f t="shared" si="23"/>
        <v>0</v>
      </c>
      <c r="E39" s="20">
        <f t="shared" si="23"/>
        <v>8925</v>
      </c>
      <c r="F39" s="20">
        <f t="shared" si="23"/>
        <v>12285</v>
      </c>
      <c r="G39" s="20">
        <f t="shared" si="23"/>
        <v>13965</v>
      </c>
      <c r="H39" s="20">
        <f t="shared" si="23"/>
        <v>15224.999999999998</v>
      </c>
      <c r="I39" s="20">
        <f t="shared" si="23"/>
        <v>17325</v>
      </c>
      <c r="J39" s="20">
        <f t="shared" si="23"/>
        <v>19005</v>
      </c>
      <c r="K39" s="20">
        <f t="shared" si="23"/>
        <v>25200</v>
      </c>
      <c r="L39" s="20">
        <f t="shared" si="23"/>
        <v>0</v>
      </c>
      <c r="M39" s="20">
        <f t="shared" si="23"/>
        <v>0</v>
      </c>
      <c r="N39" s="20">
        <f t="shared" si="23"/>
        <v>0</v>
      </c>
      <c r="O39" s="20">
        <f t="shared" si="23"/>
        <v>0</v>
      </c>
      <c r="P39" s="20">
        <f t="shared" si="23"/>
        <v>0</v>
      </c>
      <c r="Q39" s="20">
        <f t="shared" si="23"/>
        <v>0</v>
      </c>
      <c r="R39" s="20">
        <f t="shared" si="23"/>
        <v>0</v>
      </c>
      <c r="S39" s="20">
        <f t="shared" si="23"/>
        <v>0</v>
      </c>
      <c r="T39" s="20">
        <f t="shared" si="23"/>
        <v>0</v>
      </c>
      <c r="U39" s="20">
        <f t="shared" si="23"/>
        <v>0</v>
      </c>
      <c r="V39" s="7"/>
      <c r="W39" s="977"/>
      <c r="X39" s="977"/>
      <c r="Y39" s="7"/>
    </row>
    <row r="40" spans="1:25">
      <c r="A40" s="729" t="s">
        <v>466</v>
      </c>
      <c r="B40" s="300">
        <f t="shared" ref="B40:K40" si="24">B37*$J$97*(B36-B31)/365.25</f>
        <v>11383.983572895277</v>
      </c>
      <c r="C40" s="300">
        <f t="shared" si="24"/>
        <v>11383.983572895277</v>
      </c>
      <c r="D40" s="300">
        <f t="shared" si="24"/>
        <v>11383.983572895277</v>
      </c>
      <c r="E40" s="300">
        <f t="shared" si="24"/>
        <v>11447.227926078029</v>
      </c>
      <c r="F40" s="300">
        <f t="shared" si="24"/>
        <v>10416.344969199179</v>
      </c>
      <c r="G40" s="300">
        <f t="shared" si="24"/>
        <v>9084.4188911704314</v>
      </c>
      <c r="H40" s="300">
        <f t="shared" si="24"/>
        <v>7570.3490759753595</v>
      </c>
      <c r="I40" s="300">
        <f t="shared" si="24"/>
        <v>5952.5585215605752</v>
      </c>
      <c r="J40" s="300">
        <f t="shared" si="24"/>
        <v>4041.3141683778235</v>
      </c>
      <c r="K40" s="300">
        <f t="shared" si="24"/>
        <v>1980.8131416837782</v>
      </c>
      <c r="L40" s="300">
        <f t="shared" ref="L40:U40" si="25">L37*$J$97*(L36-L31)/365.25</f>
        <v>0</v>
      </c>
      <c r="M40" s="300">
        <f t="shared" si="25"/>
        <v>0</v>
      </c>
      <c r="N40" s="300">
        <f t="shared" si="25"/>
        <v>0</v>
      </c>
      <c r="O40" s="300">
        <f t="shared" si="25"/>
        <v>0</v>
      </c>
      <c r="P40" s="300">
        <f t="shared" si="25"/>
        <v>0</v>
      </c>
      <c r="Q40" s="300">
        <f t="shared" si="25"/>
        <v>0</v>
      </c>
      <c r="R40" s="300">
        <f t="shared" si="25"/>
        <v>0</v>
      </c>
      <c r="S40" s="300">
        <f t="shared" si="25"/>
        <v>0</v>
      </c>
      <c r="T40" s="300">
        <f t="shared" si="25"/>
        <v>0</v>
      </c>
      <c r="U40" s="300">
        <f t="shared" si="25"/>
        <v>0</v>
      </c>
      <c r="V40" s="7"/>
      <c r="W40" s="977"/>
      <c r="X40" s="977"/>
      <c r="Y40" s="7"/>
    </row>
    <row r="41" spans="1:25">
      <c r="A41" s="729" t="s">
        <v>179</v>
      </c>
      <c r="B41" s="24">
        <f>B37-B39</f>
        <v>210000</v>
      </c>
      <c r="C41" s="24">
        <f t="shared" ref="C41:U41" si="26">C37-C39</f>
        <v>210000</v>
      </c>
      <c r="D41" s="24">
        <f t="shared" si="26"/>
        <v>210000</v>
      </c>
      <c r="E41" s="24">
        <f t="shared" si="26"/>
        <v>201075</v>
      </c>
      <c r="F41" s="24">
        <f t="shared" si="26"/>
        <v>179865</v>
      </c>
      <c r="G41" s="24">
        <f t="shared" si="26"/>
        <v>153615</v>
      </c>
      <c r="H41" s="24">
        <f t="shared" si="26"/>
        <v>124425</v>
      </c>
      <c r="I41" s="24">
        <f t="shared" si="26"/>
        <v>91875</v>
      </c>
      <c r="J41" s="24">
        <f t="shared" si="26"/>
        <v>55545</v>
      </c>
      <c r="K41" s="24">
        <f t="shared" si="26"/>
        <v>11340</v>
      </c>
      <c r="L41" s="24">
        <f t="shared" si="26"/>
        <v>0</v>
      </c>
      <c r="M41" s="24">
        <f t="shared" si="26"/>
        <v>0</v>
      </c>
      <c r="N41" s="24">
        <f t="shared" si="26"/>
        <v>0</v>
      </c>
      <c r="O41" s="24">
        <f t="shared" si="26"/>
        <v>0</v>
      </c>
      <c r="P41" s="24">
        <f t="shared" si="26"/>
        <v>0</v>
      </c>
      <c r="Q41" s="24">
        <f t="shared" si="26"/>
        <v>0</v>
      </c>
      <c r="R41" s="24">
        <f t="shared" si="26"/>
        <v>0</v>
      </c>
      <c r="S41" s="24">
        <f t="shared" si="26"/>
        <v>0</v>
      </c>
      <c r="T41" s="24">
        <f t="shared" si="26"/>
        <v>0</v>
      </c>
      <c r="U41" s="24">
        <f t="shared" si="26"/>
        <v>0</v>
      </c>
      <c r="V41" s="7"/>
      <c r="W41" s="977"/>
      <c r="X41" s="977"/>
      <c r="Y41" s="7"/>
    </row>
    <row r="42" spans="1:25">
      <c r="A42" s="729"/>
      <c r="B42" s="978"/>
      <c r="C42" s="978"/>
      <c r="D42" s="978"/>
      <c r="E42" s="978"/>
      <c r="F42" s="978"/>
      <c r="G42" s="978"/>
      <c r="H42" s="978"/>
      <c r="I42" s="978"/>
      <c r="J42" s="978"/>
      <c r="K42" s="978"/>
      <c r="L42" s="978"/>
      <c r="M42" s="978"/>
      <c r="N42" s="978"/>
      <c r="O42" s="978"/>
      <c r="P42" s="978"/>
      <c r="Q42" s="978"/>
      <c r="R42" s="978"/>
      <c r="S42" s="978"/>
      <c r="T42" s="978"/>
      <c r="U42" s="978"/>
      <c r="W42" s="972"/>
      <c r="X42" s="972"/>
    </row>
    <row r="43" spans="1:25">
      <c r="A43" s="275"/>
      <c r="B43" s="970">
        <v>37256</v>
      </c>
      <c r="C43" s="970">
        <v>37621</v>
      </c>
      <c r="D43" s="970">
        <v>37986</v>
      </c>
      <c r="E43" s="970">
        <v>38352</v>
      </c>
      <c r="F43" s="970">
        <v>38717</v>
      </c>
      <c r="G43" s="970">
        <v>39082</v>
      </c>
      <c r="H43" s="970">
        <v>39447</v>
      </c>
      <c r="I43" s="970">
        <v>39813</v>
      </c>
      <c r="J43" s="970">
        <v>40178</v>
      </c>
      <c r="K43" s="970">
        <v>40543</v>
      </c>
      <c r="L43" s="970">
        <v>40908</v>
      </c>
      <c r="M43" s="970">
        <v>41274</v>
      </c>
      <c r="N43" s="970">
        <v>41639</v>
      </c>
      <c r="O43" s="970">
        <v>42004</v>
      </c>
      <c r="P43" s="970">
        <v>42369</v>
      </c>
      <c r="Q43" s="970">
        <v>42735</v>
      </c>
      <c r="R43" s="970">
        <v>43100</v>
      </c>
      <c r="S43" s="970">
        <v>43465</v>
      </c>
      <c r="T43" s="970">
        <v>43830</v>
      </c>
      <c r="U43" s="970">
        <v>44196</v>
      </c>
      <c r="W43" s="972"/>
      <c r="X43" s="972"/>
    </row>
    <row r="44" spans="1:25">
      <c r="A44" s="729" t="s">
        <v>178</v>
      </c>
      <c r="B44" s="20">
        <f>B41</f>
        <v>210000</v>
      </c>
      <c r="C44" s="20">
        <f t="shared" ref="C44:K44" si="27">C41</f>
        <v>210000</v>
      </c>
      <c r="D44" s="20">
        <f t="shared" si="27"/>
        <v>210000</v>
      </c>
      <c r="E44" s="20">
        <f t="shared" si="27"/>
        <v>201075</v>
      </c>
      <c r="F44" s="20">
        <f t="shared" si="27"/>
        <v>179865</v>
      </c>
      <c r="G44" s="20">
        <f t="shared" si="27"/>
        <v>153615</v>
      </c>
      <c r="H44" s="20">
        <f t="shared" si="27"/>
        <v>124425</v>
      </c>
      <c r="I44" s="20">
        <f t="shared" si="27"/>
        <v>91875</v>
      </c>
      <c r="J44" s="20">
        <f t="shared" si="27"/>
        <v>55545</v>
      </c>
      <c r="K44" s="20">
        <f t="shared" si="27"/>
        <v>11340</v>
      </c>
      <c r="L44" s="20">
        <f t="shared" ref="L44:U44" si="28">L41</f>
        <v>0</v>
      </c>
      <c r="M44" s="20">
        <f t="shared" si="28"/>
        <v>0</v>
      </c>
      <c r="N44" s="20">
        <f t="shared" si="28"/>
        <v>0</v>
      </c>
      <c r="O44" s="20">
        <f t="shared" si="28"/>
        <v>0</v>
      </c>
      <c r="P44" s="20">
        <f t="shared" si="28"/>
        <v>0</v>
      </c>
      <c r="Q44" s="20">
        <f t="shared" si="28"/>
        <v>0</v>
      </c>
      <c r="R44" s="20">
        <f t="shared" si="28"/>
        <v>0</v>
      </c>
      <c r="S44" s="20">
        <f t="shared" si="28"/>
        <v>0</v>
      </c>
      <c r="T44" s="20">
        <f t="shared" si="28"/>
        <v>0</v>
      </c>
      <c r="U44" s="20">
        <f t="shared" si="28"/>
        <v>0</v>
      </c>
      <c r="W44" s="972"/>
      <c r="X44" s="972"/>
    </row>
    <row r="45" spans="1:25">
      <c r="A45" s="729" t="s">
        <v>467</v>
      </c>
      <c r="B45" s="757">
        <v>0</v>
      </c>
      <c r="C45" s="757">
        <v>0</v>
      </c>
      <c r="D45" s="757">
        <v>0</v>
      </c>
      <c r="E45" s="757">
        <v>4.2500000000000003E-2</v>
      </c>
      <c r="F45" s="757">
        <v>5.8500000000000003E-2</v>
      </c>
      <c r="G45" s="757">
        <v>6.6500000000000004E-2</v>
      </c>
      <c r="H45" s="757">
        <v>7.2499999999999995E-2</v>
      </c>
      <c r="I45" s="757">
        <v>8.2500000000000004E-2</v>
      </c>
      <c r="J45" s="757">
        <v>9.0499999999999997E-2</v>
      </c>
      <c r="K45" s="757">
        <v>5.3999999999999937E-2</v>
      </c>
      <c r="L45" s="20"/>
      <c r="M45" s="20"/>
      <c r="N45" s="20"/>
      <c r="O45" s="20"/>
      <c r="P45" s="20"/>
      <c r="Q45" s="20"/>
      <c r="R45" s="20"/>
      <c r="S45" s="20"/>
      <c r="T45" s="20"/>
      <c r="U45" s="20"/>
      <c r="W45" s="972"/>
      <c r="X45" s="972"/>
    </row>
    <row r="46" spans="1:25">
      <c r="A46" s="729" t="s">
        <v>468</v>
      </c>
      <c r="B46" s="20">
        <f t="shared" ref="B46:U46" si="29">B45*$B$34</f>
        <v>0</v>
      </c>
      <c r="C46" s="20">
        <f t="shared" si="29"/>
        <v>0</v>
      </c>
      <c r="D46" s="20">
        <f t="shared" si="29"/>
        <v>0</v>
      </c>
      <c r="E46" s="20">
        <f t="shared" si="29"/>
        <v>8925</v>
      </c>
      <c r="F46" s="20">
        <f t="shared" si="29"/>
        <v>12285</v>
      </c>
      <c r="G46" s="20">
        <f t="shared" si="29"/>
        <v>13965</v>
      </c>
      <c r="H46" s="20">
        <f t="shared" si="29"/>
        <v>15224.999999999998</v>
      </c>
      <c r="I46" s="20">
        <f t="shared" si="29"/>
        <v>17325</v>
      </c>
      <c r="J46" s="20">
        <f t="shared" si="29"/>
        <v>19005</v>
      </c>
      <c r="K46" s="20">
        <f t="shared" si="29"/>
        <v>11339.999999999987</v>
      </c>
      <c r="L46" s="20">
        <f t="shared" si="29"/>
        <v>0</v>
      </c>
      <c r="M46" s="20">
        <f t="shared" si="29"/>
        <v>0</v>
      </c>
      <c r="N46" s="20">
        <f t="shared" si="29"/>
        <v>0</v>
      </c>
      <c r="O46" s="20">
        <f t="shared" si="29"/>
        <v>0</v>
      </c>
      <c r="P46" s="20">
        <f t="shared" si="29"/>
        <v>0</v>
      </c>
      <c r="Q46" s="20">
        <f t="shared" si="29"/>
        <v>0</v>
      </c>
      <c r="R46" s="20">
        <f t="shared" si="29"/>
        <v>0</v>
      </c>
      <c r="S46" s="20">
        <f t="shared" si="29"/>
        <v>0</v>
      </c>
      <c r="T46" s="20">
        <f t="shared" si="29"/>
        <v>0</v>
      </c>
      <c r="U46" s="20">
        <f t="shared" si="29"/>
        <v>0</v>
      </c>
      <c r="W46" s="972"/>
      <c r="X46" s="972"/>
    </row>
    <row r="47" spans="1:25">
      <c r="A47" s="729" t="s">
        <v>466</v>
      </c>
      <c r="B47" s="300">
        <f>B44*$J$97*(B43-B36)/365.25</f>
        <v>11636.960985626283</v>
      </c>
      <c r="C47" s="300">
        <f t="shared" ref="C47:K47" si="30">C44*$J$97*(C43-C36)/365.25</f>
        <v>11636.960985626283</v>
      </c>
      <c r="D47" s="300">
        <f t="shared" si="30"/>
        <v>11636.960985626283</v>
      </c>
      <c r="E47" s="300">
        <f t="shared" si="30"/>
        <v>11142.390143737166</v>
      </c>
      <c r="F47" s="300">
        <f t="shared" si="30"/>
        <v>9967.0570841889112</v>
      </c>
      <c r="G47" s="300">
        <f t="shared" si="30"/>
        <v>8512.4369609856258</v>
      </c>
      <c r="H47" s="300">
        <f t="shared" si="30"/>
        <v>6894.899383983573</v>
      </c>
      <c r="I47" s="300">
        <f t="shared" si="30"/>
        <v>5091.1704312114989</v>
      </c>
      <c r="J47" s="300">
        <f t="shared" si="30"/>
        <v>3077.9761806981519</v>
      </c>
      <c r="K47" s="300">
        <f t="shared" si="30"/>
        <v>628.39589322381937</v>
      </c>
      <c r="L47" s="300">
        <f t="shared" ref="L47:U47" si="31">L44*$J$97*(L43-L36)/365.25</f>
        <v>0</v>
      </c>
      <c r="M47" s="300">
        <f t="shared" si="31"/>
        <v>0</v>
      </c>
      <c r="N47" s="300">
        <f t="shared" si="31"/>
        <v>0</v>
      </c>
      <c r="O47" s="300">
        <f t="shared" si="31"/>
        <v>0</v>
      </c>
      <c r="P47" s="300">
        <f t="shared" si="31"/>
        <v>0</v>
      </c>
      <c r="Q47" s="300">
        <f t="shared" si="31"/>
        <v>0</v>
      </c>
      <c r="R47" s="300">
        <f t="shared" si="31"/>
        <v>0</v>
      </c>
      <c r="S47" s="300">
        <f t="shared" si="31"/>
        <v>0</v>
      </c>
      <c r="T47" s="300">
        <f t="shared" si="31"/>
        <v>0</v>
      </c>
      <c r="U47" s="300">
        <f t="shared" si="31"/>
        <v>0</v>
      </c>
      <c r="W47" s="972"/>
      <c r="X47" s="972"/>
    </row>
    <row r="48" spans="1:25">
      <c r="A48" s="729" t="s">
        <v>179</v>
      </c>
      <c r="B48" s="24">
        <f>B44-B46</f>
        <v>210000</v>
      </c>
      <c r="C48" s="24">
        <f t="shared" ref="C48:U48" si="32">C44-C46</f>
        <v>210000</v>
      </c>
      <c r="D48" s="24">
        <f t="shared" si="32"/>
        <v>210000</v>
      </c>
      <c r="E48" s="24">
        <f t="shared" si="32"/>
        <v>192150</v>
      </c>
      <c r="F48" s="24">
        <f t="shared" si="32"/>
        <v>167580</v>
      </c>
      <c r="G48" s="24">
        <f t="shared" si="32"/>
        <v>139650</v>
      </c>
      <c r="H48" s="24">
        <f t="shared" si="32"/>
        <v>109200</v>
      </c>
      <c r="I48" s="24">
        <f t="shared" si="32"/>
        <v>74550</v>
      </c>
      <c r="J48" s="24">
        <f t="shared" si="32"/>
        <v>36540</v>
      </c>
      <c r="K48" s="24">
        <f t="shared" si="32"/>
        <v>0</v>
      </c>
      <c r="L48" s="24">
        <f t="shared" si="32"/>
        <v>0</v>
      </c>
      <c r="M48" s="24">
        <f t="shared" si="32"/>
        <v>0</v>
      </c>
      <c r="N48" s="24">
        <f t="shared" si="32"/>
        <v>0</v>
      </c>
      <c r="O48" s="24">
        <f t="shared" si="32"/>
        <v>0</v>
      </c>
      <c r="P48" s="24">
        <f t="shared" si="32"/>
        <v>0</v>
      </c>
      <c r="Q48" s="24">
        <f t="shared" si="32"/>
        <v>0</v>
      </c>
      <c r="R48" s="24">
        <f t="shared" si="32"/>
        <v>0</v>
      </c>
      <c r="S48" s="24">
        <f t="shared" si="32"/>
        <v>0</v>
      </c>
      <c r="T48" s="24">
        <f t="shared" si="32"/>
        <v>0</v>
      </c>
      <c r="U48" s="24">
        <f t="shared" si="32"/>
        <v>0</v>
      </c>
      <c r="W48" s="972"/>
      <c r="X48" s="972"/>
    </row>
    <row r="49" spans="1:24">
      <c r="A49" s="729"/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W49" s="972"/>
      <c r="X49" s="972"/>
    </row>
    <row r="50" spans="1:24">
      <c r="A50" s="565" t="s">
        <v>299</v>
      </c>
      <c r="B50" s="7"/>
      <c r="C50" s="96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W50" s="972"/>
      <c r="X50" s="972"/>
    </row>
    <row r="51" spans="1:24">
      <c r="B51" s="970">
        <f>'ENA_Summary Output'!$B$19</f>
        <v>36892</v>
      </c>
      <c r="C51" s="970">
        <v>37257</v>
      </c>
      <c r="D51" s="970">
        <v>37622</v>
      </c>
      <c r="E51" s="970">
        <v>37987</v>
      </c>
      <c r="F51" s="970">
        <v>38353</v>
      </c>
      <c r="G51" s="970">
        <v>38718</v>
      </c>
      <c r="H51" s="970">
        <v>39083</v>
      </c>
      <c r="I51" s="970">
        <v>39448</v>
      </c>
      <c r="J51" s="970">
        <v>39814</v>
      </c>
      <c r="K51" s="970">
        <v>40179</v>
      </c>
      <c r="L51" s="970">
        <v>40544</v>
      </c>
      <c r="M51" s="970">
        <v>40909</v>
      </c>
      <c r="N51" s="970">
        <v>41275</v>
      </c>
      <c r="O51" s="970">
        <v>41640</v>
      </c>
      <c r="P51" s="970">
        <v>42005</v>
      </c>
      <c r="Q51" s="970">
        <v>42370</v>
      </c>
      <c r="R51" s="970">
        <v>42736</v>
      </c>
      <c r="S51" s="970">
        <v>43101</v>
      </c>
      <c r="T51" s="970">
        <v>43466</v>
      </c>
      <c r="U51" s="970">
        <v>43831</v>
      </c>
      <c r="W51" s="972"/>
      <c r="X51" s="972"/>
    </row>
    <row r="52" spans="1:24">
      <c r="A52" s="729" t="s">
        <v>178</v>
      </c>
      <c r="B52" s="20">
        <v>0</v>
      </c>
      <c r="C52" s="20">
        <f>B68</f>
        <v>475000</v>
      </c>
      <c r="D52" s="20">
        <f t="shared" ref="D52:U52" si="33">C68</f>
        <v>475000</v>
      </c>
      <c r="E52" s="20">
        <f t="shared" si="33"/>
        <v>475000</v>
      </c>
      <c r="F52" s="20">
        <f t="shared" si="33"/>
        <v>475000</v>
      </c>
      <c r="G52" s="20">
        <f t="shared" si="33"/>
        <v>475000</v>
      </c>
      <c r="H52" s="20">
        <f t="shared" si="33"/>
        <v>475000</v>
      </c>
      <c r="I52" s="20">
        <f t="shared" si="33"/>
        <v>475000</v>
      </c>
      <c r="J52" s="20">
        <f t="shared" si="33"/>
        <v>475000</v>
      </c>
      <c r="K52" s="20">
        <f t="shared" si="33"/>
        <v>475000</v>
      </c>
      <c r="L52" s="20">
        <f t="shared" si="33"/>
        <v>467875</v>
      </c>
      <c r="M52" s="20">
        <f t="shared" si="33"/>
        <v>420375</v>
      </c>
      <c r="N52" s="20">
        <f t="shared" si="33"/>
        <v>372875</v>
      </c>
      <c r="O52" s="20">
        <f t="shared" si="33"/>
        <v>325375</v>
      </c>
      <c r="P52" s="20">
        <f t="shared" si="33"/>
        <v>277875</v>
      </c>
      <c r="Q52" s="20">
        <f t="shared" si="33"/>
        <v>228000</v>
      </c>
      <c r="R52" s="20">
        <f t="shared" si="33"/>
        <v>175750</v>
      </c>
      <c r="S52" s="20">
        <f t="shared" si="33"/>
        <v>123500</v>
      </c>
      <c r="T52" s="20">
        <f t="shared" si="33"/>
        <v>80750</v>
      </c>
      <c r="U52" s="20">
        <f t="shared" si="33"/>
        <v>38000</v>
      </c>
      <c r="W52" s="972"/>
      <c r="X52" s="972"/>
    </row>
    <row r="53" spans="1:24">
      <c r="A53" s="979" t="s">
        <v>466</v>
      </c>
      <c r="B53" s="973">
        <v>0</v>
      </c>
      <c r="C53" s="300">
        <f t="shared" ref="C53:U53" si="34">C52*$O$97*(C51-B63)/365.25</f>
        <v>145.65366187542779</v>
      </c>
      <c r="D53" s="300">
        <f t="shared" si="34"/>
        <v>145.65366187542779</v>
      </c>
      <c r="E53" s="300">
        <f t="shared" si="34"/>
        <v>145.65366187542779</v>
      </c>
      <c r="F53" s="300">
        <f t="shared" si="34"/>
        <v>145.65366187542779</v>
      </c>
      <c r="G53" s="300">
        <f t="shared" si="34"/>
        <v>145.65366187542779</v>
      </c>
      <c r="H53" s="300">
        <f t="shared" si="34"/>
        <v>145.65366187542779</v>
      </c>
      <c r="I53" s="300">
        <f t="shared" si="34"/>
        <v>145.65366187542779</v>
      </c>
      <c r="J53" s="300">
        <f t="shared" si="34"/>
        <v>145.65366187542779</v>
      </c>
      <c r="K53" s="300">
        <f t="shared" si="34"/>
        <v>145.65366187542779</v>
      </c>
      <c r="L53" s="300">
        <f t="shared" si="34"/>
        <v>143.46885694729636</v>
      </c>
      <c r="M53" s="300">
        <f t="shared" si="34"/>
        <v>128.90349075975359</v>
      </c>
      <c r="N53" s="300">
        <f t="shared" si="34"/>
        <v>114.33812457221082</v>
      </c>
      <c r="O53" s="300">
        <f t="shared" si="34"/>
        <v>99.772758384668037</v>
      </c>
      <c r="P53" s="300">
        <f t="shared" si="34"/>
        <v>85.207392197125259</v>
      </c>
      <c r="Q53" s="300">
        <f t="shared" si="34"/>
        <v>69.913757700205338</v>
      </c>
      <c r="R53" s="300">
        <f t="shared" si="34"/>
        <v>53.891854893908281</v>
      </c>
      <c r="S53" s="300">
        <f t="shared" si="34"/>
        <v>37.869952087611225</v>
      </c>
      <c r="T53" s="300">
        <f t="shared" si="34"/>
        <v>24.761122518822724</v>
      </c>
      <c r="U53" s="300">
        <f t="shared" si="34"/>
        <v>11.652292950034223</v>
      </c>
      <c r="W53" s="972"/>
      <c r="X53" s="972"/>
    </row>
    <row r="54" spans="1:24" ht="13.5">
      <c r="A54" s="979" t="s">
        <v>179</v>
      </c>
      <c r="B54" s="273">
        <f>'ENA_Summary Output'!D20</f>
        <v>475000</v>
      </c>
      <c r="C54" s="24">
        <f>C52</f>
        <v>475000</v>
      </c>
      <c r="D54" s="24">
        <f t="shared" ref="D54:U54" si="35">D52</f>
        <v>475000</v>
      </c>
      <c r="E54" s="24">
        <f t="shared" si="35"/>
        <v>475000</v>
      </c>
      <c r="F54" s="24">
        <f t="shared" si="35"/>
        <v>475000</v>
      </c>
      <c r="G54" s="24">
        <f t="shared" si="35"/>
        <v>475000</v>
      </c>
      <c r="H54" s="24">
        <f t="shared" si="35"/>
        <v>475000</v>
      </c>
      <c r="I54" s="24">
        <f t="shared" si="35"/>
        <v>475000</v>
      </c>
      <c r="J54" s="24">
        <f t="shared" si="35"/>
        <v>475000</v>
      </c>
      <c r="K54" s="24">
        <f t="shared" si="35"/>
        <v>475000</v>
      </c>
      <c r="L54" s="24">
        <f t="shared" si="35"/>
        <v>467875</v>
      </c>
      <c r="M54" s="24">
        <f t="shared" si="35"/>
        <v>420375</v>
      </c>
      <c r="N54" s="24">
        <f t="shared" si="35"/>
        <v>372875</v>
      </c>
      <c r="O54" s="24">
        <f t="shared" si="35"/>
        <v>325375</v>
      </c>
      <c r="P54" s="24">
        <f t="shared" si="35"/>
        <v>277875</v>
      </c>
      <c r="Q54" s="24">
        <f t="shared" si="35"/>
        <v>228000</v>
      </c>
      <c r="R54" s="24">
        <f t="shared" si="35"/>
        <v>175750</v>
      </c>
      <c r="S54" s="24">
        <f t="shared" si="35"/>
        <v>123500</v>
      </c>
      <c r="T54" s="24">
        <f t="shared" si="35"/>
        <v>80750</v>
      </c>
      <c r="U54" s="24">
        <f t="shared" si="35"/>
        <v>38000</v>
      </c>
      <c r="W54" s="974">
        <f>SUM(B59:U59,B66:U66)</f>
        <v>475000.00000000006</v>
      </c>
      <c r="X54" s="975">
        <f>B54-W54</f>
        <v>0</v>
      </c>
    </row>
    <row r="55" spans="1:24">
      <c r="B55" s="976"/>
      <c r="C55" s="96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W55" s="972"/>
      <c r="X55" s="972"/>
    </row>
    <row r="56" spans="1:24">
      <c r="A56" s="969"/>
      <c r="B56" s="970">
        <v>37072</v>
      </c>
      <c r="C56" s="970">
        <v>37437</v>
      </c>
      <c r="D56" s="970">
        <v>37802</v>
      </c>
      <c r="E56" s="970">
        <v>38168</v>
      </c>
      <c r="F56" s="970">
        <v>38533</v>
      </c>
      <c r="G56" s="970">
        <v>38898</v>
      </c>
      <c r="H56" s="970">
        <v>39263</v>
      </c>
      <c r="I56" s="970">
        <v>39629</v>
      </c>
      <c r="J56" s="970">
        <v>39994</v>
      </c>
      <c r="K56" s="970">
        <v>40359</v>
      </c>
      <c r="L56" s="970">
        <v>40724</v>
      </c>
      <c r="M56" s="970">
        <v>41090</v>
      </c>
      <c r="N56" s="970">
        <v>41455</v>
      </c>
      <c r="O56" s="970">
        <v>41820</v>
      </c>
      <c r="P56" s="970">
        <v>42185</v>
      </c>
      <c r="Q56" s="970">
        <v>42551</v>
      </c>
      <c r="R56" s="970">
        <v>42916</v>
      </c>
      <c r="S56" s="970">
        <v>43281</v>
      </c>
      <c r="T56" s="970">
        <v>43646</v>
      </c>
      <c r="U56" s="970">
        <v>44012</v>
      </c>
      <c r="W56" s="972"/>
      <c r="X56" s="972"/>
    </row>
    <row r="57" spans="1:24">
      <c r="A57" s="979" t="s">
        <v>178</v>
      </c>
      <c r="B57" s="20">
        <f>B54</f>
        <v>475000</v>
      </c>
      <c r="C57" s="20">
        <f>C54</f>
        <v>475000</v>
      </c>
      <c r="D57" s="20">
        <f t="shared" ref="D57:U57" si="36">D54</f>
        <v>475000</v>
      </c>
      <c r="E57" s="20">
        <f t="shared" si="36"/>
        <v>475000</v>
      </c>
      <c r="F57" s="20">
        <f t="shared" si="36"/>
        <v>475000</v>
      </c>
      <c r="G57" s="20">
        <f t="shared" si="36"/>
        <v>475000</v>
      </c>
      <c r="H57" s="20">
        <f t="shared" si="36"/>
        <v>475000</v>
      </c>
      <c r="I57" s="20">
        <f t="shared" si="36"/>
        <v>475000</v>
      </c>
      <c r="J57" s="20">
        <f t="shared" si="36"/>
        <v>475000</v>
      </c>
      <c r="K57" s="20">
        <f t="shared" si="36"/>
        <v>475000</v>
      </c>
      <c r="L57" s="20">
        <f t="shared" si="36"/>
        <v>467875</v>
      </c>
      <c r="M57" s="20">
        <f t="shared" si="36"/>
        <v>420375</v>
      </c>
      <c r="N57" s="20">
        <f t="shared" si="36"/>
        <v>372875</v>
      </c>
      <c r="O57" s="20">
        <f t="shared" si="36"/>
        <v>325375</v>
      </c>
      <c r="P57" s="20">
        <f t="shared" si="36"/>
        <v>277875</v>
      </c>
      <c r="Q57" s="20">
        <f t="shared" si="36"/>
        <v>228000</v>
      </c>
      <c r="R57" s="20">
        <f t="shared" si="36"/>
        <v>175750</v>
      </c>
      <c r="S57" s="20">
        <f t="shared" si="36"/>
        <v>123500</v>
      </c>
      <c r="T57" s="20">
        <f t="shared" si="36"/>
        <v>80750</v>
      </c>
      <c r="U57" s="20">
        <f t="shared" si="36"/>
        <v>38000</v>
      </c>
      <c r="W57" s="972"/>
      <c r="X57" s="972"/>
    </row>
    <row r="58" spans="1:24">
      <c r="A58" s="729" t="s">
        <v>467</v>
      </c>
      <c r="B58" s="757">
        <v>0</v>
      </c>
      <c r="C58" s="757">
        <v>0</v>
      </c>
      <c r="D58" s="757">
        <v>0</v>
      </c>
      <c r="E58" s="757">
        <v>0</v>
      </c>
      <c r="F58" s="757">
        <v>0</v>
      </c>
      <c r="G58" s="757">
        <v>0</v>
      </c>
      <c r="H58" s="757">
        <v>0</v>
      </c>
      <c r="I58" s="757">
        <v>0</v>
      </c>
      <c r="J58" s="757">
        <v>0</v>
      </c>
      <c r="K58" s="757">
        <v>0</v>
      </c>
      <c r="L58" s="757">
        <v>0.05</v>
      </c>
      <c r="M58" s="757">
        <v>0.05</v>
      </c>
      <c r="N58" s="757">
        <v>0.05</v>
      </c>
      <c r="O58" s="757">
        <v>0.05</v>
      </c>
      <c r="P58" s="757">
        <v>5.2499999999999998E-2</v>
      </c>
      <c r="Q58" s="757">
        <v>5.5E-2</v>
      </c>
      <c r="R58" s="757">
        <v>5.5E-2</v>
      </c>
      <c r="S58" s="757">
        <v>4.4999999999999998E-2</v>
      </c>
      <c r="T58" s="757">
        <v>4.4999999999999998E-2</v>
      </c>
      <c r="U58" s="757">
        <v>4.4999999999999998E-2</v>
      </c>
      <c r="W58" s="972"/>
      <c r="X58" s="972"/>
    </row>
    <row r="59" spans="1:24">
      <c r="A59" s="979" t="s">
        <v>468</v>
      </c>
      <c r="B59" s="20">
        <f>$B$54*B58</f>
        <v>0</v>
      </c>
      <c r="C59" s="20">
        <f t="shared" ref="C59:U59" si="37">$B$54*C58</f>
        <v>0</v>
      </c>
      <c r="D59" s="20">
        <f t="shared" si="37"/>
        <v>0</v>
      </c>
      <c r="E59" s="20">
        <f t="shared" si="37"/>
        <v>0</v>
      </c>
      <c r="F59" s="20">
        <f t="shared" si="37"/>
        <v>0</v>
      </c>
      <c r="G59" s="20">
        <f t="shared" si="37"/>
        <v>0</v>
      </c>
      <c r="H59" s="20">
        <f t="shared" si="37"/>
        <v>0</v>
      </c>
      <c r="I59" s="20">
        <f t="shared" si="37"/>
        <v>0</v>
      </c>
      <c r="J59" s="20">
        <f t="shared" si="37"/>
        <v>0</v>
      </c>
      <c r="K59" s="20">
        <f t="shared" si="37"/>
        <v>0</v>
      </c>
      <c r="L59" s="20">
        <f t="shared" si="37"/>
        <v>23750</v>
      </c>
      <c r="M59" s="20">
        <f t="shared" si="37"/>
        <v>23750</v>
      </c>
      <c r="N59" s="20">
        <f t="shared" si="37"/>
        <v>23750</v>
      </c>
      <c r="O59" s="20">
        <f t="shared" si="37"/>
        <v>23750</v>
      </c>
      <c r="P59" s="20">
        <f t="shared" si="37"/>
        <v>24937.5</v>
      </c>
      <c r="Q59" s="20">
        <f t="shared" si="37"/>
        <v>26125</v>
      </c>
      <c r="R59" s="20">
        <f t="shared" si="37"/>
        <v>26125</v>
      </c>
      <c r="S59" s="20">
        <f t="shared" si="37"/>
        <v>21375</v>
      </c>
      <c r="T59" s="20">
        <f t="shared" si="37"/>
        <v>21375</v>
      </c>
      <c r="U59" s="20">
        <f t="shared" si="37"/>
        <v>21375</v>
      </c>
      <c r="W59" s="980"/>
      <c r="X59" s="980"/>
    </row>
    <row r="60" spans="1:24">
      <c r="A60" s="729" t="s">
        <v>466</v>
      </c>
      <c r="B60" s="300">
        <f t="shared" ref="B60:U60" si="38">B57*$O$97*(B56-B51)/365.25</f>
        <v>26217.659137577</v>
      </c>
      <c r="C60" s="300">
        <f t="shared" si="38"/>
        <v>26217.659137577</v>
      </c>
      <c r="D60" s="300">
        <f t="shared" si="38"/>
        <v>26217.659137577</v>
      </c>
      <c r="E60" s="300">
        <f t="shared" si="38"/>
        <v>26363.312799452429</v>
      </c>
      <c r="F60" s="300">
        <f t="shared" si="38"/>
        <v>26217.659137577</v>
      </c>
      <c r="G60" s="300">
        <f t="shared" si="38"/>
        <v>26217.659137577</v>
      </c>
      <c r="H60" s="300">
        <f t="shared" si="38"/>
        <v>26217.659137577</v>
      </c>
      <c r="I60" s="300">
        <f t="shared" si="38"/>
        <v>26363.312799452429</v>
      </c>
      <c r="J60" s="300">
        <f t="shared" si="38"/>
        <v>26217.659137577</v>
      </c>
      <c r="K60" s="300">
        <f t="shared" si="38"/>
        <v>26217.659137577</v>
      </c>
      <c r="L60" s="300">
        <f t="shared" si="38"/>
        <v>25824.394250513345</v>
      </c>
      <c r="M60" s="300">
        <f t="shared" si="38"/>
        <v>23331.531827515399</v>
      </c>
      <c r="N60" s="300">
        <f t="shared" si="38"/>
        <v>20580.862422997947</v>
      </c>
      <c r="O60" s="300">
        <f t="shared" si="38"/>
        <v>17959.096509240248</v>
      </c>
      <c r="P60" s="300">
        <f t="shared" si="38"/>
        <v>15337.330595482546</v>
      </c>
      <c r="Q60" s="300">
        <f t="shared" si="38"/>
        <v>12654.390143737166</v>
      </c>
      <c r="R60" s="300">
        <f t="shared" si="38"/>
        <v>9700.5338809034911</v>
      </c>
      <c r="S60" s="300">
        <f t="shared" si="38"/>
        <v>6816.5913757700209</v>
      </c>
      <c r="T60" s="300">
        <f t="shared" si="38"/>
        <v>4457.0020533880906</v>
      </c>
      <c r="U60" s="300">
        <f t="shared" si="38"/>
        <v>2109.0650239561942</v>
      </c>
      <c r="W60" s="980"/>
      <c r="X60" s="980"/>
    </row>
    <row r="61" spans="1:24">
      <c r="A61" s="729" t="s">
        <v>179</v>
      </c>
      <c r="B61" s="24">
        <f>B57-B59</f>
        <v>475000</v>
      </c>
      <c r="C61" s="24">
        <f t="shared" ref="C61:U61" si="39">C57-C59</f>
        <v>475000</v>
      </c>
      <c r="D61" s="24">
        <f t="shared" si="39"/>
        <v>475000</v>
      </c>
      <c r="E61" s="24">
        <f t="shared" si="39"/>
        <v>475000</v>
      </c>
      <c r="F61" s="24">
        <f t="shared" si="39"/>
        <v>475000</v>
      </c>
      <c r="G61" s="24">
        <f t="shared" si="39"/>
        <v>475000</v>
      </c>
      <c r="H61" s="24">
        <f t="shared" si="39"/>
        <v>475000</v>
      </c>
      <c r="I61" s="24">
        <f t="shared" si="39"/>
        <v>475000</v>
      </c>
      <c r="J61" s="24">
        <f t="shared" si="39"/>
        <v>475000</v>
      </c>
      <c r="K61" s="24">
        <f t="shared" si="39"/>
        <v>475000</v>
      </c>
      <c r="L61" s="24">
        <f t="shared" si="39"/>
        <v>444125</v>
      </c>
      <c r="M61" s="24">
        <f t="shared" si="39"/>
        <v>396625</v>
      </c>
      <c r="N61" s="24">
        <f t="shared" si="39"/>
        <v>349125</v>
      </c>
      <c r="O61" s="24">
        <f t="shared" si="39"/>
        <v>301625</v>
      </c>
      <c r="P61" s="24">
        <f t="shared" si="39"/>
        <v>252937.5</v>
      </c>
      <c r="Q61" s="24">
        <f t="shared" si="39"/>
        <v>201875</v>
      </c>
      <c r="R61" s="24">
        <f t="shared" si="39"/>
        <v>149625</v>
      </c>
      <c r="S61" s="24">
        <f t="shared" si="39"/>
        <v>102125</v>
      </c>
      <c r="T61" s="24">
        <f t="shared" si="39"/>
        <v>59375</v>
      </c>
      <c r="U61" s="24">
        <f t="shared" si="39"/>
        <v>16625</v>
      </c>
      <c r="W61" s="980"/>
      <c r="X61" s="980"/>
    </row>
    <row r="62" spans="1:24">
      <c r="A62" s="729"/>
      <c r="B62" s="978"/>
      <c r="C62" s="978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W62" s="980"/>
      <c r="X62" s="980"/>
    </row>
    <row r="63" spans="1:24">
      <c r="A63" s="275"/>
      <c r="B63" s="970">
        <v>37256</v>
      </c>
      <c r="C63" s="970">
        <v>37621</v>
      </c>
      <c r="D63" s="970">
        <v>37986</v>
      </c>
      <c r="E63" s="970">
        <v>38352</v>
      </c>
      <c r="F63" s="970">
        <v>38717</v>
      </c>
      <c r="G63" s="970">
        <v>39082</v>
      </c>
      <c r="H63" s="970">
        <v>39447</v>
      </c>
      <c r="I63" s="970">
        <v>39813</v>
      </c>
      <c r="J63" s="970">
        <v>40178</v>
      </c>
      <c r="K63" s="970">
        <v>40543</v>
      </c>
      <c r="L63" s="970">
        <v>40908</v>
      </c>
      <c r="M63" s="970">
        <v>41274</v>
      </c>
      <c r="N63" s="970">
        <v>41639</v>
      </c>
      <c r="O63" s="970">
        <v>42004</v>
      </c>
      <c r="P63" s="970">
        <v>42369</v>
      </c>
      <c r="Q63" s="970">
        <v>42735</v>
      </c>
      <c r="R63" s="970">
        <v>43100</v>
      </c>
      <c r="S63" s="970">
        <v>43465</v>
      </c>
      <c r="T63" s="970">
        <v>43830</v>
      </c>
      <c r="U63" s="970">
        <v>44196</v>
      </c>
      <c r="W63" s="980"/>
      <c r="X63" s="980"/>
    </row>
    <row r="64" spans="1:24">
      <c r="A64" s="729" t="s">
        <v>178</v>
      </c>
      <c r="B64" s="20">
        <f>B61</f>
        <v>475000</v>
      </c>
      <c r="C64" s="20">
        <f t="shared" ref="C64:U64" si="40">C61</f>
        <v>475000</v>
      </c>
      <c r="D64" s="20">
        <f t="shared" si="40"/>
        <v>475000</v>
      </c>
      <c r="E64" s="20">
        <f t="shared" si="40"/>
        <v>475000</v>
      </c>
      <c r="F64" s="20">
        <f t="shared" si="40"/>
        <v>475000</v>
      </c>
      <c r="G64" s="20">
        <f t="shared" si="40"/>
        <v>475000</v>
      </c>
      <c r="H64" s="20">
        <f t="shared" si="40"/>
        <v>475000</v>
      </c>
      <c r="I64" s="20">
        <f t="shared" si="40"/>
        <v>475000</v>
      </c>
      <c r="J64" s="20">
        <f t="shared" si="40"/>
        <v>475000</v>
      </c>
      <c r="K64" s="20">
        <f t="shared" si="40"/>
        <v>475000</v>
      </c>
      <c r="L64" s="20">
        <f t="shared" si="40"/>
        <v>444125</v>
      </c>
      <c r="M64" s="20">
        <f t="shared" si="40"/>
        <v>396625</v>
      </c>
      <c r="N64" s="20">
        <f t="shared" si="40"/>
        <v>349125</v>
      </c>
      <c r="O64" s="20">
        <f t="shared" si="40"/>
        <v>301625</v>
      </c>
      <c r="P64" s="20">
        <f t="shared" si="40"/>
        <v>252937.5</v>
      </c>
      <c r="Q64" s="20">
        <f t="shared" si="40"/>
        <v>201875</v>
      </c>
      <c r="R64" s="20">
        <f t="shared" si="40"/>
        <v>149625</v>
      </c>
      <c r="S64" s="20">
        <f t="shared" si="40"/>
        <v>102125</v>
      </c>
      <c r="T64" s="20">
        <f t="shared" si="40"/>
        <v>59375</v>
      </c>
      <c r="U64" s="20">
        <f t="shared" si="40"/>
        <v>16625</v>
      </c>
      <c r="W64" s="980"/>
      <c r="X64" s="980"/>
    </row>
    <row r="65" spans="1:26">
      <c r="A65" s="729" t="s">
        <v>467</v>
      </c>
      <c r="B65" s="757">
        <v>0</v>
      </c>
      <c r="C65" s="757">
        <v>0</v>
      </c>
      <c r="D65" s="757">
        <v>0</v>
      </c>
      <c r="E65" s="757">
        <v>0</v>
      </c>
      <c r="F65" s="757">
        <v>0</v>
      </c>
      <c r="G65" s="757">
        <v>0</v>
      </c>
      <c r="H65" s="757">
        <v>0</v>
      </c>
      <c r="I65" s="757">
        <v>0</v>
      </c>
      <c r="J65" s="757">
        <v>0</v>
      </c>
      <c r="K65" s="757">
        <v>1.4999999999999999E-2</v>
      </c>
      <c r="L65" s="757">
        <v>0.05</v>
      </c>
      <c r="M65" s="757">
        <v>0.05</v>
      </c>
      <c r="N65" s="757">
        <v>0.05</v>
      </c>
      <c r="O65" s="757">
        <v>0.05</v>
      </c>
      <c r="P65" s="757">
        <v>5.2499999999999998E-2</v>
      </c>
      <c r="Q65" s="757">
        <v>5.5E-2</v>
      </c>
      <c r="R65" s="757">
        <v>5.5E-2</v>
      </c>
      <c r="S65" s="757">
        <v>4.4999999999999998E-2</v>
      </c>
      <c r="T65" s="757">
        <v>4.4999999999999998E-2</v>
      </c>
      <c r="U65" s="757">
        <v>3.5000000000000087E-2</v>
      </c>
      <c r="W65" s="972"/>
      <c r="X65" s="972"/>
    </row>
    <row r="66" spans="1:26">
      <c r="A66" s="979" t="s">
        <v>468</v>
      </c>
      <c r="B66" s="20">
        <f>B65*$B$54</f>
        <v>0</v>
      </c>
      <c r="C66" s="20">
        <f t="shared" ref="C66:U66" si="41">C65*$B$54</f>
        <v>0</v>
      </c>
      <c r="D66" s="20">
        <f t="shared" si="41"/>
        <v>0</v>
      </c>
      <c r="E66" s="20">
        <f t="shared" si="41"/>
        <v>0</v>
      </c>
      <c r="F66" s="20">
        <f t="shared" si="41"/>
        <v>0</v>
      </c>
      <c r="G66" s="20">
        <f t="shared" si="41"/>
        <v>0</v>
      </c>
      <c r="H66" s="20">
        <f t="shared" si="41"/>
        <v>0</v>
      </c>
      <c r="I66" s="20">
        <f t="shared" si="41"/>
        <v>0</v>
      </c>
      <c r="J66" s="20">
        <f t="shared" si="41"/>
        <v>0</v>
      </c>
      <c r="K66" s="20">
        <f t="shared" si="41"/>
        <v>7125</v>
      </c>
      <c r="L66" s="20">
        <f t="shared" si="41"/>
        <v>23750</v>
      </c>
      <c r="M66" s="20">
        <f t="shared" si="41"/>
        <v>23750</v>
      </c>
      <c r="N66" s="20">
        <f t="shared" si="41"/>
        <v>23750</v>
      </c>
      <c r="O66" s="20">
        <f t="shared" si="41"/>
        <v>23750</v>
      </c>
      <c r="P66" s="20">
        <f t="shared" si="41"/>
        <v>24937.5</v>
      </c>
      <c r="Q66" s="20">
        <f t="shared" si="41"/>
        <v>26125</v>
      </c>
      <c r="R66" s="20">
        <f t="shared" si="41"/>
        <v>26125</v>
      </c>
      <c r="S66" s="20">
        <f t="shared" si="41"/>
        <v>21375</v>
      </c>
      <c r="T66" s="20">
        <f t="shared" si="41"/>
        <v>21375</v>
      </c>
      <c r="U66" s="20">
        <f t="shared" si="41"/>
        <v>16625.00000000004</v>
      </c>
      <c r="W66" s="980"/>
      <c r="X66" s="980"/>
    </row>
    <row r="67" spans="1:26">
      <c r="A67" s="729" t="s">
        <v>466</v>
      </c>
      <c r="B67" s="300">
        <f>B64*$O$97*(B63-B56)/365.25</f>
        <v>26800.273785078713</v>
      </c>
      <c r="C67" s="300">
        <f t="shared" ref="C67:U67" si="42">C64*$O$97*(C63-C56)/365.25</f>
        <v>26800.273785078713</v>
      </c>
      <c r="D67" s="300">
        <f t="shared" si="42"/>
        <v>26800.273785078713</v>
      </c>
      <c r="E67" s="300">
        <f t="shared" si="42"/>
        <v>26800.273785078713</v>
      </c>
      <c r="F67" s="300">
        <f t="shared" si="42"/>
        <v>26800.273785078713</v>
      </c>
      <c r="G67" s="300">
        <f t="shared" si="42"/>
        <v>26800.273785078713</v>
      </c>
      <c r="H67" s="300">
        <f t="shared" si="42"/>
        <v>26800.273785078713</v>
      </c>
      <c r="I67" s="300">
        <f t="shared" si="42"/>
        <v>26800.273785078713</v>
      </c>
      <c r="J67" s="300">
        <f t="shared" si="42"/>
        <v>26800.273785078713</v>
      </c>
      <c r="K67" s="300">
        <f t="shared" si="42"/>
        <v>26800.273785078713</v>
      </c>
      <c r="L67" s="300">
        <f t="shared" si="42"/>
        <v>25058.255989048597</v>
      </c>
      <c r="M67" s="300">
        <f t="shared" si="42"/>
        <v>22378.228610540726</v>
      </c>
      <c r="N67" s="300">
        <f t="shared" si="42"/>
        <v>19698.201232032854</v>
      </c>
      <c r="O67" s="300">
        <f t="shared" si="42"/>
        <v>17018.173853524982</v>
      </c>
      <c r="P67" s="300">
        <f t="shared" si="42"/>
        <v>14271.145790554414</v>
      </c>
      <c r="Q67" s="300">
        <f t="shared" si="42"/>
        <v>11390.116358658453</v>
      </c>
      <c r="R67" s="300">
        <f t="shared" si="42"/>
        <v>8442.0862422997943</v>
      </c>
      <c r="S67" s="300">
        <f t="shared" si="42"/>
        <v>5762.0588637919236</v>
      </c>
      <c r="T67" s="300">
        <f t="shared" si="42"/>
        <v>3350.0342231348391</v>
      </c>
      <c r="U67" s="300">
        <f t="shared" si="42"/>
        <v>938.00958247775498</v>
      </c>
      <c r="W67" s="980"/>
      <c r="X67" s="980"/>
    </row>
    <row r="68" spans="1:26">
      <c r="A68" s="729" t="s">
        <v>179</v>
      </c>
      <c r="B68" s="24">
        <f>B64-B66</f>
        <v>475000</v>
      </c>
      <c r="C68" s="24">
        <f t="shared" ref="C68:U68" si="43">C64-C66</f>
        <v>475000</v>
      </c>
      <c r="D68" s="24">
        <f t="shared" si="43"/>
        <v>475000</v>
      </c>
      <c r="E68" s="24">
        <f t="shared" si="43"/>
        <v>475000</v>
      </c>
      <c r="F68" s="24">
        <f t="shared" si="43"/>
        <v>475000</v>
      </c>
      <c r="G68" s="24">
        <f t="shared" si="43"/>
        <v>475000</v>
      </c>
      <c r="H68" s="24">
        <f t="shared" si="43"/>
        <v>475000</v>
      </c>
      <c r="I68" s="24">
        <f t="shared" si="43"/>
        <v>475000</v>
      </c>
      <c r="J68" s="24">
        <f t="shared" si="43"/>
        <v>475000</v>
      </c>
      <c r="K68" s="24">
        <f t="shared" si="43"/>
        <v>467875</v>
      </c>
      <c r="L68" s="24">
        <f t="shared" si="43"/>
        <v>420375</v>
      </c>
      <c r="M68" s="24">
        <f t="shared" si="43"/>
        <v>372875</v>
      </c>
      <c r="N68" s="24">
        <f t="shared" si="43"/>
        <v>325375</v>
      </c>
      <c r="O68" s="24">
        <f t="shared" si="43"/>
        <v>277875</v>
      </c>
      <c r="P68" s="24">
        <f t="shared" si="43"/>
        <v>228000</v>
      </c>
      <c r="Q68" s="24">
        <f t="shared" si="43"/>
        <v>175750</v>
      </c>
      <c r="R68" s="24">
        <f t="shared" si="43"/>
        <v>123500</v>
      </c>
      <c r="S68" s="24">
        <f t="shared" si="43"/>
        <v>80750</v>
      </c>
      <c r="T68" s="24">
        <f t="shared" si="43"/>
        <v>38000</v>
      </c>
      <c r="U68" s="24">
        <f t="shared" si="43"/>
        <v>-4.0017766878008842E-11</v>
      </c>
      <c r="W68" s="980"/>
      <c r="X68" s="980"/>
    </row>
    <row r="69" spans="1:26">
      <c r="A69" s="729"/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</row>
    <row r="70" spans="1:26">
      <c r="A70" s="981" t="s">
        <v>302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76"/>
      <c r="T70" s="976"/>
      <c r="U70" s="976"/>
      <c r="V70" s="982"/>
      <c r="W70" s="982"/>
      <c r="X70" s="982"/>
      <c r="Y70" s="982"/>
      <c r="Z70" s="982"/>
    </row>
    <row r="71" spans="1:26">
      <c r="A71" s="981"/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76"/>
      <c r="T71" s="976"/>
      <c r="U71" s="976"/>
      <c r="V71" s="982"/>
      <c r="W71" s="982"/>
      <c r="X71" s="982"/>
      <c r="Y71" s="982"/>
      <c r="Z71" s="982"/>
    </row>
    <row r="72" spans="1:26">
      <c r="A72" s="729" t="s">
        <v>178</v>
      </c>
      <c r="B72" s="978">
        <f>B54+B34+B14</f>
        <v>735000</v>
      </c>
      <c r="C72" s="978">
        <f>C52+C32+C12</f>
        <v>719500</v>
      </c>
      <c r="D72" s="978">
        <f t="shared" ref="D72:U72" si="44">D52+D32+D12</f>
        <v>702875</v>
      </c>
      <c r="E72" s="978">
        <f t="shared" si="44"/>
        <v>685000</v>
      </c>
      <c r="F72" s="978">
        <f t="shared" si="44"/>
        <v>667150</v>
      </c>
      <c r="G72" s="978">
        <f t="shared" si="44"/>
        <v>642580</v>
      </c>
      <c r="H72" s="978">
        <f t="shared" si="44"/>
        <v>614650</v>
      </c>
      <c r="I72" s="978">
        <f t="shared" si="44"/>
        <v>584200</v>
      </c>
      <c r="J72" s="978">
        <f t="shared" si="44"/>
        <v>549550</v>
      </c>
      <c r="K72" s="978">
        <f t="shared" si="44"/>
        <v>511540</v>
      </c>
      <c r="L72" s="978">
        <f t="shared" si="44"/>
        <v>467875</v>
      </c>
      <c r="M72" s="978">
        <f t="shared" si="44"/>
        <v>420375</v>
      </c>
      <c r="N72" s="978">
        <f t="shared" si="44"/>
        <v>372875</v>
      </c>
      <c r="O72" s="978">
        <f t="shared" si="44"/>
        <v>325375</v>
      </c>
      <c r="P72" s="978">
        <f t="shared" si="44"/>
        <v>277875</v>
      </c>
      <c r="Q72" s="978">
        <f t="shared" si="44"/>
        <v>228000</v>
      </c>
      <c r="R72" s="978">
        <f t="shared" si="44"/>
        <v>175750</v>
      </c>
      <c r="S72" s="978">
        <f t="shared" si="44"/>
        <v>123500</v>
      </c>
      <c r="T72" s="978">
        <f t="shared" si="44"/>
        <v>80750</v>
      </c>
      <c r="U72" s="978">
        <f t="shared" si="44"/>
        <v>38000</v>
      </c>
      <c r="V72" s="982"/>
      <c r="W72" s="982"/>
      <c r="X72" s="982"/>
      <c r="Y72" s="982"/>
      <c r="Z72" s="982"/>
    </row>
    <row r="73" spans="1:26">
      <c r="A73" s="729" t="s">
        <v>179</v>
      </c>
      <c r="B73" s="978">
        <f t="shared" ref="B73:U73" si="45">B68+B48+B28</f>
        <v>719500</v>
      </c>
      <c r="C73" s="978">
        <f t="shared" si="45"/>
        <v>702875</v>
      </c>
      <c r="D73" s="978">
        <f t="shared" si="45"/>
        <v>685000</v>
      </c>
      <c r="E73" s="978">
        <f t="shared" si="45"/>
        <v>667150</v>
      </c>
      <c r="F73" s="978">
        <f t="shared" si="45"/>
        <v>642580</v>
      </c>
      <c r="G73" s="978">
        <f t="shared" si="45"/>
        <v>614650</v>
      </c>
      <c r="H73" s="978">
        <f t="shared" si="45"/>
        <v>584200</v>
      </c>
      <c r="I73" s="978">
        <f t="shared" si="45"/>
        <v>549550</v>
      </c>
      <c r="J73" s="978">
        <f t="shared" si="45"/>
        <v>511540</v>
      </c>
      <c r="K73" s="978">
        <f t="shared" si="45"/>
        <v>467875</v>
      </c>
      <c r="L73" s="978">
        <f t="shared" si="45"/>
        <v>420375</v>
      </c>
      <c r="M73" s="978">
        <f t="shared" si="45"/>
        <v>372875</v>
      </c>
      <c r="N73" s="978">
        <f t="shared" si="45"/>
        <v>325375</v>
      </c>
      <c r="O73" s="978">
        <f t="shared" si="45"/>
        <v>277875</v>
      </c>
      <c r="P73" s="978">
        <f t="shared" si="45"/>
        <v>228000</v>
      </c>
      <c r="Q73" s="978">
        <f t="shared" si="45"/>
        <v>175750</v>
      </c>
      <c r="R73" s="978">
        <f t="shared" si="45"/>
        <v>123500</v>
      </c>
      <c r="S73" s="978">
        <f t="shared" si="45"/>
        <v>80750</v>
      </c>
      <c r="T73" s="978">
        <f t="shared" si="45"/>
        <v>38000</v>
      </c>
      <c r="U73" s="978">
        <f t="shared" si="45"/>
        <v>-4.0017766878008842E-11</v>
      </c>
      <c r="V73" s="982"/>
      <c r="W73" s="982"/>
      <c r="X73" s="982"/>
      <c r="Y73" s="982"/>
      <c r="Z73" s="982"/>
    </row>
    <row r="74" spans="1:26">
      <c r="A74" s="729"/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82"/>
      <c r="W74" s="982"/>
      <c r="X74" s="982"/>
      <c r="Y74" s="982"/>
      <c r="Z74" s="982"/>
    </row>
    <row r="75" spans="1:26">
      <c r="A75" s="729" t="s">
        <v>469</v>
      </c>
      <c r="B75" s="978">
        <f t="shared" ref="B75:U75" si="46">SUM(B66,B59,B46,B39,B26,B19)</f>
        <v>15500</v>
      </c>
      <c r="C75" s="978">
        <f t="shared" si="46"/>
        <v>16625</v>
      </c>
      <c r="D75" s="978">
        <f t="shared" si="46"/>
        <v>17875</v>
      </c>
      <c r="E75" s="978">
        <f t="shared" si="46"/>
        <v>17850</v>
      </c>
      <c r="F75" s="978">
        <f t="shared" si="46"/>
        <v>24570</v>
      </c>
      <c r="G75" s="978">
        <f t="shared" si="46"/>
        <v>27930</v>
      </c>
      <c r="H75" s="978">
        <f t="shared" si="46"/>
        <v>30449.999999999996</v>
      </c>
      <c r="I75" s="978">
        <f t="shared" si="46"/>
        <v>34650</v>
      </c>
      <c r="J75" s="978">
        <f t="shared" si="46"/>
        <v>38010</v>
      </c>
      <c r="K75" s="978">
        <f t="shared" si="46"/>
        <v>43664.999999999985</v>
      </c>
      <c r="L75" s="978">
        <f t="shared" si="46"/>
        <v>47500</v>
      </c>
      <c r="M75" s="978">
        <f t="shared" si="46"/>
        <v>47500</v>
      </c>
      <c r="N75" s="978">
        <f t="shared" si="46"/>
        <v>47500</v>
      </c>
      <c r="O75" s="978">
        <f t="shared" si="46"/>
        <v>47500</v>
      </c>
      <c r="P75" s="978">
        <f t="shared" si="46"/>
        <v>49875</v>
      </c>
      <c r="Q75" s="978">
        <f t="shared" si="46"/>
        <v>52250</v>
      </c>
      <c r="R75" s="978">
        <f t="shared" si="46"/>
        <v>52250</v>
      </c>
      <c r="S75" s="978">
        <f t="shared" si="46"/>
        <v>42750</v>
      </c>
      <c r="T75" s="978">
        <f t="shared" si="46"/>
        <v>42750</v>
      </c>
      <c r="U75" s="978">
        <f t="shared" si="46"/>
        <v>38000.000000000044</v>
      </c>
      <c r="V75" s="982"/>
      <c r="W75" s="982"/>
      <c r="X75" s="982"/>
      <c r="Y75" s="982"/>
      <c r="Z75" s="982"/>
    </row>
    <row r="76" spans="1:26">
      <c r="A76" s="983" t="s">
        <v>26</v>
      </c>
      <c r="B76" s="984">
        <f t="shared" ref="B76:U76" si="47">SUM(B13,B20,B33,B40,B53,B60,B67,B47,B27)</f>
        <v>80195.063655030797</v>
      </c>
      <c r="C76" s="984">
        <f t="shared" si="47"/>
        <v>78991.765229295008</v>
      </c>
      <c r="D76" s="984">
        <f t="shared" si="47"/>
        <v>77294.472108145099</v>
      </c>
      <c r="E76" s="984">
        <f t="shared" si="47"/>
        <v>75962.102669404514</v>
      </c>
      <c r="F76" s="984">
        <f t="shared" si="47"/>
        <v>73604.857221081445</v>
      </c>
      <c r="G76" s="984">
        <f t="shared" si="47"/>
        <v>70810.911430527034</v>
      </c>
      <c r="H76" s="984">
        <f t="shared" si="47"/>
        <v>67670.892539356602</v>
      </c>
      <c r="I76" s="984">
        <f t="shared" si="47"/>
        <v>64385.856262833673</v>
      </c>
      <c r="J76" s="984">
        <f t="shared" si="47"/>
        <v>60305.328678986996</v>
      </c>
      <c r="K76" s="984">
        <f t="shared" si="47"/>
        <v>55783.800136892532</v>
      </c>
      <c r="L76" s="984">
        <f t="shared" si="47"/>
        <v>51026.119096509239</v>
      </c>
      <c r="M76" s="984">
        <f t="shared" si="47"/>
        <v>45838.663928815877</v>
      </c>
      <c r="N76" s="984">
        <f t="shared" si="47"/>
        <v>40393.401779603009</v>
      </c>
      <c r="O76" s="984">
        <f t="shared" si="47"/>
        <v>35077.043121149894</v>
      </c>
      <c r="P76" s="984">
        <f t="shared" si="47"/>
        <v>29693.683778234088</v>
      </c>
      <c r="Q76" s="984">
        <f t="shared" si="47"/>
        <v>24114.420260095823</v>
      </c>
      <c r="R76" s="984">
        <f t="shared" si="47"/>
        <v>18196.511978097195</v>
      </c>
      <c r="S76" s="984">
        <f t="shared" si="47"/>
        <v>12616.520191649557</v>
      </c>
      <c r="T76" s="984">
        <f t="shared" si="47"/>
        <v>7831.7973990417522</v>
      </c>
      <c r="U76" s="984">
        <f t="shared" si="47"/>
        <v>3058.7268993839834</v>
      </c>
      <c r="V76" s="982"/>
      <c r="W76" s="982"/>
      <c r="X76" s="982"/>
      <c r="Y76" s="982"/>
      <c r="Z76" s="982"/>
    </row>
    <row r="77" spans="1:26">
      <c r="A77" s="982" t="s">
        <v>470</v>
      </c>
      <c r="B77" s="982">
        <f t="shared" ref="B77:U77" si="48">SUM(B75:B76)</f>
        <v>95695.063655030797</v>
      </c>
      <c r="C77" s="982">
        <f t="shared" si="48"/>
        <v>95616.765229295008</v>
      </c>
      <c r="D77" s="982">
        <f t="shared" si="48"/>
        <v>95169.472108145099</v>
      </c>
      <c r="E77" s="982">
        <f t="shared" si="48"/>
        <v>93812.102669404514</v>
      </c>
      <c r="F77" s="982">
        <f t="shared" si="48"/>
        <v>98174.857221081445</v>
      </c>
      <c r="G77" s="982">
        <f t="shared" si="48"/>
        <v>98740.911430527034</v>
      </c>
      <c r="H77" s="982">
        <f t="shared" si="48"/>
        <v>98120.892539356602</v>
      </c>
      <c r="I77" s="982">
        <f t="shared" si="48"/>
        <v>99035.856262833666</v>
      </c>
      <c r="J77" s="982">
        <f t="shared" si="48"/>
        <v>98315.328678986989</v>
      </c>
      <c r="K77" s="982">
        <f t="shared" si="48"/>
        <v>99448.800136892518</v>
      </c>
      <c r="L77" s="982">
        <f t="shared" si="48"/>
        <v>98526.119096509239</v>
      </c>
      <c r="M77" s="982">
        <f t="shared" si="48"/>
        <v>93338.663928815877</v>
      </c>
      <c r="N77" s="982">
        <f t="shared" si="48"/>
        <v>87893.401779603009</v>
      </c>
      <c r="O77" s="982">
        <f t="shared" si="48"/>
        <v>82577.043121149894</v>
      </c>
      <c r="P77" s="982">
        <f t="shared" si="48"/>
        <v>79568.683778234088</v>
      </c>
      <c r="Q77" s="982">
        <f t="shared" si="48"/>
        <v>76364.420260095823</v>
      </c>
      <c r="R77" s="982">
        <f t="shared" si="48"/>
        <v>70446.511978097202</v>
      </c>
      <c r="S77" s="982">
        <f t="shared" si="48"/>
        <v>55366.520191649557</v>
      </c>
      <c r="T77" s="982">
        <f t="shared" si="48"/>
        <v>50581.797399041752</v>
      </c>
      <c r="U77" s="982">
        <f t="shared" si="48"/>
        <v>41058.726899384026</v>
      </c>
      <c r="V77" s="982"/>
      <c r="W77" s="982"/>
      <c r="X77" s="982"/>
      <c r="Y77" s="982"/>
      <c r="Z77" s="982"/>
    </row>
    <row r="78" spans="1:26" ht="13.5" thickBot="1">
      <c r="A78" s="982"/>
      <c r="B78" s="982"/>
      <c r="C78" s="982"/>
      <c r="D78" s="982"/>
      <c r="E78" s="982"/>
      <c r="F78" s="982"/>
      <c r="G78" s="982"/>
      <c r="H78" s="982"/>
      <c r="I78" s="982"/>
      <c r="J78" s="982"/>
      <c r="K78" s="982"/>
      <c r="L78" s="982"/>
      <c r="M78" s="982"/>
      <c r="N78" s="982"/>
      <c r="O78" s="982"/>
      <c r="P78" s="982"/>
      <c r="Q78" s="982"/>
      <c r="R78" s="982"/>
      <c r="S78" s="982"/>
      <c r="T78" s="982"/>
      <c r="U78" s="982"/>
      <c r="V78" s="982"/>
      <c r="W78" s="982"/>
      <c r="X78" s="982"/>
      <c r="Y78" s="982"/>
      <c r="Z78" s="982"/>
    </row>
    <row r="79" spans="1:26" ht="13.5" thickBot="1">
      <c r="A79" s="985" t="s">
        <v>471</v>
      </c>
      <c r="B79" s="986">
        <f>IF(B77&gt;0.1,B8/B77," ")</f>
        <v>1.2918538214426669</v>
      </c>
      <c r="C79" s="986">
        <f>IF(C77&gt;0.1,C8/C77," ")</f>
        <v>1.2868053405518789</v>
      </c>
      <c r="D79" s="986">
        <f>IF(D77&gt;0.1,D8/D77," ")</f>
        <v>1.2874803054177366</v>
      </c>
      <c r="E79" s="987">
        <f>IF(E77&gt;0.1,E8/E77," ")</f>
        <v>2.2267734556179191</v>
      </c>
      <c r="F79" s="987">
        <f t="shared" ref="F79:U79" si="49">IF(F77&gt;0.1,F8/F77," ")</f>
        <v>2.239223890283307</v>
      </c>
      <c r="G79" s="987">
        <f t="shared" si="49"/>
        <v>2.2586393611200699</v>
      </c>
      <c r="H79" s="987">
        <f t="shared" si="49"/>
        <v>2.3064068255829504</v>
      </c>
      <c r="I79" s="987">
        <f t="shared" si="49"/>
        <v>2.3193652160059766</v>
      </c>
      <c r="J79" s="987">
        <f t="shared" si="49"/>
        <v>2.3726575790694984</v>
      </c>
      <c r="K79" s="987">
        <f t="shared" si="49"/>
        <v>2.3729657166497398</v>
      </c>
      <c r="L79" s="987">
        <f t="shared" si="49"/>
        <v>2.440065749118848</v>
      </c>
      <c r="M79" s="987">
        <f t="shared" si="49"/>
        <v>2.6258740587031686</v>
      </c>
      <c r="N79" s="987">
        <f t="shared" si="49"/>
        <v>2.8369676647093889</v>
      </c>
      <c r="O79" s="987">
        <f t="shared" si="49"/>
        <v>3.0731585845526084</v>
      </c>
      <c r="P79" s="987">
        <f t="shared" si="49"/>
        <v>3.2396168520219817</v>
      </c>
      <c r="Q79" s="987">
        <f t="shared" si="49"/>
        <v>3.4299761038400325</v>
      </c>
      <c r="R79" s="987">
        <f t="shared" si="49"/>
        <v>3.7692296780744154</v>
      </c>
      <c r="S79" s="987">
        <f t="shared" si="49"/>
        <v>4.8616367030870817</v>
      </c>
      <c r="T79" s="987">
        <f t="shared" si="49"/>
        <v>5.394369671224954</v>
      </c>
      <c r="U79" s="988">
        <f t="shared" si="49"/>
        <v>6.736540646736227</v>
      </c>
      <c r="V79" s="968"/>
      <c r="W79" s="968"/>
      <c r="X79" s="968"/>
      <c r="Y79" s="968"/>
      <c r="Z79" s="968"/>
    </row>
    <row r="80" spans="1:26">
      <c r="A80" s="989"/>
      <c r="B80" s="990"/>
      <c r="C80" s="991"/>
      <c r="D80" s="991"/>
      <c r="E80" s="991"/>
      <c r="F80" s="991"/>
      <c r="G80" s="991"/>
      <c r="H80" s="991"/>
      <c r="I80" s="991"/>
      <c r="J80" s="991"/>
      <c r="K80" s="991"/>
      <c r="L80" s="991"/>
      <c r="M80" s="991"/>
      <c r="N80" s="991"/>
      <c r="O80" s="991"/>
      <c r="P80" s="991"/>
      <c r="Q80" s="991"/>
      <c r="R80" s="991"/>
      <c r="S80" s="991"/>
      <c r="T80" s="991"/>
      <c r="U80" s="991"/>
      <c r="V80" s="968"/>
      <c r="W80" s="968"/>
      <c r="X80" s="968"/>
      <c r="Y80" s="968"/>
      <c r="Z80" s="968"/>
    </row>
    <row r="81" spans="1:26">
      <c r="A81" s="989"/>
      <c r="B81" s="992"/>
      <c r="C81" s="992"/>
      <c r="D81" s="992"/>
      <c r="E81" s="992"/>
      <c r="F81" s="992"/>
      <c r="G81" s="992"/>
      <c r="H81" s="992"/>
      <c r="I81" s="992"/>
      <c r="J81" s="992"/>
      <c r="K81" s="992"/>
      <c r="L81" s="992"/>
      <c r="M81" s="992"/>
      <c r="N81" s="992"/>
      <c r="O81" s="992"/>
      <c r="P81" s="992"/>
      <c r="Q81" s="992"/>
      <c r="R81" s="992"/>
      <c r="S81" s="992"/>
      <c r="T81" s="992"/>
      <c r="U81" s="992"/>
      <c r="V81" s="968"/>
      <c r="W81" s="968"/>
      <c r="X81" s="968"/>
      <c r="Y81" s="968"/>
      <c r="Z81" s="968"/>
    </row>
    <row r="82" spans="1:26">
      <c r="A82" s="989"/>
      <c r="B82" s="1367" t="s">
        <v>394</v>
      </c>
      <c r="C82" s="1368"/>
      <c r="D82" s="1368"/>
      <c r="E82" s="1368"/>
      <c r="F82" s="1368"/>
      <c r="G82" s="1369"/>
      <c r="H82" s="992"/>
      <c r="I82" s="992"/>
      <c r="J82" s="992"/>
      <c r="K82" s="992"/>
      <c r="L82" s="992"/>
      <c r="M82" s="992"/>
      <c r="N82" s="992"/>
      <c r="O82" s="992"/>
      <c r="P82" s="992"/>
      <c r="Q82" s="992"/>
      <c r="R82" s="992"/>
      <c r="S82" s="992"/>
      <c r="T82" s="992"/>
      <c r="U82" s="992"/>
      <c r="V82" s="968"/>
      <c r="W82" s="968"/>
      <c r="X82" s="968"/>
      <c r="Y82" s="968"/>
      <c r="Z82" s="968"/>
    </row>
    <row r="83" spans="1:26">
      <c r="A83" s="989"/>
      <c r="B83" s="730" t="s">
        <v>472</v>
      </c>
      <c r="C83" s="993"/>
      <c r="D83" s="994"/>
      <c r="E83" s="730" t="s">
        <v>473</v>
      </c>
      <c r="F83" s="993"/>
      <c r="G83" s="994"/>
      <c r="H83" s="992"/>
      <c r="I83" s="992"/>
      <c r="J83" s="992"/>
      <c r="K83" s="992"/>
      <c r="L83" s="992"/>
      <c r="M83" s="992"/>
      <c r="N83" s="992"/>
      <c r="O83" s="992"/>
      <c r="P83" s="992"/>
      <c r="Q83" s="992"/>
      <c r="R83" s="992"/>
      <c r="S83" s="992"/>
      <c r="T83" s="992"/>
      <c r="U83" s="992"/>
      <c r="V83" s="968"/>
      <c r="W83" s="968"/>
      <c r="X83" s="968"/>
      <c r="Y83" s="968"/>
      <c r="Z83" s="968"/>
    </row>
    <row r="84" spans="1:26">
      <c r="A84" s="989"/>
      <c r="B84" s="995" t="s">
        <v>474</v>
      </c>
      <c r="C84" s="314"/>
      <c r="D84" s="996">
        <f>MIN(B79:D79)</f>
        <v>1.2868053405518789</v>
      </c>
      <c r="E84" s="995" t="s">
        <v>474</v>
      </c>
      <c r="F84" s="314"/>
      <c r="G84" s="996">
        <f>MIN(E79:U79)</f>
        <v>2.2267734556179191</v>
      </c>
      <c r="H84" s="992"/>
      <c r="I84" s="992"/>
      <c r="J84" s="992"/>
      <c r="K84" s="992"/>
      <c r="L84" s="992"/>
      <c r="M84" s="992"/>
      <c r="N84" s="992"/>
      <c r="O84" s="992"/>
      <c r="P84" s="992"/>
      <c r="Q84" s="992"/>
      <c r="R84" s="992"/>
      <c r="S84" s="992"/>
      <c r="T84" s="992"/>
      <c r="U84" s="992"/>
      <c r="V84" s="968"/>
      <c r="W84" s="968"/>
      <c r="X84" s="968"/>
      <c r="Y84" s="968"/>
      <c r="Z84" s="968"/>
    </row>
    <row r="85" spans="1:26">
      <c r="A85" s="989"/>
      <c r="B85" s="997" t="s">
        <v>475</v>
      </c>
      <c r="C85" s="998"/>
      <c r="D85" s="999">
        <f>AVERAGE(B79:D79)</f>
        <v>1.2887131558040943</v>
      </c>
      <c r="E85" s="997" t="s">
        <v>475</v>
      </c>
      <c r="F85" s="998"/>
      <c r="G85" s="999">
        <f>AVERAGE(E79:U79)</f>
        <v>3.2060863386116569</v>
      </c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92"/>
      <c r="T85" s="992"/>
      <c r="U85" s="992"/>
      <c r="V85" s="968"/>
      <c r="W85" s="968"/>
      <c r="X85" s="968"/>
      <c r="Y85" s="968"/>
      <c r="Z85" s="968"/>
    </row>
    <row r="86" spans="1:26">
      <c r="A86" s="989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92"/>
      <c r="T86" s="992"/>
      <c r="U86" s="992"/>
      <c r="V86" s="968"/>
      <c r="W86" s="968"/>
      <c r="X86" s="968"/>
      <c r="Y86" s="968"/>
      <c r="Z86" s="968"/>
    </row>
    <row r="87" spans="1:26">
      <c r="A87" s="989"/>
      <c r="F87" s="992"/>
      <c r="G87" s="992"/>
      <c r="H87" s="992"/>
      <c r="I87" s="992"/>
      <c r="J87" s="992"/>
      <c r="K87" s="992"/>
      <c r="L87" s="992"/>
      <c r="M87" s="992"/>
      <c r="N87" s="992"/>
      <c r="O87" s="992"/>
      <c r="P87" s="992"/>
      <c r="Q87" s="992"/>
      <c r="R87" s="992"/>
      <c r="S87" s="992"/>
      <c r="T87" s="992"/>
      <c r="U87" s="992"/>
      <c r="V87" s="968"/>
      <c r="W87" s="968"/>
      <c r="X87" s="968"/>
      <c r="Y87" s="968"/>
      <c r="Z87" s="968"/>
    </row>
    <row r="88" spans="1:26">
      <c r="A88" s="989"/>
      <c r="F88" s="992"/>
      <c r="G88" s="992"/>
      <c r="H88" s="992"/>
      <c r="I88" s="992"/>
      <c r="J88" s="992"/>
      <c r="K88" s="992"/>
      <c r="L88" s="992"/>
      <c r="M88" s="992"/>
      <c r="N88" s="992"/>
      <c r="O88" s="992"/>
      <c r="P88" s="992"/>
      <c r="Q88" s="992"/>
      <c r="R88" s="992"/>
      <c r="S88" s="992"/>
      <c r="T88" s="992"/>
      <c r="U88" s="992"/>
      <c r="V88" s="968"/>
      <c r="W88" s="968"/>
      <c r="X88" s="968"/>
      <c r="Y88" s="968"/>
      <c r="Z88" s="968"/>
    </row>
    <row r="89" spans="1:26">
      <c r="A89" s="989"/>
      <c r="B89" s="959"/>
      <c r="C89" s="313"/>
      <c r="D89" s="313"/>
      <c r="E89" s="820"/>
      <c r="F89" s="992"/>
      <c r="G89" s="992"/>
      <c r="H89" s="992"/>
      <c r="I89" s="992"/>
      <c r="J89" s="992"/>
      <c r="K89" s="992"/>
      <c r="L89" s="992"/>
      <c r="M89" s="992"/>
      <c r="N89" s="992"/>
      <c r="O89" s="992"/>
      <c r="P89" s="992"/>
      <c r="Q89" s="992"/>
      <c r="R89" s="992"/>
      <c r="S89" s="992"/>
      <c r="T89" s="992"/>
      <c r="U89" s="992"/>
      <c r="V89" s="968"/>
      <c r="W89" s="968"/>
      <c r="X89" s="968"/>
      <c r="Y89" s="968"/>
      <c r="Z89" s="968"/>
    </row>
    <row r="90" spans="1:26">
      <c r="A90" s="989"/>
      <c r="B90" s="959"/>
      <c r="C90" s="313"/>
      <c r="D90" s="313"/>
      <c r="E90" s="820"/>
      <c r="F90" s="992"/>
      <c r="G90" s="992"/>
      <c r="H90" s="992"/>
      <c r="I90" s="992"/>
      <c r="J90" s="992"/>
      <c r="K90" s="992"/>
      <c r="L90" s="992"/>
      <c r="M90" s="992"/>
      <c r="N90" s="992"/>
      <c r="O90" s="992"/>
      <c r="P90" s="992"/>
      <c r="Q90" s="992"/>
      <c r="R90" s="992"/>
      <c r="S90" s="992"/>
      <c r="T90" s="992"/>
      <c r="U90" s="992"/>
      <c r="V90" s="968"/>
      <c r="W90" s="968"/>
      <c r="X90" s="968"/>
      <c r="Y90" s="968"/>
      <c r="Z90" s="968"/>
    </row>
    <row r="91" spans="1:26">
      <c r="A91" s="989" t="s">
        <v>476</v>
      </c>
      <c r="B91" s="1000">
        <f t="shared" ref="B91:U91" si="50">SUM(B13,B20,B27,B33,B40,B47,B53,B60,B67)</f>
        <v>80195.063655030797</v>
      </c>
      <c r="C91" s="1000">
        <f t="shared" si="50"/>
        <v>78991.765229294993</v>
      </c>
      <c r="D91" s="1000">
        <f t="shared" si="50"/>
        <v>77294.472108145099</v>
      </c>
      <c r="E91" s="1000">
        <f t="shared" si="50"/>
        <v>75962.102669404514</v>
      </c>
      <c r="F91" s="1000">
        <f t="shared" si="50"/>
        <v>73604.857221081445</v>
      </c>
      <c r="G91" s="1000">
        <f t="shared" si="50"/>
        <v>70810.911430527034</v>
      </c>
      <c r="H91" s="1000">
        <f t="shared" si="50"/>
        <v>67670.892539356602</v>
      </c>
      <c r="I91" s="1000">
        <f t="shared" si="50"/>
        <v>64385.85626283368</v>
      </c>
      <c r="J91" s="1000">
        <f t="shared" si="50"/>
        <v>60305.328678986989</v>
      </c>
      <c r="K91" s="1000">
        <f t="shared" si="50"/>
        <v>55783.800136892532</v>
      </c>
      <c r="L91" s="1000">
        <f t="shared" si="50"/>
        <v>51026.119096509239</v>
      </c>
      <c r="M91" s="1000">
        <f t="shared" si="50"/>
        <v>45838.663928815877</v>
      </c>
      <c r="N91" s="1000">
        <f t="shared" si="50"/>
        <v>40393.401779603009</v>
      </c>
      <c r="O91" s="1000">
        <f t="shared" si="50"/>
        <v>35077.043121149894</v>
      </c>
      <c r="P91" s="1000">
        <f t="shared" si="50"/>
        <v>29693.683778234088</v>
      </c>
      <c r="Q91" s="1000">
        <f t="shared" si="50"/>
        <v>24114.420260095823</v>
      </c>
      <c r="R91" s="1000">
        <f t="shared" si="50"/>
        <v>18196.511978097195</v>
      </c>
      <c r="S91" s="1000">
        <f t="shared" si="50"/>
        <v>12616.520191649557</v>
      </c>
      <c r="T91" s="1000">
        <f t="shared" si="50"/>
        <v>7831.7973990417522</v>
      </c>
      <c r="U91" s="1000">
        <f t="shared" si="50"/>
        <v>3058.7268993839834</v>
      </c>
      <c r="V91" s="968"/>
      <c r="W91" s="968"/>
      <c r="X91" s="968"/>
      <c r="Y91" s="968"/>
      <c r="Z91" s="968"/>
    </row>
    <row r="92" spans="1:26">
      <c r="A92" s="989"/>
      <c r="B92" s="959"/>
      <c r="C92" s="313"/>
      <c r="D92" s="313"/>
      <c r="E92" s="820"/>
      <c r="F92" s="992"/>
      <c r="G92" s="992"/>
      <c r="H92" s="992"/>
      <c r="I92" s="992"/>
      <c r="J92" s="992"/>
      <c r="K92" s="992"/>
      <c r="L92" s="992"/>
      <c r="M92" s="992"/>
      <c r="N92" s="992"/>
      <c r="O92" s="992"/>
      <c r="P92" s="992"/>
      <c r="Q92" s="992"/>
      <c r="R92" s="992"/>
      <c r="S92" s="992"/>
      <c r="T92" s="992"/>
      <c r="U92" s="992"/>
      <c r="V92" s="968"/>
      <c r="W92" s="968"/>
      <c r="X92" s="968"/>
      <c r="Y92" s="968"/>
      <c r="Z92" s="968"/>
    </row>
    <row r="93" spans="1:26">
      <c r="A93" s="989"/>
      <c r="B93" s="959"/>
      <c r="C93" s="313"/>
      <c r="D93" s="313"/>
      <c r="E93" s="820"/>
      <c r="F93" s="992"/>
      <c r="G93" s="992"/>
      <c r="H93" s="992"/>
      <c r="I93" s="992"/>
      <c r="J93" s="992"/>
      <c r="K93" s="992"/>
      <c r="L93" s="992"/>
      <c r="M93" s="992"/>
      <c r="N93" s="992"/>
      <c r="O93" s="992"/>
      <c r="P93" s="992"/>
      <c r="Q93" s="992"/>
      <c r="R93" s="992"/>
      <c r="S93" s="992"/>
      <c r="T93" s="992"/>
      <c r="U93" s="992"/>
      <c r="V93" s="968"/>
      <c r="W93" s="968"/>
      <c r="X93" s="968"/>
      <c r="Y93" s="968"/>
      <c r="Z93" s="968"/>
    </row>
    <row r="94" spans="1:26">
      <c r="B94" s="1364" t="s">
        <v>297</v>
      </c>
      <c r="C94" s="1365"/>
      <c r="D94" s="1365"/>
      <c r="E94" s="1366"/>
      <c r="F94" s="968"/>
      <c r="G94" s="1364" t="s">
        <v>298</v>
      </c>
      <c r="H94" s="1365"/>
      <c r="I94" s="1365"/>
      <c r="J94" s="1366"/>
      <c r="K94" s="968"/>
      <c r="L94" s="1364" t="s">
        <v>299</v>
      </c>
      <c r="M94" s="1365"/>
      <c r="N94" s="1365"/>
      <c r="O94" s="1366"/>
      <c r="P94" s="275"/>
      <c r="Q94" s="275"/>
      <c r="R94" s="275"/>
      <c r="S94" s="968"/>
      <c r="T94" s="968"/>
      <c r="U94" s="968"/>
      <c r="V94" s="968"/>
      <c r="W94" s="968"/>
      <c r="X94" s="968"/>
      <c r="Y94" s="968"/>
      <c r="Z94" s="968"/>
    </row>
    <row r="95" spans="1:26">
      <c r="B95" s="1001" t="s">
        <v>172</v>
      </c>
      <c r="C95" s="1002"/>
      <c r="D95" s="1002"/>
      <c r="E95" s="1003">
        <f>'ENA_Summary Output'!B25</f>
        <v>6.8000000000000005E-2</v>
      </c>
      <c r="F95" s="989"/>
      <c r="G95" s="1001" t="s">
        <v>172</v>
      </c>
      <c r="H95" s="1002"/>
      <c r="I95" s="1002"/>
      <c r="J95" s="1003">
        <f>'ENA_Summary Output'!C25</f>
        <v>6.5000000000000002E-2</v>
      </c>
      <c r="K95" s="989"/>
      <c r="L95" s="1001" t="s">
        <v>172</v>
      </c>
      <c r="M95" s="1002"/>
      <c r="N95" s="1002"/>
      <c r="O95" s="1003">
        <f>'ENA_Summary Output'!D25</f>
        <v>6.2E-2</v>
      </c>
      <c r="P95" s="275"/>
      <c r="Q95" s="275"/>
      <c r="R95" s="275"/>
      <c r="S95" s="968"/>
      <c r="T95" s="968"/>
      <c r="U95" s="968"/>
      <c r="V95" s="968"/>
      <c r="W95" s="968"/>
      <c r="X95" s="968"/>
      <c r="Y95" s="968"/>
      <c r="Z95" s="968"/>
    </row>
    <row r="96" spans="1:26">
      <c r="B96" s="1004" t="s">
        <v>173</v>
      </c>
      <c r="C96" s="313"/>
      <c r="D96" s="313"/>
      <c r="E96" s="1005">
        <f>'ENA_Summary Output'!B26</f>
        <v>2.2499999999999999E-2</v>
      </c>
      <c r="G96" s="1004" t="s">
        <v>173</v>
      </c>
      <c r="H96" s="313"/>
      <c r="I96" s="313"/>
      <c r="J96" s="1005">
        <f>'ENA_Summary Output'!C26</f>
        <v>4.4999999999999998E-2</v>
      </c>
      <c r="L96" s="1004" t="s">
        <v>173</v>
      </c>
      <c r="M96" s="313"/>
      <c r="N96" s="313"/>
      <c r="O96" s="1005">
        <f>'ENA_Summary Output'!D26</f>
        <v>0.05</v>
      </c>
    </row>
    <row r="97" spans="1:30">
      <c r="A97" s="729"/>
      <c r="B97" s="1006" t="s">
        <v>174</v>
      </c>
      <c r="C97" s="914"/>
      <c r="D97" s="914"/>
      <c r="E97" s="1007">
        <f>E96+E95</f>
        <v>9.0499999999999997E-2</v>
      </c>
      <c r="G97" s="1006" t="s">
        <v>174</v>
      </c>
      <c r="H97" s="914"/>
      <c r="I97" s="914"/>
      <c r="J97" s="1007">
        <f>J96+J95</f>
        <v>0.11</v>
      </c>
      <c r="L97" s="1006" t="s">
        <v>174</v>
      </c>
      <c r="M97" s="914"/>
      <c r="N97" s="914"/>
      <c r="O97" s="1007">
        <f>O96+O95</f>
        <v>0.112</v>
      </c>
    </row>
    <row r="98" spans="1:30">
      <c r="B98" s="1008" t="s">
        <v>477</v>
      </c>
      <c r="C98" s="1002"/>
      <c r="D98" s="1002"/>
      <c r="E98" s="1009">
        <f>('ENA_Summary Output'!B22-'ENA_Summary Output'!$B$19)/365.25</f>
        <v>2.9952087611225187</v>
      </c>
      <c r="G98" s="1008" t="s">
        <v>477</v>
      </c>
      <c r="H98" s="1002"/>
      <c r="I98" s="1002"/>
      <c r="J98" s="1009">
        <f>('ENA_Summary Output'!C22-'ENA_Summary Output'!$B$19)/365.25</f>
        <v>9.9958932238193015</v>
      </c>
      <c r="L98" s="1008" t="s">
        <v>477</v>
      </c>
      <c r="M98" s="1002"/>
      <c r="N98" s="1002"/>
      <c r="O98" s="1009">
        <f>('ENA_Summary Output'!D22-'ENA_Summary Output'!$B$19)/365.25</f>
        <v>19.997262149212869</v>
      </c>
    </row>
    <row r="99" spans="1:30">
      <c r="B99" s="1010" t="s">
        <v>478</v>
      </c>
      <c r="C99" s="313"/>
      <c r="D99" s="313"/>
      <c r="E99" s="1011">
        <f>B109</f>
        <v>1.7562149212867901</v>
      </c>
      <c r="G99" s="1010" t="s">
        <v>478</v>
      </c>
      <c r="H99" s="313"/>
      <c r="I99" s="313"/>
      <c r="J99" s="1011">
        <f>B110</f>
        <v>7.1548336755646815</v>
      </c>
      <c r="L99" s="1010" t="s">
        <v>478</v>
      </c>
      <c r="M99" s="313"/>
      <c r="N99" s="313"/>
      <c r="O99" s="1011">
        <f>B111</f>
        <v>15.030609171800139</v>
      </c>
    </row>
    <row r="100" spans="1:30">
      <c r="B100" s="1006" t="s">
        <v>479</v>
      </c>
      <c r="C100" s="914"/>
      <c r="D100" s="914"/>
      <c r="E100" s="1012">
        <f>B14</f>
        <v>50000</v>
      </c>
      <c r="G100" s="1006" t="s">
        <v>479</v>
      </c>
      <c r="H100" s="914"/>
      <c r="I100" s="914"/>
      <c r="J100" s="1012">
        <f>B34</f>
        <v>210000</v>
      </c>
      <c r="L100" s="1006" t="s">
        <v>479</v>
      </c>
      <c r="M100" s="914"/>
      <c r="N100" s="914"/>
      <c r="O100" s="1012">
        <f>B54</f>
        <v>475000</v>
      </c>
    </row>
    <row r="101" spans="1:30">
      <c r="B101" s="729"/>
    </row>
    <row r="102" spans="1:30">
      <c r="B102" s="729"/>
    </row>
    <row r="103" spans="1:30" ht="13.5" thickBot="1">
      <c r="A103" s="320"/>
      <c r="B103" s="320"/>
      <c r="C103" s="320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0"/>
      <c r="T103" s="320"/>
      <c r="U103" s="320"/>
    </row>
    <row r="105" spans="1:30">
      <c r="A105" s="299" t="s">
        <v>359</v>
      </c>
      <c r="B105" s="728">
        <f>(B16-$B$11)/365.25</f>
        <v>0.49281314168377821</v>
      </c>
      <c r="C105" s="728">
        <f t="shared" ref="C105:U105" si="51">(C16-$B$11)/365.25</f>
        <v>1.4921286789869952</v>
      </c>
      <c r="D105" s="728">
        <f t="shared" si="51"/>
        <v>2.4914442162902124</v>
      </c>
      <c r="E105" s="728">
        <f t="shared" si="51"/>
        <v>3.4934976043805612</v>
      </c>
      <c r="F105" s="728">
        <f t="shared" si="51"/>
        <v>4.4928131416837784</v>
      </c>
      <c r="G105" s="728">
        <f t="shared" si="51"/>
        <v>5.4921286789869956</v>
      </c>
      <c r="H105" s="728">
        <f t="shared" si="51"/>
        <v>6.491444216290212</v>
      </c>
      <c r="I105" s="728">
        <f t="shared" si="51"/>
        <v>7.4934976043805612</v>
      </c>
      <c r="J105" s="728">
        <f t="shared" si="51"/>
        <v>8.4928131416837775</v>
      </c>
      <c r="K105" s="728">
        <f t="shared" si="51"/>
        <v>9.4921286789869956</v>
      </c>
      <c r="L105" s="728">
        <f t="shared" si="51"/>
        <v>10.491444216290212</v>
      </c>
      <c r="M105" s="728">
        <f t="shared" si="51"/>
        <v>11.493497604380561</v>
      </c>
      <c r="N105" s="728">
        <f t="shared" si="51"/>
        <v>12.492813141683778</v>
      </c>
      <c r="O105" s="728">
        <f t="shared" si="51"/>
        <v>13.492128678986996</v>
      </c>
      <c r="P105" s="728">
        <f t="shared" si="51"/>
        <v>14.491444216290212</v>
      </c>
      <c r="Q105" s="728">
        <f t="shared" si="51"/>
        <v>15.493497604380561</v>
      </c>
      <c r="R105" s="728">
        <f t="shared" si="51"/>
        <v>16.492813141683779</v>
      </c>
      <c r="S105" s="728">
        <f t="shared" si="51"/>
        <v>17.492128678986994</v>
      </c>
      <c r="T105" s="728">
        <f t="shared" si="51"/>
        <v>18.491444216290212</v>
      </c>
      <c r="U105" s="728">
        <f t="shared" si="51"/>
        <v>19.493497604380561</v>
      </c>
      <c r="V105" s="1013"/>
      <c r="W105" s="1013"/>
      <c r="X105" s="1013"/>
      <c r="Y105" s="1013"/>
      <c r="Z105" s="1013"/>
      <c r="AA105" s="1013"/>
      <c r="AB105" s="1013"/>
      <c r="AC105" s="1013"/>
      <c r="AD105" s="1013"/>
    </row>
    <row r="106" spans="1:30">
      <c r="B106" s="728">
        <f>(B23-$B$11)/365.25</f>
        <v>0.99657768651608492</v>
      </c>
      <c r="C106" s="728">
        <f t="shared" ref="C106:U106" si="52">(C23-$B$11)/365.25</f>
        <v>1.9958932238193019</v>
      </c>
      <c r="D106" s="728">
        <f t="shared" si="52"/>
        <v>2.9952087611225187</v>
      </c>
      <c r="E106" s="728">
        <f t="shared" si="52"/>
        <v>3.9972621492128679</v>
      </c>
      <c r="F106" s="728">
        <f t="shared" si="52"/>
        <v>4.9965776865160851</v>
      </c>
      <c r="G106" s="728">
        <f t="shared" si="52"/>
        <v>5.9958932238193015</v>
      </c>
      <c r="H106" s="728">
        <f t="shared" si="52"/>
        <v>6.9952087611225187</v>
      </c>
      <c r="I106" s="728">
        <f t="shared" si="52"/>
        <v>7.9972621492128679</v>
      </c>
      <c r="J106" s="728">
        <f t="shared" si="52"/>
        <v>8.9965776865160851</v>
      </c>
      <c r="K106" s="728">
        <f t="shared" si="52"/>
        <v>9.9958932238193015</v>
      </c>
      <c r="L106" s="728">
        <f t="shared" si="52"/>
        <v>10.99520876112252</v>
      </c>
      <c r="M106" s="728">
        <f t="shared" si="52"/>
        <v>11.997262149212867</v>
      </c>
      <c r="N106" s="728">
        <f t="shared" si="52"/>
        <v>12.996577686516085</v>
      </c>
      <c r="O106" s="728">
        <f t="shared" si="52"/>
        <v>13.995893223819301</v>
      </c>
      <c r="P106" s="728">
        <f t="shared" si="52"/>
        <v>14.99520876112252</v>
      </c>
      <c r="Q106" s="728">
        <f t="shared" si="52"/>
        <v>15.997262149212867</v>
      </c>
      <c r="R106" s="728">
        <f t="shared" si="52"/>
        <v>16.996577686516083</v>
      </c>
      <c r="S106" s="728">
        <f t="shared" si="52"/>
        <v>17.995893223819301</v>
      </c>
      <c r="T106" s="728">
        <f t="shared" si="52"/>
        <v>18.99520876112252</v>
      </c>
      <c r="U106" s="728">
        <f t="shared" si="52"/>
        <v>19.997262149212869</v>
      </c>
      <c r="V106" s="728"/>
      <c r="W106" s="728"/>
      <c r="X106" s="728"/>
      <c r="Y106" s="728"/>
      <c r="Z106" s="728"/>
      <c r="AA106" s="728"/>
      <c r="AB106" s="729"/>
      <c r="AC106" s="729"/>
    </row>
    <row r="107" spans="1:30">
      <c r="B107" s="728"/>
      <c r="C107" s="728"/>
      <c r="D107" s="728"/>
      <c r="E107" s="728"/>
      <c r="F107" s="728"/>
      <c r="G107" s="728"/>
      <c r="H107" s="728"/>
      <c r="I107" s="728"/>
      <c r="J107" s="728"/>
      <c r="K107" s="728"/>
      <c r="L107" s="728"/>
      <c r="M107" s="728"/>
      <c r="N107" s="728"/>
      <c r="O107" s="728"/>
      <c r="P107" s="728"/>
      <c r="Q107" s="728"/>
      <c r="R107" s="728"/>
      <c r="S107" s="728"/>
      <c r="T107" s="728"/>
      <c r="U107" s="728"/>
      <c r="V107" s="728"/>
      <c r="W107" s="728"/>
      <c r="X107" s="728"/>
      <c r="Y107" s="728"/>
      <c r="Z107" s="728"/>
      <c r="AA107" s="728"/>
      <c r="AB107" s="729"/>
      <c r="AC107" s="729"/>
    </row>
    <row r="108" spans="1:30">
      <c r="A108" s="299" t="s">
        <v>360</v>
      </c>
      <c r="C108" s="729"/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</row>
    <row r="109" spans="1:30">
      <c r="A109" s="271" t="s">
        <v>297</v>
      </c>
      <c r="B109" s="1014">
        <f>(SUMPRODUCT($B$105:$U$105,B19:U19)+SUMPRODUCT($B$106:$U$106,B26:U26))/E100</f>
        <v>1.7562149212867901</v>
      </c>
      <c r="C109" s="729"/>
      <c r="D109" s="729"/>
      <c r="E109" s="729"/>
      <c r="F109" s="729"/>
      <c r="G109" s="729"/>
      <c r="H109" s="729"/>
      <c r="I109" s="729"/>
      <c r="J109" s="729"/>
      <c r="K109" s="729"/>
      <c r="L109" s="729"/>
      <c r="M109" s="729"/>
      <c r="N109" s="729"/>
      <c r="O109" s="729"/>
      <c r="P109" s="729"/>
      <c r="Q109" s="729"/>
      <c r="R109" s="729"/>
      <c r="S109" s="729"/>
      <c r="T109" s="729"/>
      <c r="U109" s="729"/>
      <c r="V109" s="729"/>
    </row>
    <row r="110" spans="1:30">
      <c r="A110" s="271" t="s">
        <v>298</v>
      </c>
      <c r="B110" s="1014">
        <f>(SUMPRODUCT($B$105:$U$105,B39:U39)+SUMPRODUCT($B$106:$U$106,B46:U46))/J100</f>
        <v>7.1548336755646815</v>
      </c>
      <c r="C110" s="729"/>
      <c r="D110" s="729"/>
      <c r="E110" s="729"/>
      <c r="F110" s="729"/>
      <c r="G110" s="729"/>
      <c r="H110" s="729"/>
      <c r="I110" s="729"/>
      <c r="J110" s="729"/>
      <c r="K110" s="729"/>
      <c r="L110" s="729"/>
      <c r="M110" s="729"/>
      <c r="N110" s="729"/>
      <c r="O110" s="729"/>
      <c r="P110" s="729"/>
      <c r="Q110" s="729"/>
      <c r="R110" s="729"/>
      <c r="S110" s="729"/>
      <c r="T110" s="729"/>
      <c r="U110" s="729"/>
      <c r="V110" s="729"/>
    </row>
    <row r="111" spans="1:30">
      <c r="A111" s="271" t="s">
        <v>299</v>
      </c>
      <c r="B111" s="1014">
        <f>(SUMPRODUCT($B$105:$U$105,B59:U59)+SUMPRODUCT($B$106:$U$106,B66:U66))/O100</f>
        <v>15.030609171800139</v>
      </c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29"/>
      <c r="Z111" s="729"/>
      <c r="AA111" s="729"/>
      <c r="AB111" s="729"/>
      <c r="AC111" s="729"/>
    </row>
    <row r="112" spans="1:30" ht="13.5" thickBot="1">
      <c r="A112" s="320"/>
      <c r="B112" s="320"/>
      <c r="C112" s="320"/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</row>
    <row r="113" spans="1:21">
      <c r="A113" s="313"/>
      <c r="B113" s="313"/>
      <c r="C113" s="313"/>
      <c r="D113" s="313"/>
      <c r="E113" s="313"/>
      <c r="F113" s="313"/>
      <c r="G113" s="313"/>
      <c r="H113" s="313"/>
      <c r="I113" s="313"/>
      <c r="J113" s="313"/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</row>
    <row r="120" spans="1:21">
      <c r="A120" s="271" t="s">
        <v>268</v>
      </c>
      <c r="B120" s="729">
        <f>FPLE_Debt!$E$9*ENA_Debt!B76</f>
        <v>30875.099507186856</v>
      </c>
      <c r="C120" s="729">
        <f>FPLE_Debt!$E$9*ENA_Debt!C76</f>
        <v>30411.82961327858</v>
      </c>
      <c r="D120" s="729">
        <f>FPLE_Debt!$E$9*ENA_Debt!D76</f>
        <v>29758.371761635863</v>
      </c>
      <c r="E120" s="729">
        <f>FPLE_Debt!$E$9*ENA_Debt!E76</f>
        <v>29245.409527720738</v>
      </c>
      <c r="F120" s="729">
        <f>FPLE_Debt!$E$9*ENA_Debt!F76</f>
        <v>28337.870030116355</v>
      </c>
      <c r="G120" s="729">
        <f>FPLE_Debt!$E$9*ENA_Debt!G76</f>
        <v>27262.200900752909</v>
      </c>
      <c r="H120" s="729">
        <f>FPLE_Debt!$E$9*ENA_Debt!H76</f>
        <v>26053.293627652292</v>
      </c>
      <c r="I120" s="729">
        <f>FPLE_Debt!$E$9*ENA_Debt!I76</f>
        <v>24788.554661190963</v>
      </c>
      <c r="J120" s="729">
        <f>FPLE_Debt!$E$9*ENA_Debt!J76</f>
        <v>23217.551541409994</v>
      </c>
      <c r="K120" s="729">
        <f>FPLE_Debt!$E$9*ENA_Debt!K76</f>
        <v>21476.763052703627</v>
      </c>
      <c r="L120" s="729">
        <f>FPLE_Debt!$E$9*ENA_Debt!L76</f>
        <v>19645.055852156056</v>
      </c>
      <c r="M120" s="729">
        <f>FPLE_Debt!$E$9*ENA_Debt!M76</f>
        <v>17647.885612594113</v>
      </c>
      <c r="N120" s="729">
        <f>FPLE_Debt!$E$9*ENA_Debt!N76</f>
        <v>15551.45968514716</v>
      </c>
      <c r="O120" s="729">
        <f>FPLE_Debt!$E$9*ENA_Debt!O76</f>
        <v>13504.661601642709</v>
      </c>
      <c r="P120" s="729">
        <f>FPLE_Debt!$E$9*ENA_Debt!P76</f>
        <v>11432.068254620124</v>
      </c>
      <c r="Q120" s="729">
        <f>FPLE_Debt!$E$9*ENA_Debt!Q76</f>
        <v>9284.0518001368928</v>
      </c>
      <c r="R120" s="729">
        <f>FPLE_Debt!$E$9*ENA_Debt!R76</f>
        <v>7005.6571115674196</v>
      </c>
      <c r="S120" s="729">
        <f>FPLE_Debt!$E$9*ENA_Debt!S76</f>
        <v>4857.3602737850797</v>
      </c>
      <c r="T120" s="729">
        <f>FPLE_Debt!$E$9*ENA_Debt!T76</f>
        <v>3015.2419986310747</v>
      </c>
      <c r="U120" s="729">
        <f>FPLE_Debt!$E$9*ENA_Debt!U76</f>
        <v>1177.6098562628335</v>
      </c>
    </row>
    <row r="121" spans="1:21">
      <c r="A121" s="271" t="s">
        <v>189</v>
      </c>
      <c r="B121" s="1197">
        <f>'ENA_Summary Output'!E27</f>
        <v>0.10996598639455782</v>
      </c>
      <c r="C121" s="1299">
        <f>NPV(B121,B120:U120)</f>
        <v>189937.15809522252</v>
      </c>
    </row>
  </sheetData>
  <mergeCells count="4">
    <mergeCell ref="B94:E94"/>
    <mergeCell ref="G94:J94"/>
    <mergeCell ref="L94:O94"/>
    <mergeCell ref="B82:G82"/>
  </mergeCells>
  <pageMargins left="0.5" right="0.5" top="0.75" bottom="0.5" header="0.25" footer="0.25"/>
  <pageSetup scale="39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9" max="31" man="1"/>
  </rowBreaks>
  <colBreaks count="1" manualBreakCount="1">
    <brk id="11" max="8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Z111"/>
  <sheetViews>
    <sheetView zoomScale="75" zoomScaleNormal="75" workbookViewId="0"/>
  </sheetViews>
  <sheetFormatPr defaultRowHeight="12.75"/>
  <cols>
    <col min="1" max="1" width="33.5703125" style="271" customWidth="1"/>
    <col min="2" max="2" width="18.85546875" style="1024" bestFit="1" customWidth="1"/>
    <col min="3" max="4" width="11.7109375" style="1024" customWidth="1"/>
    <col min="5" max="20" width="11.7109375" style="271" customWidth="1"/>
    <col min="21" max="21" width="11.85546875" style="271" customWidth="1"/>
    <col min="22" max="23" width="11.7109375" style="271" customWidth="1"/>
    <col min="24" max="38" width="15.85546875" style="271" customWidth="1"/>
    <col min="39" max="16384" width="9.140625" style="271"/>
  </cols>
  <sheetData>
    <row r="1" spans="1:22">
      <c r="B1" s="271"/>
      <c r="C1" s="271"/>
      <c r="D1" s="271"/>
    </row>
    <row r="2" spans="1:22" ht="18.75">
      <c r="A2" s="270" t="s">
        <v>694</v>
      </c>
      <c r="B2" s="1252"/>
      <c r="C2" s="1025"/>
    </row>
    <row r="3" spans="1:22">
      <c r="E3" s="1024"/>
      <c r="F3" s="1024"/>
      <c r="G3" s="1024"/>
      <c r="H3" s="1024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</row>
    <row r="4" spans="1:22" s="1027" customFormat="1" ht="13.5" thickBot="1">
      <c r="A4" s="99" t="s">
        <v>5</v>
      </c>
      <c r="B4" s="99" t="s">
        <v>487</v>
      </c>
      <c r="C4" s="1026">
        <v>37256</v>
      </c>
      <c r="D4" s="1026">
        <v>37621</v>
      </c>
      <c r="E4" s="1026">
        <v>37986</v>
      </c>
      <c r="F4" s="1026">
        <v>38352</v>
      </c>
      <c r="G4" s="1026">
        <v>38717</v>
      </c>
      <c r="H4" s="1026">
        <v>39082</v>
      </c>
      <c r="I4" s="1026">
        <v>39447</v>
      </c>
      <c r="J4" s="1026">
        <v>39813</v>
      </c>
      <c r="K4" s="1026">
        <v>40178</v>
      </c>
      <c r="L4" s="1026">
        <v>40543</v>
      </c>
      <c r="M4" s="1026">
        <v>40908</v>
      </c>
      <c r="N4" s="1026">
        <v>41274</v>
      </c>
      <c r="O4" s="1026">
        <v>41639</v>
      </c>
      <c r="P4" s="1026">
        <v>42004</v>
      </c>
      <c r="Q4" s="1026">
        <v>42369</v>
      </c>
      <c r="R4" s="1026">
        <v>42735</v>
      </c>
      <c r="S4" s="1026">
        <v>43100</v>
      </c>
      <c r="T4" s="1026">
        <v>43465</v>
      </c>
      <c r="U4" s="1026">
        <v>43830</v>
      </c>
      <c r="V4" s="1026">
        <v>44196</v>
      </c>
    </row>
    <row r="5" spans="1:22">
      <c r="B5" s="1028">
        <v>0</v>
      </c>
      <c r="C5" s="1028">
        <v>1</v>
      </c>
      <c r="D5" s="1028">
        <v>2</v>
      </c>
      <c r="E5" s="1028">
        <f>D5+1</f>
        <v>3</v>
      </c>
      <c r="F5" s="1028">
        <f t="shared" ref="F5:V5" si="0">E5+1</f>
        <v>4</v>
      </c>
      <c r="G5" s="1028">
        <f t="shared" si="0"/>
        <v>5</v>
      </c>
      <c r="H5" s="1028">
        <f t="shared" si="0"/>
        <v>6</v>
      </c>
      <c r="I5" s="1028">
        <f t="shared" si="0"/>
        <v>7</v>
      </c>
      <c r="J5" s="1028">
        <f t="shared" si="0"/>
        <v>8</v>
      </c>
      <c r="K5" s="1028">
        <f t="shared" si="0"/>
        <v>9</v>
      </c>
      <c r="L5" s="1028">
        <f t="shared" si="0"/>
        <v>10</v>
      </c>
      <c r="M5" s="1028">
        <f t="shared" si="0"/>
        <v>11</v>
      </c>
      <c r="N5" s="1028">
        <f t="shared" si="0"/>
        <v>12</v>
      </c>
      <c r="O5" s="1028">
        <f t="shared" si="0"/>
        <v>13</v>
      </c>
      <c r="P5" s="1028">
        <f t="shared" si="0"/>
        <v>14</v>
      </c>
      <c r="Q5" s="1028">
        <f t="shared" si="0"/>
        <v>15</v>
      </c>
      <c r="R5" s="1028">
        <f t="shared" si="0"/>
        <v>16</v>
      </c>
      <c r="S5" s="1028">
        <f t="shared" si="0"/>
        <v>17</v>
      </c>
      <c r="T5" s="1028">
        <f t="shared" si="0"/>
        <v>18</v>
      </c>
      <c r="U5" s="1028">
        <f t="shared" si="0"/>
        <v>19</v>
      </c>
      <c r="V5" s="1028">
        <f t="shared" si="0"/>
        <v>20</v>
      </c>
    </row>
    <row r="6" spans="1:22" s="304" customFormat="1">
      <c r="A6" s="1029" t="s">
        <v>392</v>
      </c>
      <c r="B6" s="1028">
        <v>0</v>
      </c>
      <c r="C6" s="1028">
        <v>1</v>
      </c>
      <c r="D6" s="1028">
        <v>2</v>
      </c>
      <c r="E6" s="1028">
        <f>D6+1</f>
        <v>3</v>
      </c>
      <c r="F6" s="1028">
        <f t="shared" ref="F6:V6" si="1">E6+1</f>
        <v>4</v>
      </c>
      <c r="G6" s="1028">
        <f t="shared" si="1"/>
        <v>5</v>
      </c>
      <c r="H6" s="1028">
        <f t="shared" si="1"/>
        <v>6</v>
      </c>
      <c r="I6" s="1028">
        <f t="shared" si="1"/>
        <v>7</v>
      </c>
      <c r="J6" s="1028">
        <f t="shared" si="1"/>
        <v>8</v>
      </c>
      <c r="K6" s="1028">
        <f t="shared" si="1"/>
        <v>9</v>
      </c>
      <c r="L6" s="1028">
        <f t="shared" si="1"/>
        <v>10</v>
      </c>
      <c r="M6" s="1028">
        <f t="shared" si="1"/>
        <v>11</v>
      </c>
      <c r="N6" s="1028">
        <f t="shared" si="1"/>
        <v>12</v>
      </c>
      <c r="O6" s="1028">
        <f t="shared" si="1"/>
        <v>13</v>
      </c>
      <c r="P6" s="1028">
        <f t="shared" si="1"/>
        <v>14</v>
      </c>
      <c r="Q6" s="1028">
        <f t="shared" si="1"/>
        <v>15</v>
      </c>
      <c r="R6" s="1028">
        <f t="shared" si="1"/>
        <v>16</v>
      </c>
      <c r="S6" s="1028">
        <f t="shared" si="1"/>
        <v>17</v>
      </c>
      <c r="T6" s="1028">
        <f t="shared" si="1"/>
        <v>18</v>
      </c>
      <c r="U6" s="1028">
        <f t="shared" si="1"/>
        <v>19</v>
      </c>
      <c r="V6" s="1028">
        <f t="shared" si="1"/>
        <v>20</v>
      </c>
    </row>
    <row r="7" spans="1:22" s="304" customFormat="1">
      <c r="B7" s="1024"/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  <c r="O7" s="1024"/>
      <c r="P7" s="1024"/>
      <c r="Q7" s="1024"/>
      <c r="R7" s="1024"/>
      <c r="S7" s="1024"/>
      <c r="T7" s="1024"/>
      <c r="U7" s="1024"/>
      <c r="V7" s="1024"/>
    </row>
    <row r="8" spans="1:22">
      <c r="A8" s="565" t="s">
        <v>409</v>
      </c>
      <c r="B8" s="271"/>
      <c r="C8" s="271"/>
      <c r="D8" s="271"/>
    </row>
    <row r="9" spans="1:22">
      <c r="A9" s="598" t="s">
        <v>488</v>
      </c>
      <c r="B9" s="1030">
        <v>0</v>
      </c>
      <c r="C9" s="1030">
        <v>12</v>
      </c>
      <c r="D9" s="1030">
        <v>12</v>
      </c>
      <c r="E9" s="1030">
        <v>12</v>
      </c>
      <c r="F9" s="1030">
        <v>12</v>
      </c>
      <c r="G9" s="1030">
        <v>12</v>
      </c>
      <c r="H9" s="1030">
        <v>12</v>
      </c>
      <c r="I9" s="1030">
        <v>12</v>
      </c>
      <c r="J9" s="1030">
        <v>12</v>
      </c>
      <c r="K9" s="1030">
        <v>12</v>
      </c>
      <c r="L9" s="1030">
        <v>12</v>
      </c>
      <c r="M9" s="1030">
        <v>12</v>
      </c>
      <c r="N9" s="1030">
        <v>12</v>
      </c>
      <c r="O9" s="1030">
        <v>12</v>
      </c>
      <c r="P9" s="1030">
        <v>12</v>
      </c>
      <c r="Q9" s="1030">
        <v>12</v>
      </c>
      <c r="R9" s="1030">
        <v>12</v>
      </c>
      <c r="S9" s="1030">
        <v>12</v>
      </c>
      <c r="T9" s="1030">
        <v>12</v>
      </c>
      <c r="U9" s="1030">
        <v>12</v>
      </c>
      <c r="V9" s="1030">
        <v>12</v>
      </c>
    </row>
    <row r="10" spans="1:22">
      <c r="A10" s="271" t="s">
        <v>489</v>
      </c>
      <c r="B10" s="558">
        <v>0</v>
      </c>
      <c r="C10" s="558">
        <f>90%/30</f>
        <v>3.0000000000000002E-2</v>
      </c>
      <c r="D10" s="558">
        <f>90%/30</f>
        <v>3.0000000000000002E-2</v>
      </c>
      <c r="E10" s="558">
        <f t="shared" ref="E10:V10" si="2">90%/30</f>
        <v>3.0000000000000002E-2</v>
      </c>
      <c r="F10" s="558">
        <f t="shared" si="2"/>
        <v>3.0000000000000002E-2</v>
      </c>
      <c r="G10" s="558">
        <f t="shared" si="2"/>
        <v>3.0000000000000002E-2</v>
      </c>
      <c r="H10" s="558">
        <f t="shared" si="2"/>
        <v>3.0000000000000002E-2</v>
      </c>
      <c r="I10" s="558">
        <f t="shared" si="2"/>
        <v>3.0000000000000002E-2</v>
      </c>
      <c r="J10" s="558">
        <f t="shared" si="2"/>
        <v>3.0000000000000002E-2</v>
      </c>
      <c r="K10" s="558">
        <f t="shared" si="2"/>
        <v>3.0000000000000002E-2</v>
      </c>
      <c r="L10" s="558">
        <f t="shared" si="2"/>
        <v>3.0000000000000002E-2</v>
      </c>
      <c r="M10" s="558">
        <f t="shared" si="2"/>
        <v>3.0000000000000002E-2</v>
      </c>
      <c r="N10" s="558">
        <f t="shared" si="2"/>
        <v>3.0000000000000002E-2</v>
      </c>
      <c r="O10" s="558">
        <f t="shared" si="2"/>
        <v>3.0000000000000002E-2</v>
      </c>
      <c r="P10" s="558">
        <f t="shared" si="2"/>
        <v>3.0000000000000002E-2</v>
      </c>
      <c r="Q10" s="558">
        <f t="shared" si="2"/>
        <v>3.0000000000000002E-2</v>
      </c>
      <c r="R10" s="558">
        <f t="shared" si="2"/>
        <v>3.0000000000000002E-2</v>
      </c>
      <c r="S10" s="558">
        <f t="shared" si="2"/>
        <v>3.0000000000000002E-2</v>
      </c>
      <c r="T10" s="558">
        <f t="shared" si="2"/>
        <v>3.0000000000000002E-2</v>
      </c>
      <c r="U10" s="558">
        <f t="shared" si="2"/>
        <v>3.0000000000000002E-2</v>
      </c>
      <c r="V10" s="558">
        <f t="shared" si="2"/>
        <v>3.0000000000000002E-2</v>
      </c>
    </row>
    <row r="11" spans="1:22">
      <c r="B11" s="271"/>
      <c r="C11" s="271"/>
      <c r="D11" s="271"/>
    </row>
    <row r="12" spans="1:22">
      <c r="A12" s="271" t="s">
        <v>490</v>
      </c>
      <c r="B12" s="273">
        <f>SUM('ENA_Summary Output'!$G$8,'ENA_Summary Output'!$G$9)*ENA_Allocation!$C$7+'Amortization of Power Contract'!$C$11</f>
        <v>188402.61714934916</v>
      </c>
      <c r="C12" s="295">
        <f>B14</f>
        <v>188402.61714934916</v>
      </c>
      <c r="D12" s="295">
        <f>C14</f>
        <v>182750.53863486869</v>
      </c>
      <c r="E12" s="295">
        <f t="shared" ref="E12:V12" si="3">D14</f>
        <v>177098.46012038822</v>
      </c>
      <c r="F12" s="295">
        <f t="shared" si="3"/>
        <v>171446.38160590775</v>
      </c>
      <c r="G12" s="295">
        <f t="shared" si="3"/>
        <v>165794.30309142728</v>
      </c>
      <c r="H12" s="295">
        <f t="shared" si="3"/>
        <v>160142.22457694681</v>
      </c>
      <c r="I12" s="295">
        <f t="shared" si="3"/>
        <v>154490.14606246635</v>
      </c>
      <c r="J12" s="295">
        <f t="shared" si="3"/>
        <v>148838.06754798588</v>
      </c>
      <c r="K12" s="295">
        <f t="shared" si="3"/>
        <v>143185.98903350541</v>
      </c>
      <c r="L12" s="295">
        <f t="shared" si="3"/>
        <v>137533.91051902494</v>
      </c>
      <c r="M12" s="295">
        <f t="shared" si="3"/>
        <v>131881.83200454447</v>
      </c>
      <c r="N12" s="295">
        <f t="shared" si="3"/>
        <v>126229.753490064</v>
      </c>
      <c r="O12" s="295">
        <f t="shared" si="3"/>
        <v>120577.67497558353</v>
      </c>
      <c r="P12" s="295">
        <f t="shared" si="3"/>
        <v>114925.59646110306</v>
      </c>
      <c r="Q12" s="295">
        <f t="shared" si="3"/>
        <v>109273.5179466226</v>
      </c>
      <c r="R12" s="295">
        <f t="shared" si="3"/>
        <v>103621.43943214213</v>
      </c>
      <c r="S12" s="295">
        <f t="shared" si="3"/>
        <v>97969.360917661659</v>
      </c>
      <c r="T12" s="295">
        <f t="shared" si="3"/>
        <v>92317.282403181191</v>
      </c>
      <c r="U12" s="295">
        <f t="shared" si="3"/>
        <v>86665.203888700722</v>
      </c>
      <c r="V12" s="295">
        <f t="shared" si="3"/>
        <v>81013.125374220253</v>
      </c>
    </row>
    <row r="13" spans="1:22">
      <c r="A13" s="271" t="s">
        <v>491</v>
      </c>
      <c r="B13" s="298">
        <f>$B$12*B10</f>
        <v>0</v>
      </c>
      <c r="C13" s="298">
        <f t="shared" ref="C13:V13" si="4">$B$12*C10</f>
        <v>5652.078514480475</v>
      </c>
      <c r="D13" s="298">
        <f t="shared" si="4"/>
        <v>5652.078514480475</v>
      </c>
      <c r="E13" s="298">
        <f t="shared" si="4"/>
        <v>5652.078514480475</v>
      </c>
      <c r="F13" s="298">
        <f t="shared" si="4"/>
        <v>5652.078514480475</v>
      </c>
      <c r="G13" s="298">
        <f t="shared" si="4"/>
        <v>5652.078514480475</v>
      </c>
      <c r="H13" s="298">
        <f t="shared" si="4"/>
        <v>5652.078514480475</v>
      </c>
      <c r="I13" s="298">
        <f t="shared" si="4"/>
        <v>5652.078514480475</v>
      </c>
      <c r="J13" s="298">
        <f t="shared" si="4"/>
        <v>5652.078514480475</v>
      </c>
      <c r="K13" s="298">
        <f t="shared" si="4"/>
        <v>5652.078514480475</v>
      </c>
      <c r="L13" s="298">
        <f t="shared" si="4"/>
        <v>5652.078514480475</v>
      </c>
      <c r="M13" s="298">
        <f t="shared" si="4"/>
        <v>5652.078514480475</v>
      </c>
      <c r="N13" s="298">
        <f t="shared" si="4"/>
        <v>5652.078514480475</v>
      </c>
      <c r="O13" s="298">
        <f t="shared" si="4"/>
        <v>5652.078514480475</v>
      </c>
      <c r="P13" s="298">
        <f t="shared" si="4"/>
        <v>5652.078514480475</v>
      </c>
      <c r="Q13" s="298">
        <f t="shared" si="4"/>
        <v>5652.078514480475</v>
      </c>
      <c r="R13" s="298">
        <f t="shared" si="4"/>
        <v>5652.078514480475</v>
      </c>
      <c r="S13" s="298">
        <f t="shared" si="4"/>
        <v>5652.078514480475</v>
      </c>
      <c r="T13" s="298">
        <f t="shared" si="4"/>
        <v>5652.078514480475</v>
      </c>
      <c r="U13" s="298">
        <f t="shared" si="4"/>
        <v>5652.078514480475</v>
      </c>
      <c r="V13" s="298">
        <f t="shared" si="4"/>
        <v>5652.078514480475</v>
      </c>
    </row>
    <row r="14" spans="1:22">
      <c r="A14" s="271" t="s">
        <v>492</v>
      </c>
      <c r="B14" s="295">
        <f>B12-B13</f>
        <v>188402.61714934916</v>
      </c>
      <c r="C14" s="295">
        <f>C12-C13</f>
        <v>182750.53863486869</v>
      </c>
      <c r="D14" s="295">
        <f>D12-D13</f>
        <v>177098.46012038822</v>
      </c>
      <c r="E14" s="295">
        <f t="shared" ref="E14:V14" si="5">E12-E13</f>
        <v>171446.38160590775</v>
      </c>
      <c r="F14" s="295">
        <f t="shared" si="5"/>
        <v>165794.30309142728</v>
      </c>
      <c r="G14" s="295">
        <f t="shared" si="5"/>
        <v>160142.22457694681</v>
      </c>
      <c r="H14" s="295">
        <f t="shared" si="5"/>
        <v>154490.14606246635</v>
      </c>
      <c r="I14" s="295">
        <f t="shared" si="5"/>
        <v>148838.06754798588</v>
      </c>
      <c r="J14" s="295">
        <f t="shared" si="5"/>
        <v>143185.98903350541</v>
      </c>
      <c r="K14" s="295">
        <f t="shared" si="5"/>
        <v>137533.91051902494</v>
      </c>
      <c r="L14" s="295">
        <f t="shared" si="5"/>
        <v>131881.83200454447</v>
      </c>
      <c r="M14" s="295">
        <f t="shared" si="5"/>
        <v>126229.753490064</v>
      </c>
      <c r="N14" s="295">
        <f t="shared" si="5"/>
        <v>120577.67497558353</v>
      </c>
      <c r="O14" s="295">
        <f t="shared" si="5"/>
        <v>114925.59646110306</v>
      </c>
      <c r="P14" s="295">
        <f t="shared" si="5"/>
        <v>109273.5179466226</v>
      </c>
      <c r="Q14" s="295">
        <f t="shared" si="5"/>
        <v>103621.43943214213</v>
      </c>
      <c r="R14" s="295">
        <f t="shared" si="5"/>
        <v>97969.360917661659</v>
      </c>
      <c r="S14" s="295">
        <f t="shared" si="5"/>
        <v>92317.282403181191</v>
      </c>
      <c r="T14" s="295">
        <f t="shared" si="5"/>
        <v>86665.203888700722</v>
      </c>
      <c r="U14" s="295">
        <f t="shared" si="5"/>
        <v>81013.125374220253</v>
      </c>
      <c r="V14" s="295">
        <f t="shared" si="5"/>
        <v>75361.046859739785</v>
      </c>
    </row>
    <row r="15" spans="1:22">
      <c r="B15" s="271"/>
      <c r="C15" s="271"/>
      <c r="D15" s="271"/>
    </row>
    <row r="16" spans="1:22">
      <c r="A16" s="565" t="s">
        <v>410</v>
      </c>
      <c r="B16" s="271"/>
      <c r="C16" s="271"/>
      <c r="D16" s="271"/>
    </row>
    <row r="17" spans="1:22">
      <c r="A17" s="598" t="s">
        <v>488</v>
      </c>
      <c r="B17" s="1030">
        <v>0</v>
      </c>
      <c r="C17" s="1030">
        <v>12</v>
      </c>
      <c r="D17" s="1030">
        <v>12</v>
      </c>
      <c r="E17" s="1030">
        <v>12</v>
      </c>
      <c r="F17" s="1030">
        <v>12</v>
      </c>
      <c r="G17" s="1030">
        <v>12</v>
      </c>
      <c r="H17" s="1030">
        <v>12</v>
      </c>
      <c r="I17" s="1030">
        <v>12</v>
      </c>
      <c r="J17" s="1030">
        <v>12</v>
      </c>
      <c r="K17" s="1030">
        <v>12</v>
      </c>
      <c r="L17" s="1030">
        <v>12</v>
      </c>
      <c r="M17" s="1030">
        <v>12</v>
      </c>
      <c r="N17" s="1030">
        <v>12</v>
      </c>
      <c r="O17" s="1030">
        <v>12</v>
      </c>
      <c r="P17" s="1030">
        <v>12</v>
      </c>
      <c r="Q17" s="1030">
        <v>12</v>
      </c>
      <c r="R17" s="1030">
        <v>12</v>
      </c>
      <c r="S17" s="1030">
        <v>12</v>
      </c>
      <c r="T17" s="1030">
        <v>12</v>
      </c>
      <c r="U17" s="1030">
        <v>12</v>
      </c>
      <c r="V17" s="1030">
        <v>12</v>
      </c>
    </row>
    <row r="18" spans="1:22">
      <c r="A18" s="271" t="s">
        <v>489</v>
      </c>
      <c r="B18" s="558">
        <v>0</v>
      </c>
      <c r="C18" s="558">
        <f>90%/30</f>
        <v>3.0000000000000002E-2</v>
      </c>
      <c r="D18" s="558">
        <f>90%/30</f>
        <v>3.0000000000000002E-2</v>
      </c>
      <c r="E18" s="558">
        <f t="shared" ref="E18:V18" si="6">90%/30</f>
        <v>3.0000000000000002E-2</v>
      </c>
      <c r="F18" s="558">
        <f t="shared" si="6"/>
        <v>3.0000000000000002E-2</v>
      </c>
      <c r="G18" s="558">
        <f t="shared" si="6"/>
        <v>3.0000000000000002E-2</v>
      </c>
      <c r="H18" s="558">
        <f t="shared" si="6"/>
        <v>3.0000000000000002E-2</v>
      </c>
      <c r="I18" s="558">
        <f t="shared" si="6"/>
        <v>3.0000000000000002E-2</v>
      </c>
      <c r="J18" s="558">
        <f t="shared" si="6"/>
        <v>3.0000000000000002E-2</v>
      </c>
      <c r="K18" s="558">
        <f t="shared" si="6"/>
        <v>3.0000000000000002E-2</v>
      </c>
      <c r="L18" s="558">
        <f t="shared" si="6"/>
        <v>3.0000000000000002E-2</v>
      </c>
      <c r="M18" s="558">
        <f t="shared" si="6"/>
        <v>3.0000000000000002E-2</v>
      </c>
      <c r="N18" s="558">
        <f t="shared" si="6"/>
        <v>3.0000000000000002E-2</v>
      </c>
      <c r="O18" s="558">
        <f t="shared" si="6"/>
        <v>3.0000000000000002E-2</v>
      </c>
      <c r="P18" s="558">
        <f t="shared" si="6"/>
        <v>3.0000000000000002E-2</v>
      </c>
      <c r="Q18" s="558">
        <f t="shared" si="6"/>
        <v>3.0000000000000002E-2</v>
      </c>
      <c r="R18" s="558">
        <f t="shared" si="6"/>
        <v>3.0000000000000002E-2</v>
      </c>
      <c r="S18" s="558">
        <f t="shared" si="6"/>
        <v>3.0000000000000002E-2</v>
      </c>
      <c r="T18" s="558">
        <f t="shared" si="6"/>
        <v>3.0000000000000002E-2</v>
      </c>
      <c r="U18" s="558">
        <f t="shared" si="6"/>
        <v>3.0000000000000002E-2</v>
      </c>
      <c r="V18" s="558">
        <f t="shared" si="6"/>
        <v>3.0000000000000002E-2</v>
      </c>
    </row>
    <row r="19" spans="1:22">
      <c r="B19" s="271"/>
      <c r="C19" s="271"/>
      <c r="D19" s="271"/>
    </row>
    <row r="20" spans="1:22">
      <c r="A20" s="271" t="s">
        <v>490</v>
      </c>
      <c r="B20" s="273">
        <f>SUM('ENA_Summary Output'!$G$8,'ENA_Summary Output'!$G$9)*ENA_Allocation!$C$8+'Amortization of Power Contract'!$C$17</f>
        <v>223128.99812008941</v>
      </c>
      <c r="C20" s="295">
        <f>B22</f>
        <v>223128.99812008941</v>
      </c>
      <c r="D20" s="295">
        <f>C22</f>
        <v>216435.12817648673</v>
      </c>
      <c r="E20" s="295">
        <f t="shared" ref="E20:V20" si="7">D22</f>
        <v>209741.25823288405</v>
      </c>
      <c r="F20" s="295">
        <f t="shared" si="7"/>
        <v>203047.38828928137</v>
      </c>
      <c r="G20" s="295">
        <f t="shared" si="7"/>
        <v>196353.51834567869</v>
      </c>
      <c r="H20" s="295">
        <f t="shared" si="7"/>
        <v>189659.64840207601</v>
      </c>
      <c r="I20" s="295">
        <f t="shared" si="7"/>
        <v>182965.77845847333</v>
      </c>
      <c r="J20" s="295">
        <f t="shared" si="7"/>
        <v>176271.90851487065</v>
      </c>
      <c r="K20" s="295">
        <f t="shared" si="7"/>
        <v>169578.03857126797</v>
      </c>
      <c r="L20" s="295">
        <f t="shared" si="7"/>
        <v>162884.16862766529</v>
      </c>
      <c r="M20" s="295">
        <f t="shared" si="7"/>
        <v>156190.29868406261</v>
      </c>
      <c r="N20" s="295">
        <f t="shared" si="7"/>
        <v>149496.42874045993</v>
      </c>
      <c r="O20" s="295">
        <f t="shared" si="7"/>
        <v>142802.55879685725</v>
      </c>
      <c r="P20" s="295">
        <f t="shared" si="7"/>
        <v>136108.68885325457</v>
      </c>
      <c r="Q20" s="295">
        <f t="shared" si="7"/>
        <v>129414.81890965189</v>
      </c>
      <c r="R20" s="295">
        <f t="shared" si="7"/>
        <v>122720.94896604921</v>
      </c>
      <c r="S20" s="295">
        <f t="shared" si="7"/>
        <v>116027.07902244653</v>
      </c>
      <c r="T20" s="295">
        <f t="shared" si="7"/>
        <v>109333.20907884385</v>
      </c>
      <c r="U20" s="295">
        <f t="shared" si="7"/>
        <v>102639.33913524117</v>
      </c>
      <c r="V20" s="295">
        <f t="shared" si="7"/>
        <v>95945.469191638491</v>
      </c>
    </row>
    <row r="21" spans="1:22">
      <c r="A21" s="271" t="s">
        <v>491</v>
      </c>
      <c r="B21" s="298">
        <f t="shared" ref="B21:V21" si="8">$B$20*B18</f>
        <v>0</v>
      </c>
      <c r="C21" s="298">
        <f t="shared" si="8"/>
        <v>6693.8699436026827</v>
      </c>
      <c r="D21" s="298">
        <f t="shared" si="8"/>
        <v>6693.8699436026827</v>
      </c>
      <c r="E21" s="298">
        <f t="shared" si="8"/>
        <v>6693.8699436026827</v>
      </c>
      <c r="F21" s="298">
        <f t="shared" si="8"/>
        <v>6693.8699436026827</v>
      </c>
      <c r="G21" s="298">
        <f t="shared" si="8"/>
        <v>6693.8699436026827</v>
      </c>
      <c r="H21" s="298">
        <f t="shared" si="8"/>
        <v>6693.8699436026827</v>
      </c>
      <c r="I21" s="298">
        <f t="shared" si="8"/>
        <v>6693.8699436026827</v>
      </c>
      <c r="J21" s="298">
        <f t="shared" si="8"/>
        <v>6693.8699436026827</v>
      </c>
      <c r="K21" s="298">
        <f t="shared" si="8"/>
        <v>6693.8699436026827</v>
      </c>
      <c r="L21" s="298">
        <f t="shared" si="8"/>
        <v>6693.8699436026827</v>
      </c>
      <c r="M21" s="298">
        <f t="shared" si="8"/>
        <v>6693.8699436026827</v>
      </c>
      <c r="N21" s="298">
        <f t="shared" si="8"/>
        <v>6693.8699436026827</v>
      </c>
      <c r="O21" s="298">
        <f t="shared" si="8"/>
        <v>6693.8699436026827</v>
      </c>
      <c r="P21" s="298">
        <f t="shared" si="8"/>
        <v>6693.8699436026827</v>
      </c>
      <c r="Q21" s="298">
        <f t="shared" si="8"/>
        <v>6693.8699436026827</v>
      </c>
      <c r="R21" s="298">
        <f t="shared" si="8"/>
        <v>6693.8699436026827</v>
      </c>
      <c r="S21" s="298">
        <f t="shared" si="8"/>
        <v>6693.8699436026827</v>
      </c>
      <c r="T21" s="298">
        <f t="shared" si="8"/>
        <v>6693.8699436026827</v>
      </c>
      <c r="U21" s="298">
        <f t="shared" si="8"/>
        <v>6693.8699436026827</v>
      </c>
      <c r="V21" s="298">
        <f t="shared" si="8"/>
        <v>6693.8699436026827</v>
      </c>
    </row>
    <row r="22" spans="1:22">
      <c r="A22" s="271" t="s">
        <v>492</v>
      </c>
      <c r="B22" s="295">
        <f>B20-B21</f>
        <v>223128.99812008941</v>
      </c>
      <c r="C22" s="295">
        <f>C20-C21</f>
        <v>216435.12817648673</v>
      </c>
      <c r="D22" s="295">
        <f>D20-D21</f>
        <v>209741.25823288405</v>
      </c>
      <c r="E22" s="295">
        <f t="shared" ref="E22:V22" si="9">E20-E21</f>
        <v>203047.38828928137</v>
      </c>
      <c r="F22" s="295">
        <f t="shared" si="9"/>
        <v>196353.51834567869</v>
      </c>
      <c r="G22" s="295">
        <f t="shared" si="9"/>
        <v>189659.64840207601</v>
      </c>
      <c r="H22" s="295">
        <f t="shared" si="9"/>
        <v>182965.77845847333</v>
      </c>
      <c r="I22" s="295">
        <f t="shared" si="9"/>
        <v>176271.90851487065</v>
      </c>
      <c r="J22" s="295">
        <f t="shared" si="9"/>
        <v>169578.03857126797</v>
      </c>
      <c r="K22" s="295">
        <f t="shared" si="9"/>
        <v>162884.16862766529</v>
      </c>
      <c r="L22" s="295">
        <f t="shared" si="9"/>
        <v>156190.29868406261</v>
      </c>
      <c r="M22" s="295">
        <f t="shared" si="9"/>
        <v>149496.42874045993</v>
      </c>
      <c r="N22" s="295">
        <f t="shared" si="9"/>
        <v>142802.55879685725</v>
      </c>
      <c r="O22" s="295">
        <f t="shared" si="9"/>
        <v>136108.68885325457</v>
      </c>
      <c r="P22" s="295">
        <f t="shared" si="9"/>
        <v>129414.81890965189</v>
      </c>
      <c r="Q22" s="295">
        <f t="shared" si="9"/>
        <v>122720.94896604921</v>
      </c>
      <c r="R22" s="295">
        <f t="shared" si="9"/>
        <v>116027.07902244653</v>
      </c>
      <c r="S22" s="295">
        <f t="shared" si="9"/>
        <v>109333.20907884385</v>
      </c>
      <c r="T22" s="295">
        <f t="shared" si="9"/>
        <v>102639.33913524117</v>
      </c>
      <c r="U22" s="295">
        <f t="shared" si="9"/>
        <v>95945.469191638491</v>
      </c>
      <c r="V22" s="295">
        <f t="shared" si="9"/>
        <v>89251.599248035811</v>
      </c>
    </row>
    <row r="23" spans="1:22">
      <c r="B23" s="271"/>
      <c r="C23" s="271"/>
      <c r="D23" s="271"/>
    </row>
    <row r="24" spans="1:22">
      <c r="A24" s="565" t="s">
        <v>411</v>
      </c>
      <c r="B24" s="271"/>
      <c r="C24" s="271"/>
      <c r="D24" s="271"/>
    </row>
    <row r="25" spans="1:22">
      <c r="A25" s="598" t="s">
        <v>488</v>
      </c>
      <c r="B25" s="1030">
        <v>0</v>
      </c>
      <c r="C25" s="1030">
        <v>12</v>
      </c>
      <c r="D25" s="1030">
        <v>12</v>
      </c>
      <c r="E25" s="1030">
        <v>12</v>
      </c>
      <c r="F25" s="1030">
        <v>12</v>
      </c>
      <c r="G25" s="1030">
        <v>12</v>
      </c>
      <c r="H25" s="1030">
        <v>12</v>
      </c>
      <c r="I25" s="1030">
        <v>12</v>
      </c>
      <c r="J25" s="1030">
        <v>12</v>
      </c>
      <c r="K25" s="1030">
        <v>12</v>
      </c>
      <c r="L25" s="1030">
        <v>12</v>
      </c>
      <c r="M25" s="1030">
        <v>12</v>
      </c>
      <c r="N25" s="1030">
        <v>12</v>
      </c>
      <c r="O25" s="1030">
        <v>12</v>
      </c>
      <c r="P25" s="1030">
        <v>12</v>
      </c>
      <c r="Q25" s="1030">
        <v>12</v>
      </c>
      <c r="R25" s="1030">
        <v>12</v>
      </c>
      <c r="S25" s="1030">
        <v>12</v>
      </c>
      <c r="T25" s="1030">
        <v>12</v>
      </c>
      <c r="U25" s="1030">
        <v>12</v>
      </c>
      <c r="V25" s="1030">
        <v>12</v>
      </c>
    </row>
    <row r="26" spans="1:22">
      <c r="A26" s="271" t="s">
        <v>489</v>
      </c>
      <c r="B26" s="558">
        <v>0</v>
      </c>
      <c r="C26" s="558">
        <f>90%/30</f>
        <v>3.0000000000000002E-2</v>
      </c>
      <c r="D26" s="558">
        <f>90%/30</f>
        <v>3.0000000000000002E-2</v>
      </c>
      <c r="E26" s="558">
        <f t="shared" ref="E26:V26" si="10">90%/30</f>
        <v>3.0000000000000002E-2</v>
      </c>
      <c r="F26" s="558">
        <f t="shared" si="10"/>
        <v>3.0000000000000002E-2</v>
      </c>
      <c r="G26" s="558">
        <f t="shared" si="10"/>
        <v>3.0000000000000002E-2</v>
      </c>
      <c r="H26" s="558">
        <f t="shared" si="10"/>
        <v>3.0000000000000002E-2</v>
      </c>
      <c r="I26" s="558">
        <f t="shared" si="10"/>
        <v>3.0000000000000002E-2</v>
      </c>
      <c r="J26" s="558">
        <f t="shared" si="10"/>
        <v>3.0000000000000002E-2</v>
      </c>
      <c r="K26" s="558">
        <f t="shared" si="10"/>
        <v>3.0000000000000002E-2</v>
      </c>
      <c r="L26" s="558">
        <f t="shared" si="10"/>
        <v>3.0000000000000002E-2</v>
      </c>
      <c r="M26" s="558">
        <f t="shared" si="10"/>
        <v>3.0000000000000002E-2</v>
      </c>
      <c r="N26" s="558">
        <f t="shared" si="10"/>
        <v>3.0000000000000002E-2</v>
      </c>
      <c r="O26" s="558">
        <f t="shared" si="10"/>
        <v>3.0000000000000002E-2</v>
      </c>
      <c r="P26" s="558">
        <f t="shared" si="10"/>
        <v>3.0000000000000002E-2</v>
      </c>
      <c r="Q26" s="558">
        <f t="shared" si="10"/>
        <v>3.0000000000000002E-2</v>
      </c>
      <c r="R26" s="558">
        <f t="shared" si="10"/>
        <v>3.0000000000000002E-2</v>
      </c>
      <c r="S26" s="558">
        <f t="shared" si="10"/>
        <v>3.0000000000000002E-2</v>
      </c>
      <c r="T26" s="558">
        <f t="shared" si="10"/>
        <v>3.0000000000000002E-2</v>
      </c>
      <c r="U26" s="558">
        <f t="shared" si="10"/>
        <v>3.0000000000000002E-2</v>
      </c>
      <c r="V26" s="558">
        <f t="shared" si="10"/>
        <v>3.0000000000000002E-2</v>
      </c>
    </row>
    <row r="27" spans="1:22">
      <c r="B27" s="271"/>
      <c r="C27" s="271"/>
      <c r="D27" s="271"/>
    </row>
    <row r="28" spans="1:22">
      <c r="A28" s="271" t="s">
        <v>490</v>
      </c>
      <c r="B28" s="273">
        <f>SUM('ENA_Summary Output'!$G$8,'ENA_Summary Output'!$G$9)*ENA_Allocation!$C$9+'Amortization of Power Contract'!$C$23</f>
        <v>210479.80449373255</v>
      </c>
      <c r="C28" s="295">
        <f>B30</f>
        <v>210479.80449373255</v>
      </c>
      <c r="D28" s="295">
        <f>C30</f>
        <v>204165.41035892058</v>
      </c>
      <c r="E28" s="295">
        <f t="shared" ref="E28:V28" si="11">D30</f>
        <v>197851.01622410861</v>
      </c>
      <c r="F28" s="295">
        <f t="shared" si="11"/>
        <v>191536.62208929664</v>
      </c>
      <c r="G28" s="295">
        <f t="shared" si="11"/>
        <v>185222.22795448467</v>
      </c>
      <c r="H28" s="295">
        <f t="shared" si="11"/>
        <v>178907.8338196727</v>
      </c>
      <c r="I28" s="295">
        <f t="shared" si="11"/>
        <v>172593.43968486073</v>
      </c>
      <c r="J28" s="295">
        <f t="shared" si="11"/>
        <v>166279.04555004876</v>
      </c>
      <c r="K28" s="295">
        <f t="shared" si="11"/>
        <v>159964.65141523679</v>
      </c>
      <c r="L28" s="295">
        <f t="shared" si="11"/>
        <v>153650.25728042482</v>
      </c>
      <c r="M28" s="295">
        <f t="shared" si="11"/>
        <v>147335.86314561285</v>
      </c>
      <c r="N28" s="295">
        <f t="shared" si="11"/>
        <v>141021.46901080088</v>
      </c>
      <c r="O28" s="295">
        <f t="shared" si="11"/>
        <v>134707.07487598891</v>
      </c>
      <c r="P28" s="295">
        <f t="shared" si="11"/>
        <v>128392.68074117694</v>
      </c>
      <c r="Q28" s="295">
        <f t="shared" si="11"/>
        <v>122078.28660636497</v>
      </c>
      <c r="R28" s="295">
        <f t="shared" si="11"/>
        <v>115763.892471553</v>
      </c>
      <c r="S28" s="295">
        <f t="shared" si="11"/>
        <v>109449.49833674103</v>
      </c>
      <c r="T28" s="295">
        <f t="shared" si="11"/>
        <v>103135.10420192906</v>
      </c>
      <c r="U28" s="295">
        <f t="shared" si="11"/>
        <v>96820.710067117092</v>
      </c>
      <c r="V28" s="295">
        <f t="shared" si="11"/>
        <v>90506.315932305122</v>
      </c>
    </row>
    <row r="29" spans="1:22">
      <c r="A29" s="271" t="s">
        <v>491</v>
      </c>
      <c r="B29" s="298">
        <f>$B$28*B26</f>
        <v>0</v>
      </c>
      <c r="C29" s="298">
        <f t="shared" ref="C29:V29" si="12">$B$28*C26</f>
        <v>6314.394134811977</v>
      </c>
      <c r="D29" s="298">
        <f t="shared" si="12"/>
        <v>6314.394134811977</v>
      </c>
      <c r="E29" s="298">
        <f t="shared" si="12"/>
        <v>6314.394134811977</v>
      </c>
      <c r="F29" s="298">
        <f t="shared" si="12"/>
        <v>6314.394134811977</v>
      </c>
      <c r="G29" s="298">
        <f t="shared" si="12"/>
        <v>6314.394134811977</v>
      </c>
      <c r="H29" s="298">
        <f t="shared" si="12"/>
        <v>6314.394134811977</v>
      </c>
      <c r="I29" s="298">
        <f t="shared" si="12"/>
        <v>6314.394134811977</v>
      </c>
      <c r="J29" s="298">
        <f t="shared" si="12"/>
        <v>6314.394134811977</v>
      </c>
      <c r="K29" s="298">
        <f t="shared" si="12"/>
        <v>6314.394134811977</v>
      </c>
      <c r="L29" s="298">
        <f t="shared" si="12"/>
        <v>6314.394134811977</v>
      </c>
      <c r="M29" s="298">
        <f t="shared" si="12"/>
        <v>6314.394134811977</v>
      </c>
      <c r="N29" s="298">
        <f t="shared" si="12"/>
        <v>6314.394134811977</v>
      </c>
      <c r="O29" s="298">
        <f t="shared" si="12"/>
        <v>6314.394134811977</v>
      </c>
      <c r="P29" s="298">
        <f t="shared" si="12"/>
        <v>6314.394134811977</v>
      </c>
      <c r="Q29" s="298">
        <f t="shared" si="12"/>
        <v>6314.394134811977</v>
      </c>
      <c r="R29" s="298">
        <f t="shared" si="12"/>
        <v>6314.394134811977</v>
      </c>
      <c r="S29" s="298">
        <f t="shared" si="12"/>
        <v>6314.394134811977</v>
      </c>
      <c r="T29" s="298">
        <f t="shared" si="12"/>
        <v>6314.394134811977</v>
      </c>
      <c r="U29" s="298">
        <f t="shared" si="12"/>
        <v>6314.394134811977</v>
      </c>
      <c r="V29" s="298">
        <f t="shared" si="12"/>
        <v>6314.394134811977</v>
      </c>
    </row>
    <row r="30" spans="1:22">
      <c r="A30" s="271" t="s">
        <v>492</v>
      </c>
      <c r="B30" s="295">
        <f>B28-B29</f>
        <v>210479.80449373255</v>
      </c>
      <c r="C30" s="295">
        <f>C28-C29</f>
        <v>204165.41035892058</v>
      </c>
      <c r="D30" s="295">
        <f>D28-D29</f>
        <v>197851.01622410861</v>
      </c>
      <c r="E30" s="295">
        <f t="shared" ref="E30:V30" si="13">E28-E29</f>
        <v>191536.62208929664</v>
      </c>
      <c r="F30" s="295">
        <f t="shared" si="13"/>
        <v>185222.22795448467</v>
      </c>
      <c r="G30" s="295">
        <f t="shared" si="13"/>
        <v>178907.8338196727</v>
      </c>
      <c r="H30" s="295">
        <f t="shared" si="13"/>
        <v>172593.43968486073</v>
      </c>
      <c r="I30" s="295">
        <f t="shared" si="13"/>
        <v>166279.04555004876</v>
      </c>
      <c r="J30" s="295">
        <f t="shared" si="13"/>
        <v>159964.65141523679</v>
      </c>
      <c r="K30" s="295">
        <f t="shared" si="13"/>
        <v>153650.25728042482</v>
      </c>
      <c r="L30" s="295">
        <f t="shared" si="13"/>
        <v>147335.86314561285</v>
      </c>
      <c r="M30" s="295">
        <f t="shared" si="13"/>
        <v>141021.46901080088</v>
      </c>
      <c r="N30" s="295">
        <f t="shared" si="13"/>
        <v>134707.07487598891</v>
      </c>
      <c r="O30" s="295">
        <f t="shared" si="13"/>
        <v>128392.68074117694</v>
      </c>
      <c r="P30" s="295">
        <f t="shared" si="13"/>
        <v>122078.28660636497</v>
      </c>
      <c r="Q30" s="295">
        <f t="shared" si="13"/>
        <v>115763.892471553</v>
      </c>
      <c r="R30" s="295">
        <f t="shared" si="13"/>
        <v>109449.49833674103</v>
      </c>
      <c r="S30" s="295">
        <f t="shared" si="13"/>
        <v>103135.10420192906</v>
      </c>
      <c r="T30" s="295">
        <f t="shared" si="13"/>
        <v>96820.710067117092</v>
      </c>
      <c r="U30" s="295">
        <f t="shared" si="13"/>
        <v>90506.315932305122</v>
      </c>
      <c r="V30" s="295">
        <f t="shared" si="13"/>
        <v>84191.921797493153</v>
      </c>
    </row>
    <row r="31" spans="1:22">
      <c r="B31" s="271"/>
      <c r="C31" s="271"/>
      <c r="D31" s="271"/>
    </row>
    <row r="32" spans="1:22">
      <c r="A32" s="565" t="s">
        <v>412</v>
      </c>
      <c r="B32" s="271"/>
      <c r="C32" s="271"/>
      <c r="D32" s="271"/>
    </row>
    <row r="33" spans="1:26">
      <c r="A33" s="598" t="s">
        <v>488</v>
      </c>
      <c r="B33" s="1030">
        <v>0</v>
      </c>
      <c r="C33" s="1030">
        <v>12</v>
      </c>
      <c r="D33" s="1030">
        <v>12</v>
      </c>
      <c r="E33" s="1030">
        <v>12</v>
      </c>
      <c r="F33" s="1030">
        <v>12</v>
      </c>
      <c r="G33" s="1030">
        <v>12</v>
      </c>
      <c r="H33" s="1030">
        <v>12</v>
      </c>
      <c r="I33" s="1030">
        <v>12</v>
      </c>
      <c r="J33" s="1030">
        <v>12</v>
      </c>
      <c r="K33" s="1030">
        <v>12</v>
      </c>
      <c r="L33" s="1030">
        <v>12</v>
      </c>
      <c r="M33" s="1030">
        <v>12</v>
      </c>
      <c r="N33" s="1030">
        <v>12</v>
      </c>
      <c r="O33" s="1030">
        <v>12</v>
      </c>
      <c r="P33" s="1030">
        <v>12</v>
      </c>
      <c r="Q33" s="1030">
        <v>12</v>
      </c>
      <c r="R33" s="1030">
        <v>12</v>
      </c>
      <c r="S33" s="1030">
        <v>12</v>
      </c>
      <c r="T33" s="1030">
        <v>12</v>
      </c>
      <c r="U33" s="1030">
        <v>12</v>
      </c>
      <c r="V33" s="1030">
        <v>12</v>
      </c>
    </row>
    <row r="34" spans="1:26">
      <c r="A34" s="271" t="s">
        <v>489</v>
      </c>
      <c r="B34" s="558">
        <v>0</v>
      </c>
      <c r="C34" s="558">
        <f>90%/30</f>
        <v>3.0000000000000002E-2</v>
      </c>
      <c r="D34" s="558">
        <f>90%/30</f>
        <v>3.0000000000000002E-2</v>
      </c>
      <c r="E34" s="558">
        <f t="shared" ref="E34:V34" si="14">90%/30</f>
        <v>3.0000000000000002E-2</v>
      </c>
      <c r="F34" s="558">
        <f t="shared" si="14"/>
        <v>3.0000000000000002E-2</v>
      </c>
      <c r="G34" s="558">
        <f t="shared" si="14"/>
        <v>3.0000000000000002E-2</v>
      </c>
      <c r="H34" s="558">
        <f t="shared" si="14"/>
        <v>3.0000000000000002E-2</v>
      </c>
      <c r="I34" s="558">
        <f t="shared" si="14"/>
        <v>3.0000000000000002E-2</v>
      </c>
      <c r="J34" s="558">
        <f t="shared" si="14"/>
        <v>3.0000000000000002E-2</v>
      </c>
      <c r="K34" s="558">
        <f t="shared" si="14"/>
        <v>3.0000000000000002E-2</v>
      </c>
      <c r="L34" s="558">
        <f t="shared" si="14"/>
        <v>3.0000000000000002E-2</v>
      </c>
      <c r="M34" s="558">
        <f t="shared" si="14"/>
        <v>3.0000000000000002E-2</v>
      </c>
      <c r="N34" s="558">
        <f t="shared" si="14"/>
        <v>3.0000000000000002E-2</v>
      </c>
      <c r="O34" s="558">
        <f t="shared" si="14"/>
        <v>3.0000000000000002E-2</v>
      </c>
      <c r="P34" s="558">
        <f t="shared" si="14"/>
        <v>3.0000000000000002E-2</v>
      </c>
      <c r="Q34" s="558">
        <f t="shared" si="14"/>
        <v>3.0000000000000002E-2</v>
      </c>
      <c r="R34" s="558">
        <f t="shared" si="14"/>
        <v>3.0000000000000002E-2</v>
      </c>
      <c r="S34" s="558">
        <f t="shared" si="14"/>
        <v>3.0000000000000002E-2</v>
      </c>
      <c r="T34" s="558">
        <f t="shared" si="14"/>
        <v>3.0000000000000002E-2</v>
      </c>
      <c r="U34" s="558">
        <f t="shared" si="14"/>
        <v>3.0000000000000002E-2</v>
      </c>
      <c r="V34" s="558">
        <f t="shared" si="14"/>
        <v>3.0000000000000002E-2</v>
      </c>
    </row>
    <row r="35" spans="1:26">
      <c r="B35" s="271"/>
      <c r="C35" s="271"/>
      <c r="D35" s="271"/>
    </row>
    <row r="36" spans="1:26">
      <c r="A36" s="271" t="s">
        <v>490</v>
      </c>
      <c r="B36" s="273">
        <f>SUM('ENA_Summary Output'!$G$8,'ENA_Summary Output'!$G$9)*ENA_Allocation!$C$12+'Amortization of Power Contract'!$C$29</f>
        <v>251129.19185936253</v>
      </c>
      <c r="C36" s="295">
        <f>B38</f>
        <v>251129.19185936253</v>
      </c>
      <c r="D36" s="295">
        <f>C38</f>
        <v>243595.31610358166</v>
      </c>
      <c r="E36" s="295">
        <f t="shared" ref="E36:V36" si="15">D38</f>
        <v>236061.44034780079</v>
      </c>
      <c r="F36" s="295">
        <f t="shared" si="15"/>
        <v>228527.56459201992</v>
      </c>
      <c r="G36" s="295">
        <f t="shared" si="15"/>
        <v>220993.68883623905</v>
      </c>
      <c r="H36" s="295">
        <f t="shared" si="15"/>
        <v>213459.81308045817</v>
      </c>
      <c r="I36" s="295">
        <f t="shared" si="15"/>
        <v>205925.9373246773</v>
      </c>
      <c r="J36" s="295">
        <f t="shared" si="15"/>
        <v>198392.06156889643</v>
      </c>
      <c r="K36" s="295">
        <f t="shared" si="15"/>
        <v>190858.18581311556</v>
      </c>
      <c r="L36" s="295">
        <f t="shared" si="15"/>
        <v>183324.31005733469</v>
      </c>
      <c r="M36" s="295">
        <f t="shared" si="15"/>
        <v>175790.43430155382</v>
      </c>
      <c r="N36" s="295">
        <f t="shared" si="15"/>
        <v>168256.55854577295</v>
      </c>
      <c r="O36" s="295">
        <f t="shared" si="15"/>
        <v>160722.68278999208</v>
      </c>
      <c r="P36" s="295">
        <f t="shared" si="15"/>
        <v>153188.8070342112</v>
      </c>
      <c r="Q36" s="295">
        <f t="shared" si="15"/>
        <v>145654.93127843033</v>
      </c>
      <c r="R36" s="295">
        <f t="shared" si="15"/>
        <v>138121.05552264946</v>
      </c>
      <c r="S36" s="295">
        <f t="shared" si="15"/>
        <v>130587.17976686859</v>
      </c>
      <c r="T36" s="295">
        <f t="shared" si="15"/>
        <v>123053.30401108772</v>
      </c>
      <c r="U36" s="295">
        <f t="shared" si="15"/>
        <v>115519.42825530685</v>
      </c>
      <c r="V36" s="295">
        <f t="shared" si="15"/>
        <v>107985.55249952598</v>
      </c>
    </row>
    <row r="37" spans="1:26">
      <c r="A37" s="271" t="s">
        <v>491</v>
      </c>
      <c r="B37" s="298">
        <f>$B$36*B34</f>
        <v>0</v>
      </c>
      <c r="C37" s="298">
        <f t="shared" ref="C37:V37" si="16">$B$36*C34</f>
        <v>7533.8757557808767</v>
      </c>
      <c r="D37" s="298">
        <f t="shared" si="16"/>
        <v>7533.8757557808767</v>
      </c>
      <c r="E37" s="298">
        <f t="shared" si="16"/>
        <v>7533.8757557808767</v>
      </c>
      <c r="F37" s="298">
        <f t="shared" si="16"/>
        <v>7533.8757557808767</v>
      </c>
      <c r="G37" s="298">
        <f t="shared" si="16"/>
        <v>7533.8757557808767</v>
      </c>
      <c r="H37" s="298">
        <f t="shared" si="16"/>
        <v>7533.8757557808767</v>
      </c>
      <c r="I37" s="298">
        <f t="shared" si="16"/>
        <v>7533.8757557808767</v>
      </c>
      <c r="J37" s="298">
        <f t="shared" si="16"/>
        <v>7533.8757557808767</v>
      </c>
      <c r="K37" s="298">
        <f t="shared" si="16"/>
        <v>7533.8757557808767</v>
      </c>
      <c r="L37" s="298">
        <f t="shared" si="16"/>
        <v>7533.8757557808767</v>
      </c>
      <c r="M37" s="298">
        <f t="shared" si="16"/>
        <v>7533.8757557808767</v>
      </c>
      <c r="N37" s="298">
        <f t="shared" si="16"/>
        <v>7533.8757557808767</v>
      </c>
      <c r="O37" s="298">
        <f t="shared" si="16"/>
        <v>7533.8757557808767</v>
      </c>
      <c r="P37" s="298">
        <f t="shared" si="16"/>
        <v>7533.8757557808767</v>
      </c>
      <c r="Q37" s="298">
        <f t="shared" si="16"/>
        <v>7533.8757557808767</v>
      </c>
      <c r="R37" s="298">
        <f t="shared" si="16"/>
        <v>7533.8757557808767</v>
      </c>
      <c r="S37" s="298">
        <f t="shared" si="16"/>
        <v>7533.8757557808767</v>
      </c>
      <c r="T37" s="298">
        <f t="shared" si="16"/>
        <v>7533.8757557808767</v>
      </c>
      <c r="U37" s="298">
        <f t="shared" si="16"/>
        <v>7533.8757557808767</v>
      </c>
      <c r="V37" s="298">
        <f t="shared" si="16"/>
        <v>7533.8757557808767</v>
      </c>
    </row>
    <row r="38" spans="1:26">
      <c r="A38" s="271" t="s">
        <v>492</v>
      </c>
      <c r="B38" s="295">
        <f>B36-B37</f>
        <v>251129.19185936253</v>
      </c>
      <c r="C38" s="295">
        <f>C36-C37</f>
        <v>243595.31610358166</v>
      </c>
      <c r="D38" s="295">
        <f>D36-D37</f>
        <v>236061.44034780079</v>
      </c>
      <c r="E38" s="295">
        <f t="shared" ref="E38:V38" si="17">E36-E37</f>
        <v>228527.56459201992</v>
      </c>
      <c r="F38" s="295">
        <f t="shared" si="17"/>
        <v>220993.68883623905</v>
      </c>
      <c r="G38" s="295">
        <f t="shared" si="17"/>
        <v>213459.81308045817</v>
      </c>
      <c r="H38" s="295">
        <f t="shared" si="17"/>
        <v>205925.9373246773</v>
      </c>
      <c r="I38" s="295">
        <f t="shared" si="17"/>
        <v>198392.06156889643</v>
      </c>
      <c r="J38" s="295">
        <f t="shared" si="17"/>
        <v>190858.18581311556</v>
      </c>
      <c r="K38" s="295">
        <f t="shared" si="17"/>
        <v>183324.31005733469</v>
      </c>
      <c r="L38" s="295">
        <f t="shared" si="17"/>
        <v>175790.43430155382</v>
      </c>
      <c r="M38" s="295">
        <f t="shared" si="17"/>
        <v>168256.55854577295</v>
      </c>
      <c r="N38" s="295">
        <f t="shared" si="17"/>
        <v>160722.68278999208</v>
      </c>
      <c r="O38" s="295">
        <f t="shared" si="17"/>
        <v>153188.8070342112</v>
      </c>
      <c r="P38" s="295">
        <f t="shared" si="17"/>
        <v>145654.93127843033</v>
      </c>
      <c r="Q38" s="295">
        <f t="shared" si="17"/>
        <v>138121.05552264946</v>
      </c>
      <c r="R38" s="295">
        <f t="shared" si="17"/>
        <v>130587.17976686859</v>
      </c>
      <c r="S38" s="295">
        <f t="shared" si="17"/>
        <v>123053.30401108772</v>
      </c>
      <c r="T38" s="295">
        <f t="shared" si="17"/>
        <v>115519.42825530685</v>
      </c>
      <c r="U38" s="295">
        <f t="shared" si="17"/>
        <v>107985.55249952598</v>
      </c>
      <c r="V38" s="295">
        <f t="shared" si="17"/>
        <v>100451.67674374511</v>
      </c>
    </row>
    <row r="39" spans="1:26">
      <c r="B39" s="271"/>
      <c r="C39" s="271"/>
      <c r="D39" s="271"/>
    </row>
    <row r="40" spans="1:26">
      <c r="A40" s="565" t="s">
        <v>413</v>
      </c>
      <c r="B40" s="271"/>
      <c r="C40" s="271"/>
      <c r="D40" s="271"/>
    </row>
    <row r="41" spans="1:26">
      <c r="A41" s="598" t="s">
        <v>488</v>
      </c>
      <c r="B41" s="1030">
        <v>0</v>
      </c>
      <c r="C41" s="1030">
        <v>12</v>
      </c>
      <c r="D41" s="1030">
        <v>12</v>
      </c>
      <c r="E41" s="1030">
        <v>12</v>
      </c>
      <c r="F41" s="1030">
        <v>12</v>
      </c>
      <c r="G41" s="1030">
        <v>12</v>
      </c>
      <c r="H41" s="1030">
        <v>12</v>
      </c>
      <c r="I41" s="1030">
        <v>12</v>
      </c>
      <c r="J41" s="1030">
        <v>12</v>
      </c>
      <c r="K41" s="1030">
        <v>12</v>
      </c>
      <c r="L41" s="1030">
        <v>12</v>
      </c>
      <c r="M41" s="1030">
        <v>12</v>
      </c>
      <c r="N41" s="1030">
        <v>12</v>
      </c>
      <c r="O41" s="1030">
        <v>12</v>
      </c>
      <c r="P41" s="1030">
        <v>12</v>
      </c>
      <c r="Q41" s="1030">
        <v>12</v>
      </c>
      <c r="R41" s="1030">
        <v>12</v>
      </c>
      <c r="S41" s="1030">
        <v>12</v>
      </c>
      <c r="T41" s="1030">
        <v>12</v>
      </c>
      <c r="U41" s="1030">
        <v>12</v>
      </c>
      <c r="V41" s="1030">
        <v>12</v>
      </c>
    </row>
    <row r="42" spans="1:26">
      <c r="A42" s="271" t="s">
        <v>489</v>
      </c>
      <c r="B42" s="558">
        <v>0</v>
      </c>
      <c r="C42" s="558">
        <f>90%/30</f>
        <v>3.0000000000000002E-2</v>
      </c>
      <c r="D42" s="558">
        <f>90%/30</f>
        <v>3.0000000000000002E-2</v>
      </c>
      <c r="E42" s="558">
        <f t="shared" ref="E42:V42" si="18">90%/30</f>
        <v>3.0000000000000002E-2</v>
      </c>
      <c r="F42" s="558">
        <f t="shared" si="18"/>
        <v>3.0000000000000002E-2</v>
      </c>
      <c r="G42" s="558">
        <f t="shared" si="18"/>
        <v>3.0000000000000002E-2</v>
      </c>
      <c r="H42" s="558">
        <f t="shared" si="18"/>
        <v>3.0000000000000002E-2</v>
      </c>
      <c r="I42" s="558">
        <f t="shared" si="18"/>
        <v>3.0000000000000002E-2</v>
      </c>
      <c r="J42" s="558">
        <f t="shared" si="18"/>
        <v>3.0000000000000002E-2</v>
      </c>
      <c r="K42" s="558">
        <f t="shared" si="18"/>
        <v>3.0000000000000002E-2</v>
      </c>
      <c r="L42" s="558">
        <f t="shared" si="18"/>
        <v>3.0000000000000002E-2</v>
      </c>
      <c r="M42" s="558">
        <f t="shared" si="18"/>
        <v>3.0000000000000002E-2</v>
      </c>
      <c r="N42" s="558">
        <f t="shared" si="18"/>
        <v>3.0000000000000002E-2</v>
      </c>
      <c r="O42" s="558">
        <f t="shared" si="18"/>
        <v>3.0000000000000002E-2</v>
      </c>
      <c r="P42" s="558">
        <f t="shared" si="18"/>
        <v>3.0000000000000002E-2</v>
      </c>
      <c r="Q42" s="558">
        <f t="shared" si="18"/>
        <v>3.0000000000000002E-2</v>
      </c>
      <c r="R42" s="558">
        <f t="shared" si="18"/>
        <v>3.0000000000000002E-2</v>
      </c>
      <c r="S42" s="558">
        <f t="shared" si="18"/>
        <v>3.0000000000000002E-2</v>
      </c>
      <c r="T42" s="558">
        <f t="shared" si="18"/>
        <v>3.0000000000000002E-2</v>
      </c>
      <c r="U42" s="558">
        <f t="shared" si="18"/>
        <v>3.0000000000000002E-2</v>
      </c>
      <c r="V42" s="558">
        <f t="shared" si="18"/>
        <v>3.0000000000000002E-2</v>
      </c>
    </row>
    <row r="43" spans="1:26">
      <c r="B43" s="271"/>
      <c r="C43" s="271"/>
      <c r="D43" s="271"/>
      <c r="Y43" s="1031" t="s">
        <v>493</v>
      </c>
      <c r="Z43" s="731"/>
    </row>
    <row r="44" spans="1:26">
      <c r="A44" s="271" t="s">
        <v>490</v>
      </c>
      <c r="B44" s="273">
        <f>SUM('ENA_Summary Output'!$G$8,'ENA_Summary Output'!$G$9)*ENA_Allocation!$C$13+'Amortization of Power Contract'!$C$35</f>
        <v>233722.92437076388</v>
      </c>
      <c r="C44" s="295">
        <f>B46</f>
        <v>233722.92437076388</v>
      </c>
      <c r="D44" s="295">
        <f>C46</f>
        <v>226711.23663964096</v>
      </c>
      <c r="E44" s="295">
        <f t="shared" ref="E44:V44" si="19">D46</f>
        <v>219699.54890851805</v>
      </c>
      <c r="F44" s="295">
        <f t="shared" si="19"/>
        <v>212687.86117739513</v>
      </c>
      <c r="G44" s="295">
        <f t="shared" si="19"/>
        <v>205676.17344627221</v>
      </c>
      <c r="H44" s="295">
        <f t="shared" si="19"/>
        <v>198664.48571514929</v>
      </c>
      <c r="I44" s="295">
        <f t="shared" si="19"/>
        <v>191652.79798402637</v>
      </c>
      <c r="J44" s="295">
        <f t="shared" si="19"/>
        <v>184641.11025290345</v>
      </c>
      <c r="K44" s="295">
        <f t="shared" si="19"/>
        <v>177629.42252178054</v>
      </c>
      <c r="L44" s="295">
        <f t="shared" si="19"/>
        <v>170617.73479065762</v>
      </c>
      <c r="M44" s="295">
        <f t="shared" si="19"/>
        <v>163606.0470595347</v>
      </c>
      <c r="N44" s="295">
        <f t="shared" si="19"/>
        <v>156594.35932841178</v>
      </c>
      <c r="O44" s="295">
        <f t="shared" si="19"/>
        <v>149582.67159728886</v>
      </c>
      <c r="P44" s="295">
        <f t="shared" si="19"/>
        <v>142570.98386616595</v>
      </c>
      <c r="Q44" s="295">
        <f t="shared" si="19"/>
        <v>135559.29613504303</v>
      </c>
      <c r="R44" s="295">
        <f t="shared" si="19"/>
        <v>128547.60840392011</v>
      </c>
      <c r="S44" s="295">
        <f t="shared" si="19"/>
        <v>121535.92067279719</v>
      </c>
      <c r="T44" s="295">
        <f t="shared" si="19"/>
        <v>114524.23294167427</v>
      </c>
      <c r="U44" s="295">
        <f t="shared" si="19"/>
        <v>107512.54521055135</v>
      </c>
      <c r="V44" s="295">
        <f t="shared" si="19"/>
        <v>100500.85747942844</v>
      </c>
      <c r="Y44" s="1032"/>
      <c r="Z44" s="1033"/>
    </row>
    <row r="45" spans="1:26">
      <c r="A45" s="271" t="s">
        <v>491</v>
      </c>
      <c r="B45" s="298">
        <f t="shared" ref="B45:V45" si="20">$B$44*B42</f>
        <v>0</v>
      </c>
      <c r="C45" s="298">
        <f t="shared" si="20"/>
        <v>7011.6877311229173</v>
      </c>
      <c r="D45" s="298">
        <f t="shared" si="20"/>
        <v>7011.6877311229173</v>
      </c>
      <c r="E45" s="298">
        <f t="shared" si="20"/>
        <v>7011.6877311229173</v>
      </c>
      <c r="F45" s="298">
        <f t="shared" si="20"/>
        <v>7011.6877311229173</v>
      </c>
      <c r="G45" s="298">
        <f t="shared" si="20"/>
        <v>7011.6877311229173</v>
      </c>
      <c r="H45" s="298">
        <f t="shared" si="20"/>
        <v>7011.6877311229173</v>
      </c>
      <c r="I45" s="298">
        <f t="shared" si="20"/>
        <v>7011.6877311229173</v>
      </c>
      <c r="J45" s="298">
        <f t="shared" si="20"/>
        <v>7011.6877311229173</v>
      </c>
      <c r="K45" s="298">
        <f t="shared" si="20"/>
        <v>7011.6877311229173</v>
      </c>
      <c r="L45" s="298">
        <f t="shared" si="20"/>
        <v>7011.6877311229173</v>
      </c>
      <c r="M45" s="298">
        <f t="shared" si="20"/>
        <v>7011.6877311229173</v>
      </c>
      <c r="N45" s="298">
        <f t="shared" si="20"/>
        <v>7011.6877311229173</v>
      </c>
      <c r="O45" s="298">
        <f t="shared" si="20"/>
        <v>7011.6877311229173</v>
      </c>
      <c r="P45" s="298">
        <f t="shared" si="20"/>
        <v>7011.6877311229173</v>
      </c>
      <c r="Q45" s="298">
        <f t="shared" si="20"/>
        <v>7011.6877311229173</v>
      </c>
      <c r="R45" s="298">
        <f t="shared" si="20"/>
        <v>7011.6877311229173</v>
      </c>
      <c r="S45" s="298">
        <f t="shared" si="20"/>
        <v>7011.6877311229173</v>
      </c>
      <c r="T45" s="298">
        <f t="shared" si="20"/>
        <v>7011.6877311229173</v>
      </c>
      <c r="U45" s="298">
        <f t="shared" si="20"/>
        <v>7011.6877311229173</v>
      </c>
      <c r="V45" s="298">
        <f t="shared" si="20"/>
        <v>7011.6877311229173</v>
      </c>
      <c r="Y45" s="732">
        <v>0</v>
      </c>
      <c r="Z45" s="1034">
        <v>0</v>
      </c>
    </row>
    <row r="46" spans="1:26">
      <c r="A46" s="271" t="s">
        <v>492</v>
      </c>
      <c r="B46" s="295">
        <f>B44-B45</f>
        <v>233722.92437076388</v>
      </c>
      <c r="C46" s="295">
        <f t="shared" ref="C46:V46" si="21">C44-C45</f>
        <v>226711.23663964096</v>
      </c>
      <c r="D46" s="295">
        <f t="shared" si="21"/>
        <v>219699.54890851805</v>
      </c>
      <c r="E46" s="295">
        <f t="shared" si="21"/>
        <v>212687.86117739513</v>
      </c>
      <c r="F46" s="295">
        <f t="shared" si="21"/>
        <v>205676.17344627221</v>
      </c>
      <c r="G46" s="295">
        <f t="shared" si="21"/>
        <v>198664.48571514929</v>
      </c>
      <c r="H46" s="295">
        <f t="shared" si="21"/>
        <v>191652.79798402637</v>
      </c>
      <c r="I46" s="295">
        <f t="shared" si="21"/>
        <v>184641.11025290345</v>
      </c>
      <c r="J46" s="295">
        <f t="shared" si="21"/>
        <v>177629.42252178054</v>
      </c>
      <c r="K46" s="295">
        <f t="shared" si="21"/>
        <v>170617.73479065762</v>
      </c>
      <c r="L46" s="295">
        <f t="shared" si="21"/>
        <v>163606.0470595347</v>
      </c>
      <c r="M46" s="295">
        <f t="shared" si="21"/>
        <v>156594.35932841178</v>
      </c>
      <c r="N46" s="295">
        <f t="shared" si="21"/>
        <v>149582.67159728886</v>
      </c>
      <c r="O46" s="295">
        <f t="shared" si="21"/>
        <v>142570.98386616595</v>
      </c>
      <c r="P46" s="295">
        <f t="shared" si="21"/>
        <v>135559.29613504303</v>
      </c>
      <c r="Q46" s="295">
        <f t="shared" si="21"/>
        <v>128547.60840392011</v>
      </c>
      <c r="R46" s="295">
        <f t="shared" si="21"/>
        <v>121535.92067279719</v>
      </c>
      <c r="S46" s="295">
        <f t="shared" si="21"/>
        <v>114524.23294167427</v>
      </c>
      <c r="T46" s="295">
        <f t="shared" si="21"/>
        <v>107512.54521055135</v>
      </c>
      <c r="U46" s="295">
        <f t="shared" si="21"/>
        <v>100500.85747942844</v>
      </c>
      <c r="V46" s="295">
        <f t="shared" si="21"/>
        <v>93489.169748305518</v>
      </c>
      <c r="Y46" s="732">
        <v>1</v>
      </c>
      <c r="Z46" s="1034">
        <v>0.05</v>
      </c>
    </row>
    <row r="47" spans="1:26">
      <c r="B47" s="271"/>
      <c r="C47" s="271"/>
      <c r="D47" s="271"/>
      <c r="Y47" s="732">
        <v>2</v>
      </c>
      <c r="Z47" s="1034">
        <v>9.5000000000000001E-2</v>
      </c>
    </row>
    <row r="48" spans="1:26">
      <c r="A48" s="565" t="s">
        <v>414</v>
      </c>
      <c r="B48" s="271"/>
      <c r="C48" s="271"/>
      <c r="D48" s="271"/>
      <c r="Y48" s="732">
        <v>3</v>
      </c>
      <c r="Z48" s="1034">
        <v>8.5500000000000007E-2</v>
      </c>
    </row>
    <row r="49" spans="1:26">
      <c r="A49" s="598" t="s">
        <v>488</v>
      </c>
      <c r="B49" s="1030">
        <v>0</v>
      </c>
      <c r="C49" s="1030">
        <v>12</v>
      </c>
      <c r="D49" s="1030">
        <v>12</v>
      </c>
      <c r="E49" s="1030">
        <v>12</v>
      </c>
      <c r="F49" s="1030">
        <v>12</v>
      </c>
      <c r="G49" s="1030">
        <v>12</v>
      </c>
      <c r="H49" s="1030">
        <v>12</v>
      </c>
      <c r="I49" s="1030">
        <v>12</v>
      </c>
      <c r="J49" s="1030">
        <v>12</v>
      </c>
      <c r="K49" s="1030">
        <v>12</v>
      </c>
      <c r="L49" s="1030">
        <v>12</v>
      </c>
      <c r="M49" s="1030">
        <v>12</v>
      </c>
      <c r="N49" s="1030">
        <v>12</v>
      </c>
      <c r="O49" s="1030">
        <v>12</v>
      </c>
      <c r="P49" s="1030">
        <v>12</v>
      </c>
      <c r="Q49" s="1030">
        <v>12</v>
      </c>
      <c r="R49" s="1030">
        <v>12</v>
      </c>
      <c r="S49" s="1030">
        <v>12</v>
      </c>
      <c r="T49" s="1030">
        <v>12</v>
      </c>
      <c r="U49" s="1030">
        <v>12</v>
      </c>
      <c r="V49" s="1030">
        <v>12</v>
      </c>
      <c r="Y49" s="732">
        <v>4</v>
      </c>
      <c r="Z49" s="1034">
        <v>7.6999999999999999E-2</v>
      </c>
    </row>
    <row r="50" spans="1:26">
      <c r="A50" s="271" t="s">
        <v>489</v>
      </c>
      <c r="B50" s="558">
        <v>0</v>
      </c>
      <c r="C50" s="558">
        <f>90%/30</f>
        <v>3.0000000000000002E-2</v>
      </c>
      <c r="D50" s="558">
        <f>90%/30</f>
        <v>3.0000000000000002E-2</v>
      </c>
      <c r="E50" s="558">
        <f t="shared" ref="E50:V50" si="22">90%/30</f>
        <v>3.0000000000000002E-2</v>
      </c>
      <c r="F50" s="558">
        <f t="shared" si="22"/>
        <v>3.0000000000000002E-2</v>
      </c>
      <c r="G50" s="558">
        <f t="shared" si="22"/>
        <v>3.0000000000000002E-2</v>
      </c>
      <c r="H50" s="558">
        <f t="shared" si="22"/>
        <v>3.0000000000000002E-2</v>
      </c>
      <c r="I50" s="558">
        <f t="shared" si="22"/>
        <v>3.0000000000000002E-2</v>
      </c>
      <c r="J50" s="558">
        <f t="shared" si="22"/>
        <v>3.0000000000000002E-2</v>
      </c>
      <c r="K50" s="558">
        <f t="shared" si="22"/>
        <v>3.0000000000000002E-2</v>
      </c>
      <c r="L50" s="558">
        <f t="shared" si="22"/>
        <v>3.0000000000000002E-2</v>
      </c>
      <c r="M50" s="558">
        <f t="shared" si="22"/>
        <v>3.0000000000000002E-2</v>
      </c>
      <c r="N50" s="558">
        <f t="shared" si="22"/>
        <v>3.0000000000000002E-2</v>
      </c>
      <c r="O50" s="558">
        <f t="shared" si="22"/>
        <v>3.0000000000000002E-2</v>
      </c>
      <c r="P50" s="558">
        <f t="shared" si="22"/>
        <v>3.0000000000000002E-2</v>
      </c>
      <c r="Q50" s="558">
        <f t="shared" si="22"/>
        <v>3.0000000000000002E-2</v>
      </c>
      <c r="R50" s="558">
        <f t="shared" si="22"/>
        <v>3.0000000000000002E-2</v>
      </c>
      <c r="S50" s="558">
        <f t="shared" si="22"/>
        <v>3.0000000000000002E-2</v>
      </c>
      <c r="T50" s="558">
        <f t="shared" si="22"/>
        <v>3.0000000000000002E-2</v>
      </c>
      <c r="U50" s="558">
        <f t="shared" si="22"/>
        <v>3.0000000000000002E-2</v>
      </c>
      <c r="V50" s="558">
        <f t="shared" si="22"/>
        <v>3.0000000000000002E-2</v>
      </c>
      <c r="Y50" s="732">
        <v>5</v>
      </c>
      <c r="Z50" s="1034">
        <v>6.93E-2</v>
      </c>
    </row>
    <row r="51" spans="1:26">
      <c r="B51" s="271"/>
      <c r="C51" s="271"/>
      <c r="D51" s="271"/>
      <c r="Y51" s="732">
        <v>6</v>
      </c>
      <c r="Z51" s="1034">
        <v>6.2300000000000001E-2</v>
      </c>
    </row>
    <row r="52" spans="1:26">
      <c r="A52" s="271" t="s">
        <v>490</v>
      </c>
      <c r="B52" s="273">
        <f>SUM('ENA_Summary Output'!$G$8,'ENA_Summary Output'!$G$9)*ENA_Allocation!$C$14+'Amortization of Power Contract'!$C$41</f>
        <v>367305.27066890523</v>
      </c>
      <c r="C52" s="295">
        <f>B54</f>
        <v>367305.27066890523</v>
      </c>
      <c r="D52" s="295">
        <f>C54</f>
        <v>356286.11254883808</v>
      </c>
      <c r="E52" s="295">
        <f t="shared" ref="E52:V52" si="23">D54</f>
        <v>345266.95442877093</v>
      </c>
      <c r="F52" s="295">
        <f t="shared" si="23"/>
        <v>334247.79630870378</v>
      </c>
      <c r="G52" s="295">
        <f t="shared" si="23"/>
        <v>323228.63818863663</v>
      </c>
      <c r="H52" s="295">
        <f t="shared" si="23"/>
        <v>312209.48006856948</v>
      </c>
      <c r="I52" s="295">
        <f t="shared" si="23"/>
        <v>301190.32194850233</v>
      </c>
      <c r="J52" s="295">
        <f t="shared" si="23"/>
        <v>290171.16382843518</v>
      </c>
      <c r="K52" s="295">
        <f t="shared" si="23"/>
        <v>279152.00570836803</v>
      </c>
      <c r="L52" s="295">
        <f t="shared" si="23"/>
        <v>268132.84758830088</v>
      </c>
      <c r="M52" s="295">
        <f t="shared" si="23"/>
        <v>257113.68946823373</v>
      </c>
      <c r="N52" s="295">
        <f t="shared" si="23"/>
        <v>246094.53134816658</v>
      </c>
      <c r="O52" s="295">
        <f t="shared" si="23"/>
        <v>235075.37322809943</v>
      </c>
      <c r="P52" s="295">
        <f t="shared" si="23"/>
        <v>224056.21510803228</v>
      </c>
      <c r="Q52" s="295">
        <f t="shared" si="23"/>
        <v>213037.05698796513</v>
      </c>
      <c r="R52" s="295">
        <f t="shared" si="23"/>
        <v>202017.89886789798</v>
      </c>
      <c r="S52" s="295">
        <f t="shared" si="23"/>
        <v>190998.74074783083</v>
      </c>
      <c r="T52" s="295">
        <f t="shared" si="23"/>
        <v>179979.58262776368</v>
      </c>
      <c r="U52" s="295">
        <f t="shared" si="23"/>
        <v>168960.42450769653</v>
      </c>
      <c r="V52" s="295">
        <f t="shared" si="23"/>
        <v>157941.26638762938</v>
      </c>
      <c r="Y52" s="732">
        <v>7</v>
      </c>
      <c r="Z52" s="1034">
        <v>5.8999999999999997E-2</v>
      </c>
    </row>
    <row r="53" spans="1:26">
      <c r="A53" s="271" t="s">
        <v>491</v>
      </c>
      <c r="B53" s="298">
        <f t="shared" ref="B53:V53" si="24">$B$52*B50</f>
        <v>0</v>
      </c>
      <c r="C53" s="298">
        <f t="shared" si="24"/>
        <v>11019.158120067157</v>
      </c>
      <c r="D53" s="298">
        <f t="shared" si="24"/>
        <v>11019.158120067157</v>
      </c>
      <c r="E53" s="298">
        <f t="shared" si="24"/>
        <v>11019.158120067157</v>
      </c>
      <c r="F53" s="298">
        <f t="shared" si="24"/>
        <v>11019.158120067157</v>
      </c>
      <c r="G53" s="298">
        <f t="shared" si="24"/>
        <v>11019.158120067157</v>
      </c>
      <c r="H53" s="298">
        <f t="shared" si="24"/>
        <v>11019.158120067157</v>
      </c>
      <c r="I53" s="298">
        <f t="shared" si="24"/>
        <v>11019.158120067157</v>
      </c>
      <c r="J53" s="298">
        <f t="shared" si="24"/>
        <v>11019.158120067157</v>
      </c>
      <c r="K53" s="298">
        <f t="shared" si="24"/>
        <v>11019.158120067157</v>
      </c>
      <c r="L53" s="298">
        <f t="shared" si="24"/>
        <v>11019.158120067157</v>
      </c>
      <c r="M53" s="298">
        <f t="shared" si="24"/>
        <v>11019.158120067157</v>
      </c>
      <c r="N53" s="298">
        <f t="shared" si="24"/>
        <v>11019.158120067157</v>
      </c>
      <c r="O53" s="298">
        <f t="shared" si="24"/>
        <v>11019.158120067157</v>
      </c>
      <c r="P53" s="298">
        <f t="shared" si="24"/>
        <v>11019.158120067157</v>
      </c>
      <c r="Q53" s="298">
        <f t="shared" si="24"/>
        <v>11019.158120067157</v>
      </c>
      <c r="R53" s="298">
        <f t="shared" si="24"/>
        <v>11019.158120067157</v>
      </c>
      <c r="S53" s="298">
        <f t="shared" si="24"/>
        <v>11019.158120067157</v>
      </c>
      <c r="T53" s="298">
        <f t="shared" si="24"/>
        <v>11019.158120067157</v>
      </c>
      <c r="U53" s="298">
        <f t="shared" si="24"/>
        <v>11019.158120067157</v>
      </c>
      <c r="V53" s="298">
        <f t="shared" si="24"/>
        <v>11019.158120067157</v>
      </c>
      <c r="Y53" s="732">
        <v>8</v>
      </c>
      <c r="Z53" s="1034">
        <v>5.91E-2</v>
      </c>
    </row>
    <row r="54" spans="1:26">
      <c r="A54" s="271" t="s">
        <v>492</v>
      </c>
      <c r="B54" s="295">
        <f>B52-B53</f>
        <v>367305.27066890523</v>
      </c>
      <c r="C54" s="295">
        <f t="shared" ref="C54:V54" si="25">C52-C53</f>
        <v>356286.11254883808</v>
      </c>
      <c r="D54" s="295">
        <f t="shared" si="25"/>
        <v>345266.95442877093</v>
      </c>
      <c r="E54" s="295">
        <f t="shared" si="25"/>
        <v>334247.79630870378</v>
      </c>
      <c r="F54" s="295">
        <f t="shared" si="25"/>
        <v>323228.63818863663</v>
      </c>
      <c r="G54" s="295">
        <f t="shared" si="25"/>
        <v>312209.48006856948</v>
      </c>
      <c r="H54" s="295">
        <f t="shared" si="25"/>
        <v>301190.32194850233</v>
      </c>
      <c r="I54" s="295">
        <f t="shared" si="25"/>
        <v>290171.16382843518</v>
      </c>
      <c r="J54" s="295">
        <f t="shared" si="25"/>
        <v>279152.00570836803</v>
      </c>
      <c r="K54" s="295">
        <f t="shared" si="25"/>
        <v>268132.84758830088</v>
      </c>
      <c r="L54" s="295">
        <f t="shared" si="25"/>
        <v>257113.68946823373</v>
      </c>
      <c r="M54" s="295">
        <f t="shared" si="25"/>
        <v>246094.53134816658</v>
      </c>
      <c r="N54" s="295">
        <f t="shared" si="25"/>
        <v>235075.37322809943</v>
      </c>
      <c r="O54" s="295">
        <f t="shared" si="25"/>
        <v>224056.21510803228</v>
      </c>
      <c r="P54" s="295">
        <f t="shared" si="25"/>
        <v>213037.05698796513</v>
      </c>
      <c r="Q54" s="295">
        <f t="shared" si="25"/>
        <v>202017.89886789798</v>
      </c>
      <c r="R54" s="295">
        <f t="shared" si="25"/>
        <v>190998.74074783083</v>
      </c>
      <c r="S54" s="295">
        <f t="shared" si="25"/>
        <v>179979.58262776368</v>
      </c>
      <c r="T54" s="295">
        <f t="shared" si="25"/>
        <v>168960.42450769653</v>
      </c>
      <c r="U54" s="295">
        <f t="shared" si="25"/>
        <v>157941.26638762938</v>
      </c>
      <c r="V54" s="295">
        <f t="shared" si="25"/>
        <v>146922.10826756223</v>
      </c>
      <c r="Y54" s="732">
        <v>9</v>
      </c>
      <c r="Z54" s="1034">
        <v>5.8999999999999997E-2</v>
      </c>
    </row>
    <row r="55" spans="1:26">
      <c r="B55" s="271"/>
      <c r="C55" s="271"/>
      <c r="D55" s="271"/>
      <c r="Y55" s="732">
        <v>10</v>
      </c>
      <c r="Z55" s="1034">
        <v>5.91E-2</v>
      </c>
    </row>
    <row r="56" spans="1:26">
      <c r="A56" s="565" t="s">
        <v>494</v>
      </c>
      <c r="B56" s="271"/>
      <c r="C56" s="271"/>
      <c r="D56" s="271"/>
      <c r="Y56" s="732">
        <v>11</v>
      </c>
      <c r="Z56" s="1034">
        <v>5.8999999999999997E-2</v>
      </c>
    </row>
    <row r="57" spans="1:26">
      <c r="A57" s="271" t="s">
        <v>490</v>
      </c>
      <c r="B57" s="1035">
        <f>SUM(B20,B28,B44,B52,B36,B12)</f>
        <v>1474168.8066622026</v>
      </c>
      <c r="C57" s="1035">
        <f>B59</f>
        <v>1474168.8066622026</v>
      </c>
      <c r="D57" s="1035">
        <f t="shared" ref="D57:V57" si="26">C59</f>
        <v>1429943.7424623366</v>
      </c>
      <c r="E57" s="1035">
        <f t="shared" si="26"/>
        <v>1385718.6782624705</v>
      </c>
      <c r="F57" s="1035">
        <f t="shared" si="26"/>
        <v>1341493.6140626045</v>
      </c>
      <c r="G57" s="1035">
        <f t="shared" si="26"/>
        <v>1297268.5498627385</v>
      </c>
      <c r="H57" s="1035">
        <f t="shared" si="26"/>
        <v>1253043.4856628724</v>
      </c>
      <c r="I57" s="1035">
        <f t="shared" si="26"/>
        <v>1208818.4214630064</v>
      </c>
      <c r="J57" s="1035">
        <f t="shared" si="26"/>
        <v>1164593.3572631404</v>
      </c>
      <c r="K57" s="1035">
        <f t="shared" si="26"/>
        <v>1120368.2930632744</v>
      </c>
      <c r="L57" s="1035">
        <f t="shared" si="26"/>
        <v>1076143.2288634083</v>
      </c>
      <c r="M57" s="1035">
        <f t="shared" si="26"/>
        <v>1031918.1646635423</v>
      </c>
      <c r="N57" s="1035">
        <f t="shared" si="26"/>
        <v>987693.10046367627</v>
      </c>
      <c r="O57" s="1035">
        <f t="shared" si="26"/>
        <v>943468.03626381024</v>
      </c>
      <c r="P57" s="1035">
        <f t="shared" si="26"/>
        <v>899242.97206394421</v>
      </c>
      <c r="Q57" s="1035">
        <f t="shared" si="26"/>
        <v>855017.90786407818</v>
      </c>
      <c r="R57" s="1035">
        <f t="shared" si="26"/>
        <v>810792.84366421215</v>
      </c>
      <c r="S57" s="1035">
        <f t="shared" si="26"/>
        <v>766567.77946434612</v>
      </c>
      <c r="T57" s="1035">
        <f t="shared" si="26"/>
        <v>722342.7152644801</v>
      </c>
      <c r="U57" s="1035">
        <f t="shared" si="26"/>
        <v>678117.65106461407</v>
      </c>
      <c r="V57" s="1035">
        <f t="shared" si="26"/>
        <v>633892.58686474804</v>
      </c>
      <c r="Y57" s="732">
        <v>12</v>
      </c>
      <c r="Z57" s="1034">
        <v>5.91E-2</v>
      </c>
    </row>
    <row r="58" spans="1:26">
      <c r="A58" s="271" t="s">
        <v>491</v>
      </c>
      <c r="B58" s="1036">
        <f>SUM(B21,B29,B45,B53,B37,B13)</f>
        <v>0</v>
      </c>
      <c r="C58" s="1036">
        <f t="shared" ref="C58:V58" si="27">SUM(C21,C29,C45,C53,C37,C13)</f>
        <v>44225.064199866087</v>
      </c>
      <c r="D58" s="1036">
        <f t="shared" si="27"/>
        <v>44225.064199866087</v>
      </c>
      <c r="E58" s="1036">
        <f t="shared" si="27"/>
        <v>44225.064199866087</v>
      </c>
      <c r="F58" s="1036">
        <f t="shared" si="27"/>
        <v>44225.064199866087</v>
      </c>
      <c r="G58" s="1036">
        <f t="shared" si="27"/>
        <v>44225.064199866087</v>
      </c>
      <c r="H58" s="1036">
        <f t="shared" si="27"/>
        <v>44225.064199866087</v>
      </c>
      <c r="I58" s="1036">
        <f t="shared" si="27"/>
        <v>44225.064199866087</v>
      </c>
      <c r="J58" s="1036">
        <f t="shared" si="27"/>
        <v>44225.064199866087</v>
      </c>
      <c r="K58" s="1036">
        <f t="shared" si="27"/>
        <v>44225.064199866087</v>
      </c>
      <c r="L58" s="1036">
        <f t="shared" si="27"/>
        <v>44225.064199866087</v>
      </c>
      <c r="M58" s="1036">
        <f t="shared" si="27"/>
        <v>44225.064199866087</v>
      </c>
      <c r="N58" s="1036">
        <f t="shared" si="27"/>
        <v>44225.064199866087</v>
      </c>
      <c r="O58" s="1036">
        <f t="shared" si="27"/>
        <v>44225.064199866087</v>
      </c>
      <c r="P58" s="1036">
        <f t="shared" si="27"/>
        <v>44225.064199866087</v>
      </c>
      <c r="Q58" s="1036">
        <f t="shared" si="27"/>
        <v>44225.064199866087</v>
      </c>
      <c r="R58" s="1036">
        <f t="shared" si="27"/>
        <v>44225.064199866087</v>
      </c>
      <c r="S58" s="1036">
        <f t="shared" si="27"/>
        <v>44225.064199866087</v>
      </c>
      <c r="T58" s="1036">
        <f t="shared" si="27"/>
        <v>44225.064199866087</v>
      </c>
      <c r="U58" s="1036">
        <f t="shared" si="27"/>
        <v>44225.064199866087</v>
      </c>
      <c r="V58" s="1036">
        <f t="shared" si="27"/>
        <v>44225.064199866087</v>
      </c>
      <c r="Y58" s="732">
        <v>13</v>
      </c>
      <c r="Z58" s="1034">
        <v>5.8999999999999997E-2</v>
      </c>
    </row>
    <row r="59" spans="1:26">
      <c r="A59" s="271" t="s">
        <v>492</v>
      </c>
      <c r="B59" s="1035">
        <f>B57-B58</f>
        <v>1474168.8066622026</v>
      </c>
      <c r="C59" s="1035">
        <f t="shared" ref="C59:V59" si="28">C57-C58</f>
        <v>1429943.7424623366</v>
      </c>
      <c r="D59" s="1035">
        <f t="shared" si="28"/>
        <v>1385718.6782624705</v>
      </c>
      <c r="E59" s="1035">
        <f t="shared" si="28"/>
        <v>1341493.6140626045</v>
      </c>
      <c r="F59" s="1035">
        <f t="shared" si="28"/>
        <v>1297268.5498627385</v>
      </c>
      <c r="G59" s="1035">
        <f t="shared" si="28"/>
        <v>1253043.4856628724</v>
      </c>
      <c r="H59" s="1035">
        <f t="shared" si="28"/>
        <v>1208818.4214630064</v>
      </c>
      <c r="I59" s="1035">
        <f t="shared" si="28"/>
        <v>1164593.3572631404</v>
      </c>
      <c r="J59" s="1035">
        <f t="shared" si="28"/>
        <v>1120368.2930632744</v>
      </c>
      <c r="K59" s="1035">
        <f t="shared" si="28"/>
        <v>1076143.2288634083</v>
      </c>
      <c r="L59" s="1035">
        <f t="shared" si="28"/>
        <v>1031918.1646635423</v>
      </c>
      <c r="M59" s="1035">
        <f t="shared" si="28"/>
        <v>987693.10046367627</v>
      </c>
      <c r="N59" s="1035">
        <f t="shared" si="28"/>
        <v>943468.03626381024</v>
      </c>
      <c r="O59" s="1035">
        <f t="shared" si="28"/>
        <v>899242.97206394421</v>
      </c>
      <c r="P59" s="1035">
        <f t="shared" si="28"/>
        <v>855017.90786407818</v>
      </c>
      <c r="Q59" s="1035">
        <f t="shared" si="28"/>
        <v>810792.84366421215</v>
      </c>
      <c r="R59" s="1035">
        <f t="shared" si="28"/>
        <v>766567.77946434612</v>
      </c>
      <c r="S59" s="1035">
        <f t="shared" si="28"/>
        <v>722342.7152644801</v>
      </c>
      <c r="T59" s="1035">
        <f t="shared" si="28"/>
        <v>678117.65106461407</v>
      </c>
      <c r="U59" s="1035">
        <f t="shared" si="28"/>
        <v>633892.58686474804</v>
      </c>
      <c r="V59" s="1035">
        <f t="shared" si="28"/>
        <v>589667.52266488201</v>
      </c>
      <c r="Y59" s="732">
        <v>14</v>
      </c>
      <c r="Z59" s="1034">
        <v>5.91E-2</v>
      </c>
    </row>
    <row r="60" spans="1:26">
      <c r="B60" s="1037"/>
      <c r="C60" s="271"/>
      <c r="D60" s="271"/>
      <c r="V60" s="1038"/>
      <c r="Y60" s="732">
        <v>15</v>
      </c>
      <c r="Z60" s="1034">
        <v>5.8999999999999997E-2</v>
      </c>
    </row>
    <row r="61" spans="1:26">
      <c r="B61" s="271"/>
      <c r="C61" s="271"/>
      <c r="D61" s="271"/>
      <c r="Y61" s="732">
        <v>16</v>
      </c>
      <c r="Z61" s="1039">
        <v>2.9499999999999998E-2</v>
      </c>
    </row>
    <row r="62" spans="1:26">
      <c r="A62" s="1029" t="s">
        <v>70</v>
      </c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304"/>
      <c r="X62" s="304"/>
      <c r="Y62" s="1040"/>
      <c r="Z62" s="1041">
        <f>SUM(Z46:Z61)</f>
        <v>1.0000000000000004</v>
      </c>
    </row>
    <row r="63" spans="1:26">
      <c r="A63" s="30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304"/>
      <c r="X63" s="304"/>
    </row>
    <row r="64" spans="1:26">
      <c r="A64" s="565" t="s">
        <v>495</v>
      </c>
      <c r="B64" s="271"/>
      <c r="C64" s="271"/>
      <c r="D64" s="271"/>
    </row>
    <row r="65" spans="1:22">
      <c r="A65" s="565"/>
      <c r="B65" s="271"/>
      <c r="C65" s="271"/>
      <c r="D65" s="271"/>
    </row>
    <row r="66" spans="1:22">
      <c r="A66" s="1042" t="s">
        <v>409</v>
      </c>
    </row>
    <row r="67" spans="1:22">
      <c r="A67" s="271" t="s">
        <v>496</v>
      </c>
      <c r="B67" s="302">
        <f>SUM('ENA_Summary Output'!$G$8:$G$9)*ENA_Allocation!$C$7</f>
        <v>164051.74328474054</v>
      </c>
      <c r="C67" s="302">
        <f t="shared" ref="C67:V67" si="29">B70</f>
        <v>164051.74328474054</v>
      </c>
      <c r="D67" s="302">
        <f t="shared" si="29"/>
        <v>155849.15612050353</v>
      </c>
      <c r="E67" s="302">
        <f t="shared" si="29"/>
        <v>140264.24050845316</v>
      </c>
      <c r="F67" s="302">
        <f t="shared" si="29"/>
        <v>126237.81645760784</v>
      </c>
      <c r="G67" s="302">
        <f t="shared" si="29"/>
        <v>113605.83222468282</v>
      </c>
      <c r="H67" s="302">
        <f t="shared" si="29"/>
        <v>102237.0464150503</v>
      </c>
      <c r="I67" s="302">
        <f t="shared" si="29"/>
        <v>92016.622808410961</v>
      </c>
      <c r="J67" s="302">
        <f t="shared" si="29"/>
        <v>82337.569954611274</v>
      </c>
      <c r="K67" s="302">
        <f t="shared" si="29"/>
        <v>72642.111926483107</v>
      </c>
      <c r="L67" s="302">
        <f t="shared" si="29"/>
        <v>62963.059072683413</v>
      </c>
      <c r="M67" s="302">
        <f t="shared" si="29"/>
        <v>53267.601044555246</v>
      </c>
      <c r="N67" s="302">
        <f t="shared" si="29"/>
        <v>43588.548190755551</v>
      </c>
      <c r="O67" s="302">
        <f t="shared" si="29"/>
        <v>33893.090162627384</v>
      </c>
      <c r="P67" s="302">
        <f t="shared" si="29"/>
        <v>24214.03730882769</v>
      </c>
      <c r="Q67" s="302">
        <f t="shared" si="29"/>
        <v>14518.579280699523</v>
      </c>
      <c r="R67" s="302">
        <f t="shared" si="29"/>
        <v>4839.5264268998308</v>
      </c>
      <c r="S67" s="302">
        <f t="shared" si="29"/>
        <v>-1.546140993013978E-11</v>
      </c>
      <c r="T67" s="302">
        <f t="shared" si="29"/>
        <v>-1.546140993013978E-11</v>
      </c>
      <c r="U67" s="302">
        <f t="shared" si="29"/>
        <v>-1.546140993013978E-11</v>
      </c>
      <c r="V67" s="302">
        <f t="shared" si="29"/>
        <v>-1.546140993013978E-11</v>
      </c>
    </row>
    <row r="68" spans="1:22">
      <c r="A68" s="271" t="s">
        <v>489</v>
      </c>
      <c r="B68" s="578">
        <f t="shared" ref="B68:R68" si="30">VLOOKUP(B5,$Y$45:$Z$61,2)</f>
        <v>0</v>
      </c>
      <c r="C68" s="578">
        <f t="shared" si="30"/>
        <v>0.05</v>
      </c>
      <c r="D68" s="578">
        <f t="shared" si="30"/>
        <v>9.5000000000000001E-2</v>
      </c>
      <c r="E68" s="578">
        <f t="shared" si="30"/>
        <v>8.5500000000000007E-2</v>
      </c>
      <c r="F68" s="578">
        <f t="shared" si="30"/>
        <v>7.6999999999999999E-2</v>
      </c>
      <c r="G68" s="578">
        <f t="shared" si="30"/>
        <v>6.93E-2</v>
      </c>
      <c r="H68" s="578">
        <f t="shared" si="30"/>
        <v>6.2300000000000001E-2</v>
      </c>
      <c r="I68" s="578">
        <f t="shared" si="30"/>
        <v>5.8999999999999997E-2</v>
      </c>
      <c r="J68" s="578">
        <f t="shared" si="30"/>
        <v>5.91E-2</v>
      </c>
      <c r="K68" s="578">
        <f t="shared" si="30"/>
        <v>5.8999999999999997E-2</v>
      </c>
      <c r="L68" s="578">
        <f t="shared" si="30"/>
        <v>5.91E-2</v>
      </c>
      <c r="M68" s="578">
        <f t="shared" si="30"/>
        <v>5.8999999999999997E-2</v>
      </c>
      <c r="N68" s="578">
        <f t="shared" si="30"/>
        <v>5.91E-2</v>
      </c>
      <c r="O68" s="578">
        <f t="shared" si="30"/>
        <v>5.8999999999999997E-2</v>
      </c>
      <c r="P68" s="578">
        <f t="shared" si="30"/>
        <v>5.91E-2</v>
      </c>
      <c r="Q68" s="578">
        <f t="shared" si="30"/>
        <v>5.8999999999999997E-2</v>
      </c>
      <c r="R68" s="578">
        <f t="shared" si="30"/>
        <v>2.9499999999999998E-2</v>
      </c>
      <c r="S68" s="578">
        <v>0</v>
      </c>
      <c r="T68" s="578">
        <v>0</v>
      </c>
      <c r="U68" s="578">
        <v>0</v>
      </c>
      <c r="V68" s="578">
        <v>0</v>
      </c>
    </row>
    <row r="69" spans="1:22">
      <c r="A69" s="271" t="s">
        <v>491</v>
      </c>
      <c r="B69" s="297">
        <f>$B$67*B68</f>
        <v>0</v>
      </c>
      <c r="C69" s="297">
        <f t="shared" ref="C69:V69" si="31">$B$67*C68</f>
        <v>8202.5871642370275</v>
      </c>
      <c r="D69" s="297">
        <f t="shared" si="31"/>
        <v>15584.915612050352</v>
      </c>
      <c r="E69" s="297">
        <f t="shared" si="31"/>
        <v>14026.424050845317</v>
      </c>
      <c r="F69" s="297">
        <f t="shared" si="31"/>
        <v>12631.984232925022</v>
      </c>
      <c r="G69" s="297">
        <f t="shared" si="31"/>
        <v>11368.78580963252</v>
      </c>
      <c r="H69" s="297">
        <f t="shared" si="31"/>
        <v>10220.423606639337</v>
      </c>
      <c r="I69" s="297">
        <f t="shared" si="31"/>
        <v>9679.0528537996925</v>
      </c>
      <c r="J69" s="297">
        <f t="shared" si="31"/>
        <v>9695.4580281281669</v>
      </c>
      <c r="K69" s="297">
        <f t="shared" si="31"/>
        <v>9679.0528537996925</v>
      </c>
      <c r="L69" s="297">
        <f t="shared" si="31"/>
        <v>9695.4580281281669</v>
      </c>
      <c r="M69" s="297">
        <f t="shared" si="31"/>
        <v>9679.0528537996925</v>
      </c>
      <c r="N69" s="297">
        <f t="shared" si="31"/>
        <v>9695.4580281281669</v>
      </c>
      <c r="O69" s="297">
        <f t="shared" si="31"/>
        <v>9679.0528537996925</v>
      </c>
      <c r="P69" s="297">
        <f t="shared" si="31"/>
        <v>9695.4580281281669</v>
      </c>
      <c r="Q69" s="297">
        <f t="shared" si="31"/>
        <v>9679.0528537996925</v>
      </c>
      <c r="R69" s="297">
        <f t="shared" si="31"/>
        <v>4839.5264268998462</v>
      </c>
      <c r="S69" s="297">
        <f t="shared" si="31"/>
        <v>0</v>
      </c>
      <c r="T69" s="297">
        <f t="shared" si="31"/>
        <v>0</v>
      </c>
      <c r="U69" s="297">
        <f t="shared" si="31"/>
        <v>0</v>
      </c>
      <c r="V69" s="297">
        <f t="shared" si="31"/>
        <v>0</v>
      </c>
    </row>
    <row r="70" spans="1:22">
      <c r="A70" s="271" t="s">
        <v>497</v>
      </c>
      <c r="B70" s="295">
        <f t="shared" ref="B70:V70" si="32">B67-B69</f>
        <v>164051.74328474054</v>
      </c>
      <c r="C70" s="295">
        <f t="shared" si="32"/>
        <v>155849.15612050353</v>
      </c>
      <c r="D70" s="295">
        <f t="shared" si="32"/>
        <v>140264.24050845316</v>
      </c>
      <c r="E70" s="295">
        <f t="shared" si="32"/>
        <v>126237.81645760784</v>
      </c>
      <c r="F70" s="295">
        <f t="shared" si="32"/>
        <v>113605.83222468282</v>
      </c>
      <c r="G70" s="295">
        <f t="shared" si="32"/>
        <v>102237.0464150503</v>
      </c>
      <c r="H70" s="295">
        <f t="shared" si="32"/>
        <v>92016.622808410961</v>
      </c>
      <c r="I70" s="295">
        <f t="shared" si="32"/>
        <v>82337.569954611274</v>
      </c>
      <c r="J70" s="295">
        <f t="shared" si="32"/>
        <v>72642.111926483107</v>
      </c>
      <c r="K70" s="295">
        <f t="shared" si="32"/>
        <v>62963.059072683413</v>
      </c>
      <c r="L70" s="295">
        <f t="shared" si="32"/>
        <v>53267.601044555246</v>
      </c>
      <c r="M70" s="295">
        <f t="shared" si="32"/>
        <v>43588.548190755551</v>
      </c>
      <c r="N70" s="295">
        <f t="shared" si="32"/>
        <v>33893.090162627384</v>
      </c>
      <c r="O70" s="295">
        <f t="shared" si="32"/>
        <v>24214.03730882769</v>
      </c>
      <c r="P70" s="295">
        <f t="shared" si="32"/>
        <v>14518.579280699523</v>
      </c>
      <c r="Q70" s="295">
        <f t="shared" si="32"/>
        <v>4839.5264268998308</v>
      </c>
      <c r="R70" s="295">
        <f t="shared" si="32"/>
        <v>-1.546140993013978E-11</v>
      </c>
      <c r="S70" s="295">
        <f t="shared" si="32"/>
        <v>-1.546140993013978E-11</v>
      </c>
      <c r="T70" s="295">
        <f t="shared" si="32"/>
        <v>-1.546140993013978E-11</v>
      </c>
      <c r="U70" s="295">
        <f t="shared" si="32"/>
        <v>-1.546140993013978E-11</v>
      </c>
      <c r="V70" s="295">
        <f t="shared" si="32"/>
        <v>-1.546140993013978E-11</v>
      </c>
    </row>
    <row r="72" spans="1:22">
      <c r="A72" s="1042" t="s">
        <v>410</v>
      </c>
    </row>
    <row r="73" spans="1:22">
      <c r="A73" s="271" t="s">
        <v>496</v>
      </c>
      <c r="B73" s="302">
        <f>SUM('ENA_Summary Output'!$G$8:$G$9)*ENA_Allocation!$C$8</f>
        <v>198352.78148055312</v>
      </c>
      <c r="C73" s="302">
        <f t="shared" ref="C73:V73" si="33">B76</f>
        <v>198352.78148055312</v>
      </c>
      <c r="D73" s="302">
        <f t="shared" si="33"/>
        <v>188435.14240652547</v>
      </c>
      <c r="E73" s="302">
        <f t="shared" si="33"/>
        <v>169591.62816587291</v>
      </c>
      <c r="F73" s="302">
        <f t="shared" si="33"/>
        <v>152632.46534928563</v>
      </c>
      <c r="G73" s="302">
        <f t="shared" si="33"/>
        <v>137359.30117528304</v>
      </c>
      <c r="H73" s="302">
        <f t="shared" si="33"/>
        <v>123613.4534186807</v>
      </c>
      <c r="I73" s="302">
        <f t="shared" si="33"/>
        <v>111256.07513244225</v>
      </c>
      <c r="J73" s="302">
        <f t="shared" si="33"/>
        <v>99553.26102508961</v>
      </c>
      <c r="K73" s="302">
        <f t="shared" si="33"/>
        <v>87830.611639588926</v>
      </c>
      <c r="L73" s="302">
        <f t="shared" si="33"/>
        <v>76127.797532236291</v>
      </c>
      <c r="M73" s="302">
        <f t="shared" si="33"/>
        <v>64405.148146735599</v>
      </c>
      <c r="N73" s="302">
        <f t="shared" si="33"/>
        <v>52702.334039382964</v>
      </c>
      <c r="O73" s="302">
        <f t="shared" si="33"/>
        <v>40979.684653882272</v>
      </c>
      <c r="P73" s="302">
        <f t="shared" si="33"/>
        <v>29276.870546529637</v>
      </c>
      <c r="Q73" s="302">
        <f t="shared" si="33"/>
        <v>17554.221161028945</v>
      </c>
      <c r="R73" s="302">
        <f t="shared" si="33"/>
        <v>5851.407053676312</v>
      </c>
      <c r="S73" s="302">
        <f t="shared" si="33"/>
        <v>0</v>
      </c>
      <c r="T73" s="302">
        <f t="shared" si="33"/>
        <v>0</v>
      </c>
      <c r="U73" s="302">
        <f t="shared" si="33"/>
        <v>0</v>
      </c>
      <c r="V73" s="302">
        <f t="shared" si="33"/>
        <v>0</v>
      </c>
    </row>
    <row r="74" spans="1:22">
      <c r="A74" s="271" t="s">
        <v>489</v>
      </c>
      <c r="B74" s="578">
        <f t="shared" ref="B74:R74" si="34">VLOOKUP(B5,$Y$45:$Z$61,2)</f>
        <v>0</v>
      </c>
      <c r="C74" s="578">
        <f t="shared" si="34"/>
        <v>0.05</v>
      </c>
      <c r="D74" s="578">
        <f t="shared" si="34"/>
        <v>9.5000000000000001E-2</v>
      </c>
      <c r="E74" s="578">
        <f t="shared" si="34"/>
        <v>8.5500000000000007E-2</v>
      </c>
      <c r="F74" s="578">
        <f t="shared" si="34"/>
        <v>7.6999999999999999E-2</v>
      </c>
      <c r="G74" s="578">
        <f t="shared" si="34"/>
        <v>6.93E-2</v>
      </c>
      <c r="H74" s="578">
        <f t="shared" si="34"/>
        <v>6.2300000000000001E-2</v>
      </c>
      <c r="I74" s="578">
        <f t="shared" si="34"/>
        <v>5.8999999999999997E-2</v>
      </c>
      <c r="J74" s="578">
        <f t="shared" si="34"/>
        <v>5.91E-2</v>
      </c>
      <c r="K74" s="578">
        <f t="shared" si="34"/>
        <v>5.8999999999999997E-2</v>
      </c>
      <c r="L74" s="578">
        <f t="shared" si="34"/>
        <v>5.91E-2</v>
      </c>
      <c r="M74" s="578">
        <f t="shared" si="34"/>
        <v>5.8999999999999997E-2</v>
      </c>
      <c r="N74" s="578">
        <f t="shared" si="34"/>
        <v>5.91E-2</v>
      </c>
      <c r="O74" s="578">
        <f t="shared" si="34"/>
        <v>5.8999999999999997E-2</v>
      </c>
      <c r="P74" s="578">
        <f t="shared" si="34"/>
        <v>5.91E-2</v>
      </c>
      <c r="Q74" s="578">
        <f t="shared" si="34"/>
        <v>5.8999999999999997E-2</v>
      </c>
      <c r="R74" s="578">
        <f t="shared" si="34"/>
        <v>2.9499999999999998E-2</v>
      </c>
      <c r="S74" s="578">
        <v>0</v>
      </c>
      <c r="T74" s="578">
        <v>0</v>
      </c>
      <c r="U74" s="578">
        <v>0</v>
      </c>
      <c r="V74" s="578">
        <v>0</v>
      </c>
    </row>
    <row r="75" spans="1:22">
      <c r="A75" s="271" t="s">
        <v>491</v>
      </c>
      <c r="B75" s="297">
        <f>$B$73*B74</f>
        <v>0</v>
      </c>
      <c r="C75" s="297">
        <f t="shared" ref="C75:V75" si="35">$B$73*C74</f>
        <v>9917.6390740276565</v>
      </c>
      <c r="D75" s="297">
        <f t="shared" si="35"/>
        <v>18843.514240652548</v>
      </c>
      <c r="E75" s="297">
        <f t="shared" si="35"/>
        <v>16959.162816587293</v>
      </c>
      <c r="F75" s="297">
        <f t="shared" si="35"/>
        <v>15273.16417400259</v>
      </c>
      <c r="G75" s="297">
        <f t="shared" si="35"/>
        <v>13745.847756602332</v>
      </c>
      <c r="H75" s="297">
        <f t="shared" si="35"/>
        <v>12357.37828623846</v>
      </c>
      <c r="I75" s="297">
        <f t="shared" si="35"/>
        <v>11702.814107352633</v>
      </c>
      <c r="J75" s="297">
        <f t="shared" si="35"/>
        <v>11722.64938550069</v>
      </c>
      <c r="K75" s="297">
        <f t="shared" si="35"/>
        <v>11702.814107352633</v>
      </c>
      <c r="L75" s="297">
        <f t="shared" si="35"/>
        <v>11722.64938550069</v>
      </c>
      <c r="M75" s="297">
        <f t="shared" si="35"/>
        <v>11702.814107352633</v>
      </c>
      <c r="N75" s="297">
        <f t="shared" si="35"/>
        <v>11722.64938550069</v>
      </c>
      <c r="O75" s="297">
        <f t="shared" si="35"/>
        <v>11702.814107352633</v>
      </c>
      <c r="P75" s="297">
        <f t="shared" si="35"/>
        <v>11722.64938550069</v>
      </c>
      <c r="Q75" s="297">
        <f t="shared" si="35"/>
        <v>11702.814107352633</v>
      </c>
      <c r="R75" s="297">
        <f t="shared" si="35"/>
        <v>5851.4070536763165</v>
      </c>
      <c r="S75" s="297">
        <f t="shared" si="35"/>
        <v>0</v>
      </c>
      <c r="T75" s="297">
        <f t="shared" si="35"/>
        <v>0</v>
      </c>
      <c r="U75" s="297">
        <f t="shared" si="35"/>
        <v>0</v>
      </c>
      <c r="V75" s="297">
        <f t="shared" si="35"/>
        <v>0</v>
      </c>
    </row>
    <row r="76" spans="1:22">
      <c r="A76" s="271" t="s">
        <v>497</v>
      </c>
      <c r="B76" s="295">
        <f t="shared" ref="B76:V76" si="36">B73-B75</f>
        <v>198352.78148055312</v>
      </c>
      <c r="C76" s="295">
        <f t="shared" si="36"/>
        <v>188435.14240652547</v>
      </c>
      <c r="D76" s="295">
        <f t="shared" si="36"/>
        <v>169591.62816587291</v>
      </c>
      <c r="E76" s="295">
        <f t="shared" si="36"/>
        <v>152632.46534928563</v>
      </c>
      <c r="F76" s="295">
        <f t="shared" si="36"/>
        <v>137359.30117528304</v>
      </c>
      <c r="G76" s="295">
        <f t="shared" si="36"/>
        <v>123613.4534186807</v>
      </c>
      <c r="H76" s="295">
        <f t="shared" si="36"/>
        <v>111256.07513244225</v>
      </c>
      <c r="I76" s="295">
        <f t="shared" si="36"/>
        <v>99553.26102508961</v>
      </c>
      <c r="J76" s="295">
        <f t="shared" si="36"/>
        <v>87830.611639588926</v>
      </c>
      <c r="K76" s="295">
        <f t="shared" si="36"/>
        <v>76127.797532236291</v>
      </c>
      <c r="L76" s="295">
        <f t="shared" si="36"/>
        <v>64405.148146735599</v>
      </c>
      <c r="M76" s="295">
        <f t="shared" si="36"/>
        <v>52702.334039382964</v>
      </c>
      <c r="N76" s="295">
        <f t="shared" si="36"/>
        <v>40979.684653882272</v>
      </c>
      <c r="O76" s="295">
        <f t="shared" si="36"/>
        <v>29276.870546529637</v>
      </c>
      <c r="P76" s="295">
        <f t="shared" si="36"/>
        <v>17554.221161028945</v>
      </c>
      <c r="Q76" s="295">
        <f t="shared" si="36"/>
        <v>5851.407053676312</v>
      </c>
      <c r="R76" s="295">
        <f t="shared" si="36"/>
        <v>0</v>
      </c>
      <c r="S76" s="295">
        <f t="shared" si="36"/>
        <v>0</v>
      </c>
      <c r="T76" s="295">
        <f t="shared" si="36"/>
        <v>0</v>
      </c>
      <c r="U76" s="295">
        <f t="shared" si="36"/>
        <v>0</v>
      </c>
      <c r="V76" s="295">
        <f t="shared" si="36"/>
        <v>0</v>
      </c>
    </row>
    <row r="78" spans="1:22">
      <c r="A78" s="1042" t="s">
        <v>411</v>
      </c>
    </row>
    <row r="79" spans="1:22">
      <c r="A79" s="271" t="s">
        <v>496</v>
      </c>
      <c r="B79" s="302">
        <f>SUM('ENA_Summary Output'!$G$8:$G$9)*ENA_Allocation!$C$9</f>
        <v>190754.53330646225</v>
      </c>
      <c r="C79" s="302">
        <f t="shared" ref="C79:V79" si="37">B82</f>
        <v>190754.53330646225</v>
      </c>
      <c r="D79" s="302">
        <f t="shared" si="37"/>
        <v>181216.80664113915</v>
      </c>
      <c r="E79" s="302">
        <f t="shared" si="37"/>
        <v>163095.12597702522</v>
      </c>
      <c r="F79" s="302">
        <f t="shared" si="37"/>
        <v>146785.61337932269</v>
      </c>
      <c r="G79" s="302">
        <f t="shared" si="37"/>
        <v>132097.51431472509</v>
      </c>
      <c r="H79" s="302">
        <f t="shared" si="37"/>
        <v>118878.22515658726</v>
      </c>
      <c r="I79" s="302">
        <f t="shared" si="37"/>
        <v>106994.21773159466</v>
      </c>
      <c r="J79" s="302">
        <f t="shared" si="37"/>
        <v>95739.700266513391</v>
      </c>
      <c r="K79" s="302">
        <f t="shared" si="37"/>
        <v>84466.107348101476</v>
      </c>
      <c r="L79" s="302">
        <f t="shared" si="37"/>
        <v>73211.589883020206</v>
      </c>
      <c r="M79" s="302">
        <f t="shared" si="37"/>
        <v>61937.99696460829</v>
      </c>
      <c r="N79" s="302">
        <f t="shared" si="37"/>
        <v>50683.47949952702</v>
      </c>
      <c r="O79" s="302">
        <f t="shared" si="37"/>
        <v>39409.886581115104</v>
      </c>
      <c r="P79" s="302">
        <f t="shared" si="37"/>
        <v>28155.369116033831</v>
      </c>
      <c r="Q79" s="302">
        <f t="shared" si="37"/>
        <v>16881.776197621912</v>
      </c>
      <c r="R79" s="302">
        <f t="shared" si="37"/>
        <v>5627.2587325406384</v>
      </c>
      <c r="S79" s="302">
        <f t="shared" si="37"/>
        <v>0</v>
      </c>
      <c r="T79" s="302">
        <f t="shared" si="37"/>
        <v>0</v>
      </c>
      <c r="U79" s="302">
        <f t="shared" si="37"/>
        <v>0</v>
      </c>
      <c r="V79" s="302">
        <f t="shared" si="37"/>
        <v>0</v>
      </c>
    </row>
    <row r="80" spans="1:22">
      <c r="A80" s="271" t="s">
        <v>489</v>
      </c>
      <c r="B80" s="578">
        <f t="shared" ref="B80:R80" si="38">VLOOKUP(B5,$Y$45:$Z$61,2)</f>
        <v>0</v>
      </c>
      <c r="C80" s="578">
        <f t="shared" si="38"/>
        <v>0.05</v>
      </c>
      <c r="D80" s="578">
        <f t="shared" si="38"/>
        <v>9.5000000000000001E-2</v>
      </c>
      <c r="E80" s="578">
        <f t="shared" si="38"/>
        <v>8.5500000000000007E-2</v>
      </c>
      <c r="F80" s="578">
        <f t="shared" si="38"/>
        <v>7.6999999999999999E-2</v>
      </c>
      <c r="G80" s="578">
        <f t="shared" si="38"/>
        <v>6.93E-2</v>
      </c>
      <c r="H80" s="578">
        <f t="shared" si="38"/>
        <v>6.2300000000000001E-2</v>
      </c>
      <c r="I80" s="578">
        <f t="shared" si="38"/>
        <v>5.8999999999999997E-2</v>
      </c>
      <c r="J80" s="578">
        <f t="shared" si="38"/>
        <v>5.91E-2</v>
      </c>
      <c r="K80" s="578">
        <f t="shared" si="38"/>
        <v>5.8999999999999997E-2</v>
      </c>
      <c r="L80" s="578">
        <f t="shared" si="38"/>
        <v>5.91E-2</v>
      </c>
      <c r="M80" s="578">
        <f t="shared" si="38"/>
        <v>5.8999999999999997E-2</v>
      </c>
      <c r="N80" s="578">
        <f t="shared" si="38"/>
        <v>5.91E-2</v>
      </c>
      <c r="O80" s="578">
        <f t="shared" si="38"/>
        <v>5.8999999999999997E-2</v>
      </c>
      <c r="P80" s="578">
        <f t="shared" si="38"/>
        <v>5.91E-2</v>
      </c>
      <c r="Q80" s="578">
        <f t="shared" si="38"/>
        <v>5.8999999999999997E-2</v>
      </c>
      <c r="R80" s="578">
        <f t="shared" si="38"/>
        <v>2.9499999999999998E-2</v>
      </c>
      <c r="S80" s="578">
        <v>0</v>
      </c>
      <c r="T80" s="578">
        <v>0</v>
      </c>
      <c r="U80" s="578">
        <v>0</v>
      </c>
      <c r="V80" s="578">
        <v>0</v>
      </c>
    </row>
    <row r="81" spans="1:22">
      <c r="A81" s="271" t="s">
        <v>491</v>
      </c>
      <c r="B81" s="297">
        <f>$B$79*B80</f>
        <v>0</v>
      </c>
      <c r="C81" s="297">
        <f t="shared" ref="C81:V81" si="39">$B$79*C80</f>
        <v>9537.7266653231127</v>
      </c>
      <c r="D81" s="297">
        <f t="shared" si="39"/>
        <v>18121.680664113916</v>
      </c>
      <c r="E81" s="297">
        <f t="shared" si="39"/>
        <v>16309.512597702524</v>
      </c>
      <c r="F81" s="297">
        <f t="shared" si="39"/>
        <v>14688.099064597593</v>
      </c>
      <c r="G81" s="297">
        <f t="shared" si="39"/>
        <v>13219.289158137834</v>
      </c>
      <c r="H81" s="297">
        <f t="shared" si="39"/>
        <v>11884.007424992598</v>
      </c>
      <c r="I81" s="297">
        <f t="shared" si="39"/>
        <v>11254.517465081273</v>
      </c>
      <c r="J81" s="297">
        <f t="shared" si="39"/>
        <v>11273.59291841192</v>
      </c>
      <c r="K81" s="297">
        <f t="shared" si="39"/>
        <v>11254.517465081273</v>
      </c>
      <c r="L81" s="297">
        <f t="shared" si="39"/>
        <v>11273.59291841192</v>
      </c>
      <c r="M81" s="297">
        <f t="shared" si="39"/>
        <v>11254.517465081273</v>
      </c>
      <c r="N81" s="297">
        <f t="shared" si="39"/>
        <v>11273.59291841192</v>
      </c>
      <c r="O81" s="297">
        <f t="shared" si="39"/>
        <v>11254.517465081273</v>
      </c>
      <c r="P81" s="297">
        <f t="shared" si="39"/>
        <v>11273.59291841192</v>
      </c>
      <c r="Q81" s="297">
        <f t="shared" si="39"/>
        <v>11254.517465081273</v>
      </c>
      <c r="R81" s="297">
        <f t="shared" si="39"/>
        <v>5627.2587325406366</v>
      </c>
      <c r="S81" s="297">
        <f t="shared" si="39"/>
        <v>0</v>
      </c>
      <c r="T81" s="297">
        <f t="shared" si="39"/>
        <v>0</v>
      </c>
      <c r="U81" s="297">
        <f t="shared" si="39"/>
        <v>0</v>
      </c>
      <c r="V81" s="297">
        <f t="shared" si="39"/>
        <v>0</v>
      </c>
    </row>
    <row r="82" spans="1:22">
      <c r="A82" s="271" t="s">
        <v>497</v>
      </c>
      <c r="B82" s="295">
        <f t="shared" ref="B82:V82" si="40">B79-B81</f>
        <v>190754.53330646225</v>
      </c>
      <c r="C82" s="295">
        <f t="shared" si="40"/>
        <v>181216.80664113915</v>
      </c>
      <c r="D82" s="295">
        <f t="shared" si="40"/>
        <v>163095.12597702522</v>
      </c>
      <c r="E82" s="295">
        <f t="shared" si="40"/>
        <v>146785.61337932269</v>
      </c>
      <c r="F82" s="295">
        <f t="shared" si="40"/>
        <v>132097.51431472509</v>
      </c>
      <c r="G82" s="295">
        <f t="shared" si="40"/>
        <v>118878.22515658726</v>
      </c>
      <c r="H82" s="295">
        <f t="shared" si="40"/>
        <v>106994.21773159466</v>
      </c>
      <c r="I82" s="295">
        <f t="shared" si="40"/>
        <v>95739.700266513391</v>
      </c>
      <c r="J82" s="295">
        <f t="shared" si="40"/>
        <v>84466.107348101476</v>
      </c>
      <c r="K82" s="295">
        <f t="shared" si="40"/>
        <v>73211.589883020206</v>
      </c>
      <c r="L82" s="295">
        <f t="shared" si="40"/>
        <v>61937.99696460829</v>
      </c>
      <c r="M82" s="295">
        <f t="shared" si="40"/>
        <v>50683.47949952702</v>
      </c>
      <c r="N82" s="295">
        <f t="shared" si="40"/>
        <v>39409.886581115104</v>
      </c>
      <c r="O82" s="295">
        <f t="shared" si="40"/>
        <v>28155.369116033831</v>
      </c>
      <c r="P82" s="295">
        <f t="shared" si="40"/>
        <v>16881.776197621912</v>
      </c>
      <c r="Q82" s="295">
        <f t="shared" si="40"/>
        <v>5627.2587325406384</v>
      </c>
      <c r="R82" s="295">
        <f t="shared" si="40"/>
        <v>0</v>
      </c>
      <c r="S82" s="295">
        <f t="shared" si="40"/>
        <v>0</v>
      </c>
      <c r="T82" s="295">
        <f t="shared" si="40"/>
        <v>0</v>
      </c>
      <c r="U82" s="295">
        <f t="shared" si="40"/>
        <v>0</v>
      </c>
      <c r="V82" s="295">
        <f t="shared" si="40"/>
        <v>0</v>
      </c>
    </row>
    <row r="84" spans="1:22">
      <c r="A84" s="1042" t="s">
        <v>412</v>
      </c>
    </row>
    <row r="85" spans="1:22">
      <c r="A85" s="271" t="s">
        <v>496</v>
      </c>
      <c r="B85" s="302">
        <f>SUM('ENA_Summary Output'!$G$8:$G$9)*ENA_Allocation!$C$12</f>
        <v>224013.58995772409</v>
      </c>
      <c r="C85" s="302">
        <f t="shared" ref="C85:V85" si="41">B88</f>
        <v>224013.58995772409</v>
      </c>
      <c r="D85" s="302">
        <f t="shared" si="41"/>
        <v>212812.91045983788</v>
      </c>
      <c r="E85" s="302">
        <f t="shared" si="41"/>
        <v>191531.61941385409</v>
      </c>
      <c r="F85" s="302">
        <f t="shared" si="41"/>
        <v>172378.45747246867</v>
      </c>
      <c r="G85" s="302">
        <f t="shared" si="41"/>
        <v>155129.41104572391</v>
      </c>
      <c r="H85" s="302">
        <f t="shared" si="41"/>
        <v>139605.26926165362</v>
      </c>
      <c r="I85" s="302">
        <f t="shared" si="41"/>
        <v>125649.2226072874</v>
      </c>
      <c r="J85" s="302">
        <f t="shared" si="41"/>
        <v>112432.42079978168</v>
      </c>
      <c r="K85" s="302">
        <f t="shared" si="41"/>
        <v>99193.21763328019</v>
      </c>
      <c r="L85" s="302">
        <f t="shared" si="41"/>
        <v>85976.415825774471</v>
      </c>
      <c r="M85" s="302">
        <f t="shared" si="41"/>
        <v>72737.212659272976</v>
      </c>
      <c r="N85" s="302">
        <f t="shared" si="41"/>
        <v>59520.410851767258</v>
      </c>
      <c r="O85" s="302">
        <f t="shared" si="41"/>
        <v>46281.207685265763</v>
      </c>
      <c r="P85" s="302">
        <f t="shared" si="41"/>
        <v>33064.405877760044</v>
      </c>
      <c r="Q85" s="302">
        <f t="shared" si="41"/>
        <v>19825.202711258549</v>
      </c>
      <c r="R85" s="302">
        <f t="shared" si="41"/>
        <v>6608.4009037528285</v>
      </c>
      <c r="S85" s="302">
        <f t="shared" si="41"/>
        <v>-3.1832314562052488E-11</v>
      </c>
      <c r="T85" s="302">
        <f t="shared" si="41"/>
        <v>-3.1832314562052488E-11</v>
      </c>
      <c r="U85" s="302">
        <f t="shared" si="41"/>
        <v>-3.1832314562052488E-11</v>
      </c>
      <c r="V85" s="302">
        <f t="shared" si="41"/>
        <v>-3.1832314562052488E-11</v>
      </c>
    </row>
    <row r="86" spans="1:22">
      <c r="A86" s="271" t="s">
        <v>489</v>
      </c>
      <c r="B86" s="578">
        <f t="shared" ref="B86:R86" si="42">VLOOKUP(B6,$Y$45:$Z$61,2)</f>
        <v>0</v>
      </c>
      <c r="C86" s="578">
        <f t="shared" si="42"/>
        <v>0.05</v>
      </c>
      <c r="D86" s="578">
        <f t="shared" si="42"/>
        <v>9.5000000000000001E-2</v>
      </c>
      <c r="E86" s="578">
        <f t="shared" si="42"/>
        <v>8.5500000000000007E-2</v>
      </c>
      <c r="F86" s="578">
        <f t="shared" si="42"/>
        <v>7.6999999999999999E-2</v>
      </c>
      <c r="G86" s="578">
        <f t="shared" si="42"/>
        <v>6.93E-2</v>
      </c>
      <c r="H86" s="578">
        <f t="shared" si="42"/>
        <v>6.2300000000000001E-2</v>
      </c>
      <c r="I86" s="578">
        <f t="shared" si="42"/>
        <v>5.8999999999999997E-2</v>
      </c>
      <c r="J86" s="578">
        <f t="shared" si="42"/>
        <v>5.91E-2</v>
      </c>
      <c r="K86" s="578">
        <f t="shared" si="42"/>
        <v>5.8999999999999997E-2</v>
      </c>
      <c r="L86" s="578">
        <f t="shared" si="42"/>
        <v>5.91E-2</v>
      </c>
      <c r="M86" s="578">
        <f t="shared" si="42"/>
        <v>5.8999999999999997E-2</v>
      </c>
      <c r="N86" s="578">
        <f t="shared" si="42"/>
        <v>5.91E-2</v>
      </c>
      <c r="O86" s="578">
        <f t="shared" si="42"/>
        <v>5.8999999999999997E-2</v>
      </c>
      <c r="P86" s="578">
        <f t="shared" si="42"/>
        <v>5.91E-2</v>
      </c>
      <c r="Q86" s="578">
        <f t="shared" si="42"/>
        <v>5.8999999999999997E-2</v>
      </c>
      <c r="R86" s="578">
        <f t="shared" si="42"/>
        <v>2.9499999999999998E-2</v>
      </c>
      <c r="S86" s="578">
        <v>0</v>
      </c>
      <c r="T86" s="578">
        <v>0</v>
      </c>
      <c r="U86" s="578">
        <v>0</v>
      </c>
      <c r="V86" s="578">
        <v>0</v>
      </c>
    </row>
    <row r="87" spans="1:22">
      <c r="A87" s="271" t="s">
        <v>491</v>
      </c>
      <c r="B87" s="297">
        <f>$B$85*B86</f>
        <v>0</v>
      </c>
      <c r="C87" s="297">
        <f t="shared" ref="C87:V87" si="43">$B$85*C86</f>
        <v>11200.679497886205</v>
      </c>
      <c r="D87" s="297">
        <f t="shared" si="43"/>
        <v>21281.291045983788</v>
      </c>
      <c r="E87" s="297">
        <f t="shared" si="43"/>
        <v>19153.16194138541</v>
      </c>
      <c r="F87" s="297">
        <f t="shared" si="43"/>
        <v>17249.046426744753</v>
      </c>
      <c r="G87" s="297">
        <f t="shared" si="43"/>
        <v>15524.14178407028</v>
      </c>
      <c r="H87" s="297">
        <f t="shared" si="43"/>
        <v>13956.046654366211</v>
      </c>
      <c r="I87" s="297">
        <f t="shared" si="43"/>
        <v>13216.801807505721</v>
      </c>
      <c r="J87" s="297">
        <f t="shared" si="43"/>
        <v>13239.203166501495</v>
      </c>
      <c r="K87" s="297">
        <f t="shared" si="43"/>
        <v>13216.801807505721</v>
      </c>
      <c r="L87" s="297">
        <f t="shared" si="43"/>
        <v>13239.203166501495</v>
      </c>
      <c r="M87" s="297">
        <f t="shared" si="43"/>
        <v>13216.801807505721</v>
      </c>
      <c r="N87" s="297">
        <f t="shared" si="43"/>
        <v>13239.203166501495</v>
      </c>
      <c r="O87" s="297">
        <f t="shared" si="43"/>
        <v>13216.801807505721</v>
      </c>
      <c r="P87" s="297">
        <f t="shared" si="43"/>
        <v>13239.203166501495</v>
      </c>
      <c r="Q87" s="297">
        <f t="shared" si="43"/>
        <v>13216.801807505721</v>
      </c>
      <c r="R87" s="297">
        <f t="shared" si="43"/>
        <v>6608.4009037528604</v>
      </c>
      <c r="S87" s="297">
        <f t="shared" si="43"/>
        <v>0</v>
      </c>
      <c r="T87" s="297">
        <f t="shared" si="43"/>
        <v>0</v>
      </c>
      <c r="U87" s="297">
        <f t="shared" si="43"/>
        <v>0</v>
      </c>
      <c r="V87" s="297">
        <f t="shared" si="43"/>
        <v>0</v>
      </c>
    </row>
    <row r="88" spans="1:22">
      <c r="A88" s="271" t="s">
        <v>497</v>
      </c>
      <c r="B88" s="295">
        <f t="shared" ref="B88:V88" si="44">B85-B87</f>
        <v>224013.58995772409</v>
      </c>
      <c r="C88" s="295">
        <f t="shared" si="44"/>
        <v>212812.91045983788</v>
      </c>
      <c r="D88" s="295">
        <f t="shared" si="44"/>
        <v>191531.61941385409</v>
      </c>
      <c r="E88" s="295">
        <f t="shared" si="44"/>
        <v>172378.45747246867</v>
      </c>
      <c r="F88" s="295">
        <f t="shared" si="44"/>
        <v>155129.41104572391</v>
      </c>
      <c r="G88" s="295">
        <f t="shared" si="44"/>
        <v>139605.26926165362</v>
      </c>
      <c r="H88" s="295">
        <f t="shared" si="44"/>
        <v>125649.2226072874</v>
      </c>
      <c r="I88" s="295">
        <f t="shared" si="44"/>
        <v>112432.42079978168</v>
      </c>
      <c r="J88" s="295">
        <f t="shared" si="44"/>
        <v>99193.21763328019</v>
      </c>
      <c r="K88" s="295">
        <f t="shared" si="44"/>
        <v>85976.415825774471</v>
      </c>
      <c r="L88" s="295">
        <f t="shared" si="44"/>
        <v>72737.212659272976</v>
      </c>
      <c r="M88" s="295">
        <f t="shared" si="44"/>
        <v>59520.410851767258</v>
      </c>
      <c r="N88" s="295">
        <f t="shared" si="44"/>
        <v>46281.207685265763</v>
      </c>
      <c r="O88" s="295">
        <f t="shared" si="44"/>
        <v>33064.405877760044</v>
      </c>
      <c r="P88" s="295">
        <f t="shared" si="44"/>
        <v>19825.202711258549</v>
      </c>
      <c r="Q88" s="295">
        <f t="shared" si="44"/>
        <v>6608.4009037528285</v>
      </c>
      <c r="R88" s="295">
        <f t="shared" si="44"/>
        <v>-3.1832314562052488E-11</v>
      </c>
      <c r="S88" s="295">
        <f t="shared" si="44"/>
        <v>-3.1832314562052488E-11</v>
      </c>
      <c r="T88" s="295">
        <f t="shared" si="44"/>
        <v>-3.1832314562052488E-11</v>
      </c>
      <c r="U88" s="295">
        <f t="shared" si="44"/>
        <v>-3.1832314562052488E-11</v>
      </c>
      <c r="V88" s="295">
        <f t="shared" si="44"/>
        <v>-3.1832314562052488E-11</v>
      </c>
    </row>
    <row r="90" spans="1:22">
      <c r="A90" s="1042" t="s">
        <v>413</v>
      </c>
    </row>
    <row r="91" spans="1:22">
      <c r="A91" s="271" t="s">
        <v>496</v>
      </c>
      <c r="B91" s="302">
        <f>SUM('ENA_Summary Output'!$G$8:$G$9)*ENA_Allocation!$C$13</f>
        <v>204914.46376556004</v>
      </c>
      <c r="C91" s="302">
        <f t="shared" ref="C91:V91" si="45">B94</f>
        <v>204914.46376556004</v>
      </c>
      <c r="D91" s="302">
        <f t="shared" si="45"/>
        <v>194668.74057728203</v>
      </c>
      <c r="E91" s="302">
        <f t="shared" si="45"/>
        <v>175201.86651955382</v>
      </c>
      <c r="F91" s="302">
        <f t="shared" si="45"/>
        <v>157681.67986759843</v>
      </c>
      <c r="G91" s="302">
        <f t="shared" si="45"/>
        <v>141903.2661576503</v>
      </c>
      <c r="H91" s="302">
        <f t="shared" si="45"/>
        <v>127702.69381869699</v>
      </c>
      <c r="I91" s="302">
        <f t="shared" si="45"/>
        <v>114936.5227261026</v>
      </c>
      <c r="J91" s="302">
        <f t="shared" si="45"/>
        <v>102846.56936393456</v>
      </c>
      <c r="K91" s="302">
        <f t="shared" si="45"/>
        <v>90736.12455538995</v>
      </c>
      <c r="L91" s="302">
        <f t="shared" si="45"/>
        <v>78646.171193221904</v>
      </c>
      <c r="M91" s="302">
        <f t="shared" si="45"/>
        <v>66535.726384677313</v>
      </c>
      <c r="N91" s="302">
        <f t="shared" si="45"/>
        <v>54445.773022509267</v>
      </c>
      <c r="O91" s="302">
        <f t="shared" si="45"/>
        <v>42335.328213964669</v>
      </c>
      <c r="P91" s="302">
        <f t="shared" si="45"/>
        <v>30245.374851796627</v>
      </c>
      <c r="Q91" s="302">
        <f t="shared" si="45"/>
        <v>18134.930043252029</v>
      </c>
      <c r="R91" s="302">
        <f t="shared" si="45"/>
        <v>6044.9766810839865</v>
      </c>
      <c r="S91" s="302">
        <f t="shared" si="45"/>
        <v>-3.4560798667371273E-11</v>
      </c>
      <c r="T91" s="302">
        <f t="shared" si="45"/>
        <v>-3.4560798667371273E-11</v>
      </c>
      <c r="U91" s="302">
        <f t="shared" si="45"/>
        <v>-3.4560798667371273E-11</v>
      </c>
      <c r="V91" s="302">
        <f t="shared" si="45"/>
        <v>-3.4560798667371273E-11</v>
      </c>
    </row>
    <row r="92" spans="1:22">
      <c r="A92" s="271" t="s">
        <v>489</v>
      </c>
      <c r="B92" s="578">
        <f t="shared" ref="B92:R92" si="46">VLOOKUP(B6,$Y$45:$Z$61,2)</f>
        <v>0</v>
      </c>
      <c r="C92" s="578">
        <f t="shared" si="46"/>
        <v>0.05</v>
      </c>
      <c r="D92" s="578">
        <f t="shared" si="46"/>
        <v>9.5000000000000001E-2</v>
      </c>
      <c r="E92" s="578">
        <f t="shared" si="46"/>
        <v>8.5500000000000007E-2</v>
      </c>
      <c r="F92" s="578">
        <f t="shared" si="46"/>
        <v>7.6999999999999999E-2</v>
      </c>
      <c r="G92" s="578">
        <f t="shared" si="46"/>
        <v>6.93E-2</v>
      </c>
      <c r="H92" s="578">
        <f t="shared" si="46"/>
        <v>6.2300000000000001E-2</v>
      </c>
      <c r="I92" s="578">
        <f t="shared" si="46"/>
        <v>5.8999999999999997E-2</v>
      </c>
      <c r="J92" s="578">
        <f t="shared" si="46"/>
        <v>5.91E-2</v>
      </c>
      <c r="K92" s="578">
        <f t="shared" si="46"/>
        <v>5.8999999999999997E-2</v>
      </c>
      <c r="L92" s="578">
        <f t="shared" si="46"/>
        <v>5.91E-2</v>
      </c>
      <c r="M92" s="578">
        <f t="shared" si="46"/>
        <v>5.8999999999999997E-2</v>
      </c>
      <c r="N92" s="578">
        <f t="shared" si="46"/>
        <v>5.91E-2</v>
      </c>
      <c r="O92" s="578">
        <f t="shared" si="46"/>
        <v>5.8999999999999997E-2</v>
      </c>
      <c r="P92" s="578">
        <f t="shared" si="46"/>
        <v>5.91E-2</v>
      </c>
      <c r="Q92" s="578">
        <f t="shared" si="46"/>
        <v>5.8999999999999997E-2</v>
      </c>
      <c r="R92" s="578">
        <f t="shared" si="46"/>
        <v>2.9499999999999998E-2</v>
      </c>
      <c r="S92" s="578">
        <v>0</v>
      </c>
      <c r="T92" s="578">
        <v>0</v>
      </c>
      <c r="U92" s="578">
        <v>0</v>
      </c>
      <c r="V92" s="578">
        <v>0</v>
      </c>
    </row>
    <row r="93" spans="1:22">
      <c r="A93" s="271" t="s">
        <v>491</v>
      </c>
      <c r="B93" s="297">
        <f>$B$91*B92</f>
        <v>0</v>
      </c>
      <c r="C93" s="297">
        <f t="shared" ref="C93:V93" si="47">$B$91*C92</f>
        <v>10245.723188278003</v>
      </c>
      <c r="D93" s="297">
        <f t="shared" si="47"/>
        <v>19466.874057728204</v>
      </c>
      <c r="E93" s="297">
        <f t="shared" si="47"/>
        <v>17520.186651955384</v>
      </c>
      <c r="F93" s="297">
        <f t="shared" si="47"/>
        <v>15778.413709948123</v>
      </c>
      <c r="G93" s="297">
        <f t="shared" si="47"/>
        <v>14200.57233895331</v>
      </c>
      <c r="H93" s="297">
        <f t="shared" si="47"/>
        <v>12766.17109259439</v>
      </c>
      <c r="I93" s="297">
        <f t="shared" si="47"/>
        <v>12089.953362168042</v>
      </c>
      <c r="J93" s="297">
        <f t="shared" si="47"/>
        <v>12110.444808544598</v>
      </c>
      <c r="K93" s="297">
        <f t="shared" si="47"/>
        <v>12089.953362168042</v>
      </c>
      <c r="L93" s="297">
        <f t="shared" si="47"/>
        <v>12110.444808544598</v>
      </c>
      <c r="M93" s="297">
        <f t="shared" si="47"/>
        <v>12089.953362168042</v>
      </c>
      <c r="N93" s="297">
        <f t="shared" si="47"/>
        <v>12110.444808544598</v>
      </c>
      <c r="O93" s="297">
        <f t="shared" si="47"/>
        <v>12089.953362168042</v>
      </c>
      <c r="P93" s="297">
        <f t="shared" si="47"/>
        <v>12110.444808544598</v>
      </c>
      <c r="Q93" s="297">
        <f t="shared" si="47"/>
        <v>12089.953362168042</v>
      </c>
      <c r="R93" s="297">
        <f t="shared" si="47"/>
        <v>6044.976681084021</v>
      </c>
      <c r="S93" s="297">
        <f t="shared" si="47"/>
        <v>0</v>
      </c>
      <c r="T93" s="297">
        <f t="shared" si="47"/>
        <v>0</v>
      </c>
      <c r="U93" s="297">
        <f t="shared" si="47"/>
        <v>0</v>
      </c>
      <c r="V93" s="297">
        <f t="shared" si="47"/>
        <v>0</v>
      </c>
    </row>
    <row r="94" spans="1:22">
      <c r="A94" s="271" t="s">
        <v>497</v>
      </c>
      <c r="B94" s="295">
        <f t="shared" ref="B94:V94" si="48">B91-B93</f>
        <v>204914.46376556004</v>
      </c>
      <c r="C94" s="295">
        <f t="shared" si="48"/>
        <v>194668.74057728203</v>
      </c>
      <c r="D94" s="295">
        <f t="shared" si="48"/>
        <v>175201.86651955382</v>
      </c>
      <c r="E94" s="295">
        <f t="shared" si="48"/>
        <v>157681.67986759843</v>
      </c>
      <c r="F94" s="295">
        <f t="shared" si="48"/>
        <v>141903.2661576503</v>
      </c>
      <c r="G94" s="295">
        <f t="shared" si="48"/>
        <v>127702.69381869699</v>
      </c>
      <c r="H94" s="295">
        <f t="shared" si="48"/>
        <v>114936.5227261026</v>
      </c>
      <c r="I94" s="295">
        <f t="shared" si="48"/>
        <v>102846.56936393456</v>
      </c>
      <c r="J94" s="295">
        <f t="shared" si="48"/>
        <v>90736.12455538995</v>
      </c>
      <c r="K94" s="295">
        <f t="shared" si="48"/>
        <v>78646.171193221904</v>
      </c>
      <c r="L94" s="295">
        <f t="shared" si="48"/>
        <v>66535.726384677313</v>
      </c>
      <c r="M94" s="295">
        <f t="shared" si="48"/>
        <v>54445.773022509267</v>
      </c>
      <c r="N94" s="295">
        <f t="shared" si="48"/>
        <v>42335.328213964669</v>
      </c>
      <c r="O94" s="295">
        <f t="shared" si="48"/>
        <v>30245.374851796627</v>
      </c>
      <c r="P94" s="295">
        <f t="shared" si="48"/>
        <v>18134.930043252029</v>
      </c>
      <c r="Q94" s="295">
        <f t="shared" si="48"/>
        <v>6044.9766810839865</v>
      </c>
      <c r="R94" s="295">
        <f t="shared" si="48"/>
        <v>-3.4560798667371273E-11</v>
      </c>
      <c r="S94" s="295">
        <f t="shared" si="48"/>
        <v>-3.4560798667371273E-11</v>
      </c>
      <c r="T94" s="295">
        <f t="shared" si="48"/>
        <v>-3.4560798667371273E-11</v>
      </c>
      <c r="U94" s="295">
        <f t="shared" si="48"/>
        <v>-3.4560798667371273E-11</v>
      </c>
      <c r="V94" s="295">
        <f t="shared" si="48"/>
        <v>-3.4560798667371273E-11</v>
      </c>
    </row>
    <row r="96" spans="1:22">
      <c r="A96" s="1042" t="s">
        <v>414</v>
      </c>
    </row>
    <row r="97" spans="1:22">
      <c r="A97" s="271" t="s">
        <v>496</v>
      </c>
      <c r="B97" s="302">
        <f>SUM('ENA_Summary Output'!$G$8:$G$9)*ENA_Allocation!$C$14</f>
        <v>329912.88820495975</v>
      </c>
      <c r="C97" s="295">
        <f t="shared" ref="C97:V97" si="49">B100</f>
        <v>329912.88820495975</v>
      </c>
      <c r="D97" s="295">
        <f t="shared" si="49"/>
        <v>313417.24379471177</v>
      </c>
      <c r="E97" s="295">
        <f t="shared" si="49"/>
        <v>282075.51941524062</v>
      </c>
      <c r="F97" s="295">
        <f t="shared" si="49"/>
        <v>253867.96747371656</v>
      </c>
      <c r="G97" s="295">
        <f t="shared" si="49"/>
        <v>228464.67508193466</v>
      </c>
      <c r="H97" s="295">
        <f t="shared" si="49"/>
        <v>205601.71192933095</v>
      </c>
      <c r="I97" s="295">
        <f t="shared" si="49"/>
        <v>185048.13899416197</v>
      </c>
      <c r="J97" s="295">
        <f t="shared" si="49"/>
        <v>165583.27859006936</v>
      </c>
      <c r="K97" s="295">
        <f t="shared" si="49"/>
        <v>146085.42689715623</v>
      </c>
      <c r="L97" s="295">
        <f t="shared" si="49"/>
        <v>126620.5664930636</v>
      </c>
      <c r="M97" s="295">
        <f t="shared" si="49"/>
        <v>107122.71480015048</v>
      </c>
      <c r="N97" s="295">
        <f t="shared" si="49"/>
        <v>87657.854396057854</v>
      </c>
      <c r="O97" s="295">
        <f t="shared" si="49"/>
        <v>68160.002703144739</v>
      </c>
      <c r="P97" s="295">
        <f t="shared" si="49"/>
        <v>48695.14229905211</v>
      </c>
      <c r="Q97" s="295">
        <f t="shared" si="49"/>
        <v>29197.290606138988</v>
      </c>
      <c r="R97" s="295">
        <f t="shared" si="49"/>
        <v>9732.430202046362</v>
      </c>
      <c r="S97" s="295">
        <f t="shared" si="49"/>
        <v>4.9112713895738125E-11</v>
      </c>
      <c r="T97" s="295">
        <f t="shared" si="49"/>
        <v>4.9112713895738125E-11</v>
      </c>
      <c r="U97" s="295">
        <f t="shared" si="49"/>
        <v>4.9112713895738125E-11</v>
      </c>
      <c r="V97" s="295">
        <f t="shared" si="49"/>
        <v>4.9112713895738125E-11</v>
      </c>
    </row>
    <row r="98" spans="1:22">
      <c r="A98" s="271" t="s">
        <v>489</v>
      </c>
      <c r="B98" s="578">
        <f t="shared" ref="B98:R98" si="50">VLOOKUP(B6,$Y$45:$Z$61,2)</f>
        <v>0</v>
      </c>
      <c r="C98" s="578">
        <f t="shared" si="50"/>
        <v>0.05</v>
      </c>
      <c r="D98" s="578">
        <f t="shared" si="50"/>
        <v>9.5000000000000001E-2</v>
      </c>
      <c r="E98" s="578">
        <f t="shared" si="50"/>
        <v>8.5500000000000007E-2</v>
      </c>
      <c r="F98" s="578">
        <f t="shared" si="50"/>
        <v>7.6999999999999999E-2</v>
      </c>
      <c r="G98" s="578">
        <f t="shared" si="50"/>
        <v>6.93E-2</v>
      </c>
      <c r="H98" s="578">
        <f t="shared" si="50"/>
        <v>6.2300000000000001E-2</v>
      </c>
      <c r="I98" s="578">
        <f t="shared" si="50"/>
        <v>5.8999999999999997E-2</v>
      </c>
      <c r="J98" s="578">
        <f t="shared" si="50"/>
        <v>5.91E-2</v>
      </c>
      <c r="K98" s="578">
        <f t="shared" si="50"/>
        <v>5.8999999999999997E-2</v>
      </c>
      <c r="L98" s="578">
        <f t="shared" si="50"/>
        <v>5.91E-2</v>
      </c>
      <c r="M98" s="578">
        <f t="shared" si="50"/>
        <v>5.8999999999999997E-2</v>
      </c>
      <c r="N98" s="578">
        <f t="shared" si="50"/>
        <v>5.91E-2</v>
      </c>
      <c r="O98" s="578">
        <f t="shared" si="50"/>
        <v>5.8999999999999997E-2</v>
      </c>
      <c r="P98" s="578">
        <f t="shared" si="50"/>
        <v>5.91E-2</v>
      </c>
      <c r="Q98" s="578">
        <f t="shared" si="50"/>
        <v>5.8999999999999997E-2</v>
      </c>
      <c r="R98" s="578">
        <f t="shared" si="50"/>
        <v>2.9499999999999998E-2</v>
      </c>
      <c r="S98" s="578">
        <v>0</v>
      </c>
      <c r="T98" s="578">
        <v>0</v>
      </c>
      <c r="U98" s="578">
        <v>0</v>
      </c>
      <c r="V98" s="578">
        <v>0</v>
      </c>
    </row>
    <row r="99" spans="1:22">
      <c r="A99" s="271" t="s">
        <v>491</v>
      </c>
      <c r="B99" s="297">
        <f>$B$97*B98</f>
        <v>0</v>
      </c>
      <c r="C99" s="297">
        <f t="shared" ref="C99:V99" si="51">$B$97*C98</f>
        <v>16495.644410247987</v>
      </c>
      <c r="D99" s="297">
        <f t="shared" si="51"/>
        <v>31341.724379471176</v>
      </c>
      <c r="E99" s="297">
        <f t="shared" si="51"/>
        <v>28207.55194152406</v>
      </c>
      <c r="F99" s="297">
        <f t="shared" si="51"/>
        <v>25403.292391781899</v>
      </c>
      <c r="G99" s="297">
        <f t="shared" si="51"/>
        <v>22862.963152603712</v>
      </c>
      <c r="H99" s="297">
        <f t="shared" si="51"/>
        <v>20553.572935168992</v>
      </c>
      <c r="I99" s="297">
        <f t="shared" si="51"/>
        <v>19464.860404092626</v>
      </c>
      <c r="J99" s="297">
        <f t="shared" si="51"/>
        <v>19497.851692913122</v>
      </c>
      <c r="K99" s="297">
        <f t="shared" si="51"/>
        <v>19464.860404092626</v>
      </c>
      <c r="L99" s="297">
        <f t="shared" si="51"/>
        <v>19497.851692913122</v>
      </c>
      <c r="M99" s="297">
        <f t="shared" si="51"/>
        <v>19464.860404092626</v>
      </c>
      <c r="N99" s="297">
        <f t="shared" si="51"/>
        <v>19497.851692913122</v>
      </c>
      <c r="O99" s="297">
        <f t="shared" si="51"/>
        <v>19464.860404092626</v>
      </c>
      <c r="P99" s="297">
        <f t="shared" si="51"/>
        <v>19497.851692913122</v>
      </c>
      <c r="Q99" s="297">
        <f t="shared" si="51"/>
        <v>19464.860404092626</v>
      </c>
      <c r="R99" s="297">
        <f t="shared" si="51"/>
        <v>9732.4302020463128</v>
      </c>
      <c r="S99" s="297">
        <f t="shared" si="51"/>
        <v>0</v>
      </c>
      <c r="T99" s="297">
        <f t="shared" si="51"/>
        <v>0</v>
      </c>
      <c r="U99" s="297">
        <f t="shared" si="51"/>
        <v>0</v>
      </c>
      <c r="V99" s="297">
        <f t="shared" si="51"/>
        <v>0</v>
      </c>
    </row>
    <row r="100" spans="1:22">
      <c r="A100" s="271" t="s">
        <v>497</v>
      </c>
      <c r="B100" s="295">
        <f t="shared" ref="B100:V100" si="52">B97-B99</f>
        <v>329912.88820495975</v>
      </c>
      <c r="C100" s="295">
        <f t="shared" si="52"/>
        <v>313417.24379471177</v>
      </c>
      <c r="D100" s="295">
        <f t="shared" si="52"/>
        <v>282075.51941524062</v>
      </c>
      <c r="E100" s="295">
        <f t="shared" si="52"/>
        <v>253867.96747371656</v>
      </c>
      <c r="F100" s="295">
        <f t="shared" si="52"/>
        <v>228464.67508193466</v>
      </c>
      <c r="G100" s="295">
        <f t="shared" si="52"/>
        <v>205601.71192933095</v>
      </c>
      <c r="H100" s="295">
        <f t="shared" si="52"/>
        <v>185048.13899416197</v>
      </c>
      <c r="I100" s="295">
        <f t="shared" si="52"/>
        <v>165583.27859006936</v>
      </c>
      <c r="J100" s="295">
        <f t="shared" si="52"/>
        <v>146085.42689715623</v>
      </c>
      <c r="K100" s="295">
        <f t="shared" si="52"/>
        <v>126620.5664930636</v>
      </c>
      <c r="L100" s="295">
        <f t="shared" si="52"/>
        <v>107122.71480015048</v>
      </c>
      <c r="M100" s="295">
        <f t="shared" si="52"/>
        <v>87657.854396057854</v>
      </c>
      <c r="N100" s="295">
        <f t="shared" si="52"/>
        <v>68160.002703144739</v>
      </c>
      <c r="O100" s="295">
        <f t="shared" si="52"/>
        <v>48695.14229905211</v>
      </c>
      <c r="P100" s="295">
        <f t="shared" si="52"/>
        <v>29197.290606138988</v>
      </c>
      <c r="Q100" s="295">
        <f t="shared" si="52"/>
        <v>9732.430202046362</v>
      </c>
      <c r="R100" s="295">
        <f t="shared" si="52"/>
        <v>4.9112713895738125E-11</v>
      </c>
      <c r="S100" s="295">
        <f t="shared" si="52"/>
        <v>4.9112713895738125E-11</v>
      </c>
      <c r="T100" s="295">
        <f t="shared" si="52"/>
        <v>4.9112713895738125E-11</v>
      </c>
      <c r="U100" s="295">
        <f t="shared" si="52"/>
        <v>4.9112713895738125E-11</v>
      </c>
      <c r="V100" s="295">
        <f t="shared" si="52"/>
        <v>4.9112713895738125E-11</v>
      </c>
    </row>
    <row r="102" spans="1:22">
      <c r="A102" s="1042" t="s">
        <v>494</v>
      </c>
    </row>
    <row r="103" spans="1:22">
      <c r="A103" s="271" t="s">
        <v>496</v>
      </c>
      <c r="B103" s="295">
        <f>SUM(B67,B73,B79,B85,B91,B97)</f>
        <v>1311999.9999999998</v>
      </c>
      <c r="C103" s="295">
        <f>B105</f>
        <v>1311999.9999999998</v>
      </c>
      <c r="D103" s="295">
        <f t="shared" ref="D103:V103" si="53">C105</f>
        <v>1246399.9999999998</v>
      </c>
      <c r="E103" s="295">
        <f t="shared" si="53"/>
        <v>1121759.9999999998</v>
      </c>
      <c r="F103" s="295">
        <f t="shared" si="53"/>
        <v>1009583.9999999998</v>
      </c>
      <c r="G103" s="295">
        <f t="shared" si="53"/>
        <v>908559.99999999977</v>
      </c>
      <c r="H103" s="295">
        <f t="shared" si="53"/>
        <v>817638.39999999979</v>
      </c>
      <c r="I103" s="295">
        <f t="shared" si="53"/>
        <v>735900.79999999981</v>
      </c>
      <c r="J103" s="295">
        <f t="shared" si="53"/>
        <v>658492.79999999981</v>
      </c>
      <c r="K103" s="295">
        <f t="shared" si="53"/>
        <v>580953.59999999986</v>
      </c>
      <c r="L103" s="295">
        <f t="shared" si="53"/>
        <v>503545.59999999986</v>
      </c>
      <c r="M103" s="295">
        <f t="shared" si="53"/>
        <v>426006.39999999985</v>
      </c>
      <c r="N103" s="295">
        <f t="shared" si="53"/>
        <v>348598.39999999985</v>
      </c>
      <c r="O103" s="295">
        <f t="shared" si="53"/>
        <v>271059.19999999984</v>
      </c>
      <c r="P103" s="295">
        <f t="shared" si="53"/>
        <v>193651.19999999984</v>
      </c>
      <c r="Q103" s="295">
        <f t="shared" si="53"/>
        <v>116111.99999999984</v>
      </c>
      <c r="R103" s="295">
        <f t="shared" si="53"/>
        <v>38703.999999999854</v>
      </c>
      <c r="S103" s="295">
        <f t="shared" si="53"/>
        <v>-1.3824319466948509E-10</v>
      </c>
      <c r="T103" s="295">
        <f t="shared" si="53"/>
        <v>-1.3824319466948509E-10</v>
      </c>
      <c r="U103" s="295">
        <f t="shared" si="53"/>
        <v>-1.3824319466948509E-10</v>
      </c>
      <c r="V103" s="295">
        <f t="shared" si="53"/>
        <v>-1.3824319466948509E-10</v>
      </c>
    </row>
    <row r="104" spans="1:22">
      <c r="A104" s="271" t="s">
        <v>491</v>
      </c>
      <c r="B104" s="297">
        <f>SUM(B69,B75,B81,B87,B93,B99)</f>
        <v>0</v>
      </c>
      <c r="C104" s="297">
        <f t="shared" ref="C104:V104" si="54">SUM(C69,C75,C81,C87,C93,C99)</f>
        <v>65600</v>
      </c>
      <c r="D104" s="297">
        <f t="shared" si="54"/>
        <v>124639.99999999997</v>
      </c>
      <c r="E104" s="297">
        <f t="shared" si="54"/>
        <v>112175.99999999999</v>
      </c>
      <c r="F104" s="297">
        <f t="shared" si="54"/>
        <v>101023.99999999997</v>
      </c>
      <c r="G104" s="297">
        <f t="shared" si="54"/>
        <v>90921.599999999991</v>
      </c>
      <c r="H104" s="297">
        <f t="shared" si="54"/>
        <v>81737.599999999991</v>
      </c>
      <c r="I104" s="297">
        <f t="shared" si="54"/>
        <v>77407.999999999985</v>
      </c>
      <c r="J104" s="297">
        <f t="shared" si="54"/>
        <v>77539.199999999997</v>
      </c>
      <c r="K104" s="297">
        <f t="shared" si="54"/>
        <v>77407.999999999985</v>
      </c>
      <c r="L104" s="297">
        <f t="shared" si="54"/>
        <v>77539.199999999997</v>
      </c>
      <c r="M104" s="297">
        <f t="shared" si="54"/>
        <v>77407.999999999985</v>
      </c>
      <c r="N104" s="297">
        <f t="shared" si="54"/>
        <v>77539.199999999997</v>
      </c>
      <c r="O104" s="297">
        <f t="shared" si="54"/>
        <v>77407.999999999985</v>
      </c>
      <c r="P104" s="297">
        <f t="shared" si="54"/>
        <v>77539.199999999997</v>
      </c>
      <c r="Q104" s="297">
        <f t="shared" si="54"/>
        <v>77407.999999999985</v>
      </c>
      <c r="R104" s="297">
        <f t="shared" si="54"/>
        <v>38703.999999999993</v>
      </c>
      <c r="S104" s="297">
        <f t="shared" si="54"/>
        <v>0</v>
      </c>
      <c r="T104" s="297">
        <f t="shared" si="54"/>
        <v>0</v>
      </c>
      <c r="U104" s="297">
        <f t="shared" si="54"/>
        <v>0</v>
      </c>
      <c r="V104" s="297">
        <f t="shared" si="54"/>
        <v>0</v>
      </c>
    </row>
    <row r="105" spans="1:22">
      <c r="A105" s="271" t="s">
        <v>497</v>
      </c>
      <c r="B105" s="295">
        <f>B103-B104</f>
        <v>1311999.9999999998</v>
      </c>
      <c r="C105" s="295">
        <f t="shared" ref="C105:V105" si="55">C103-C104</f>
        <v>1246399.9999999998</v>
      </c>
      <c r="D105" s="295">
        <f t="shared" si="55"/>
        <v>1121759.9999999998</v>
      </c>
      <c r="E105" s="295">
        <f t="shared" si="55"/>
        <v>1009583.9999999998</v>
      </c>
      <c r="F105" s="295">
        <f t="shared" si="55"/>
        <v>908559.99999999977</v>
      </c>
      <c r="G105" s="295">
        <f t="shared" si="55"/>
        <v>817638.39999999979</v>
      </c>
      <c r="H105" s="295">
        <f t="shared" si="55"/>
        <v>735900.79999999981</v>
      </c>
      <c r="I105" s="295">
        <f t="shared" si="55"/>
        <v>658492.79999999981</v>
      </c>
      <c r="J105" s="295">
        <f t="shared" si="55"/>
        <v>580953.59999999986</v>
      </c>
      <c r="K105" s="295">
        <f t="shared" si="55"/>
        <v>503545.59999999986</v>
      </c>
      <c r="L105" s="295">
        <f t="shared" si="55"/>
        <v>426006.39999999985</v>
      </c>
      <c r="M105" s="295">
        <f t="shared" si="55"/>
        <v>348598.39999999985</v>
      </c>
      <c r="N105" s="295">
        <f t="shared" si="55"/>
        <v>271059.19999999984</v>
      </c>
      <c r="O105" s="295">
        <f t="shared" si="55"/>
        <v>193651.19999999984</v>
      </c>
      <c r="P105" s="295">
        <f t="shared" si="55"/>
        <v>116111.99999999984</v>
      </c>
      <c r="Q105" s="295">
        <f t="shared" si="55"/>
        <v>38703.999999999854</v>
      </c>
      <c r="R105" s="295">
        <f t="shared" si="55"/>
        <v>-1.3824319466948509E-10</v>
      </c>
      <c r="S105" s="295">
        <f t="shared" si="55"/>
        <v>-1.3824319466948509E-10</v>
      </c>
      <c r="T105" s="295">
        <f t="shared" si="55"/>
        <v>-1.3824319466948509E-10</v>
      </c>
      <c r="U105" s="295">
        <f t="shared" si="55"/>
        <v>-1.3824319466948509E-10</v>
      </c>
      <c r="V105" s="295">
        <f t="shared" si="55"/>
        <v>-1.3824319466948509E-10</v>
      </c>
    </row>
    <row r="109" spans="1:22">
      <c r="A109" s="275" t="s">
        <v>498</v>
      </c>
      <c r="B109" s="1043">
        <f>B104</f>
        <v>0</v>
      </c>
      <c r="C109" s="1043">
        <f t="shared" ref="C109:V109" si="56">C104</f>
        <v>65600</v>
      </c>
      <c r="D109" s="1043">
        <f t="shared" si="56"/>
        <v>124639.99999999997</v>
      </c>
      <c r="E109" s="1043">
        <f t="shared" si="56"/>
        <v>112175.99999999999</v>
      </c>
      <c r="F109" s="1043">
        <f t="shared" si="56"/>
        <v>101023.99999999997</v>
      </c>
      <c r="G109" s="1043">
        <f t="shared" si="56"/>
        <v>90921.599999999991</v>
      </c>
      <c r="H109" s="1043">
        <f t="shared" si="56"/>
        <v>81737.599999999991</v>
      </c>
      <c r="I109" s="1043">
        <f t="shared" si="56"/>
        <v>77407.999999999985</v>
      </c>
      <c r="J109" s="1043">
        <f t="shared" si="56"/>
        <v>77539.199999999997</v>
      </c>
      <c r="K109" s="1043">
        <f t="shared" si="56"/>
        <v>77407.999999999985</v>
      </c>
      <c r="L109" s="1043">
        <f t="shared" si="56"/>
        <v>77539.199999999997</v>
      </c>
      <c r="M109" s="1043">
        <f t="shared" si="56"/>
        <v>77407.999999999985</v>
      </c>
      <c r="N109" s="1043">
        <f t="shared" si="56"/>
        <v>77539.199999999997</v>
      </c>
      <c r="O109" s="1043">
        <f t="shared" si="56"/>
        <v>77407.999999999985</v>
      </c>
      <c r="P109" s="1043">
        <f t="shared" si="56"/>
        <v>77539.199999999997</v>
      </c>
      <c r="Q109" s="1043">
        <f t="shared" si="56"/>
        <v>77407.999999999985</v>
      </c>
      <c r="R109" s="1043">
        <f t="shared" si="56"/>
        <v>38703.999999999993</v>
      </c>
      <c r="S109" s="1043">
        <f t="shared" si="56"/>
        <v>0</v>
      </c>
      <c r="T109" s="1043">
        <f t="shared" si="56"/>
        <v>0</v>
      </c>
      <c r="U109" s="1043">
        <f t="shared" si="56"/>
        <v>0</v>
      </c>
      <c r="V109" s="1043">
        <f t="shared" si="56"/>
        <v>0</v>
      </c>
    </row>
    <row r="110" spans="1:22">
      <c r="A110" s="1044" t="s">
        <v>499</v>
      </c>
      <c r="B110" s="1045">
        <v>0</v>
      </c>
      <c r="C110" s="1045">
        <f>SUM(Brownsville!B91,Caledonia!B88,'New Albany'!B88,Gleason!B91,Wheatland!B92,Wilton!B85)</f>
        <v>-65600</v>
      </c>
      <c r="D110" s="1045">
        <f>SUM(Brownsville!C91,Caledonia!C88,'New Albany'!C88,Gleason!C91,Wheatland!C92,Wilton!C85)</f>
        <v>-124639.99999999997</v>
      </c>
      <c r="E110" s="1045">
        <f>SUM(Brownsville!D91,Caledonia!D88,'New Albany'!D88,Gleason!D91,Wheatland!D92,Wilton!D85)</f>
        <v>-112175.99999999999</v>
      </c>
      <c r="F110" s="1045">
        <f>SUM(Brownsville!E91,Caledonia!E88,'New Albany'!E88,Gleason!E91,Wheatland!E92,Wilton!E85)</f>
        <v>-101023.99999999997</v>
      </c>
      <c r="G110" s="1045">
        <f>SUM(Brownsville!F91,Caledonia!F88,'New Albany'!F88,Gleason!F91,Wheatland!F92,Wilton!F85)</f>
        <v>-90921.599999999991</v>
      </c>
      <c r="H110" s="1045">
        <f>SUM(Brownsville!G91,Caledonia!G88,'New Albany'!G88,Gleason!G91,Wheatland!G92,Wilton!G85)</f>
        <v>-81737.599999999991</v>
      </c>
      <c r="I110" s="1045">
        <f>SUM(Brownsville!H91,Caledonia!H88,'New Albany'!H88,Gleason!H91,Wheatland!H92,Wilton!H85)</f>
        <v>-77407.999999999985</v>
      </c>
      <c r="J110" s="1045">
        <f>SUM(Brownsville!I91,Caledonia!I88,'New Albany'!I88,Gleason!I91,Wheatland!I92,Wilton!I85)</f>
        <v>-77539.199999999997</v>
      </c>
      <c r="K110" s="1045">
        <f>SUM(Brownsville!J91,Caledonia!J88,'New Albany'!J88,Gleason!J91,Wheatland!J92,Wilton!J85)</f>
        <v>-77407.999999999985</v>
      </c>
      <c r="L110" s="1045">
        <f>SUM(Brownsville!K91,Caledonia!K88,'New Albany'!K88,Gleason!K91,Wheatland!K92,Wilton!K85)</f>
        <v>-77539.199999999997</v>
      </c>
      <c r="M110" s="1045">
        <f>SUM(Brownsville!L91,Caledonia!L88,'New Albany'!L88,Gleason!L91,Wheatland!L92,Wilton!L85)</f>
        <v>-77407.999999999985</v>
      </c>
      <c r="N110" s="1045">
        <f>SUM(Brownsville!M91,Caledonia!M88,'New Albany'!M88,Gleason!M91,Wheatland!M92,Wilton!M85)</f>
        <v>-77539.199999999997</v>
      </c>
      <c r="O110" s="1045">
        <f>SUM(Brownsville!N91,Caledonia!N88,'New Albany'!N88,Gleason!N91,Wheatland!N92,Wilton!N85)</f>
        <v>-77407.999999999985</v>
      </c>
      <c r="P110" s="1045">
        <f>SUM(Brownsville!O91,Caledonia!O88,'New Albany'!O88,Gleason!O91,Wheatland!O92,Wilton!O85)</f>
        <v>-77539.199999999997</v>
      </c>
      <c r="Q110" s="1045">
        <f>SUM(Brownsville!P91,Caledonia!P88,'New Albany'!P88,Gleason!P91,Wheatland!P92,Wilton!P85)</f>
        <v>-77407.999999999985</v>
      </c>
      <c r="R110" s="1045">
        <f>SUM(Brownsville!Q91,Caledonia!Q88,'New Albany'!Q88,Gleason!Q91,Wheatland!Q92,Wilton!Q85)</f>
        <v>-38703.999999999993</v>
      </c>
      <c r="S110" s="1045">
        <f>SUM(Brownsville!R91,Caledonia!R88,'New Albany'!R88,Gleason!R91,Wheatland!R92,Wilton!R85)</f>
        <v>0</v>
      </c>
      <c r="T110" s="1045">
        <f>SUM(Brownsville!S91,Caledonia!S88,'New Albany'!S88,Gleason!S91,Wheatland!S92,Wilton!S85)</f>
        <v>0</v>
      </c>
      <c r="U110" s="1045">
        <f>SUM(Brownsville!T91,Caledonia!T88,'New Albany'!T88,Gleason!T91,Wheatland!T92,Wilton!T85)</f>
        <v>0</v>
      </c>
      <c r="V110" s="1045">
        <f>SUM(Brownsville!U91,Caledonia!U88,'New Albany'!U88,Gleason!U91,Wheatland!U92,Wilton!U85)</f>
        <v>0</v>
      </c>
    </row>
    <row r="111" spans="1:22">
      <c r="A111" s="275" t="s">
        <v>500</v>
      </c>
      <c r="B111" s="1043">
        <f>B109+B110</f>
        <v>0</v>
      </c>
      <c r="C111" s="1043">
        <f t="shared" ref="C111:V111" si="57">C109+C110</f>
        <v>0</v>
      </c>
      <c r="D111" s="1043">
        <f t="shared" si="57"/>
        <v>0</v>
      </c>
      <c r="E111" s="1043">
        <f t="shared" si="57"/>
        <v>0</v>
      </c>
      <c r="F111" s="1043">
        <f t="shared" si="57"/>
        <v>0</v>
      </c>
      <c r="G111" s="1043">
        <f t="shared" si="57"/>
        <v>0</v>
      </c>
      <c r="H111" s="1043">
        <f t="shared" si="57"/>
        <v>0</v>
      </c>
      <c r="I111" s="1043">
        <f t="shared" si="57"/>
        <v>0</v>
      </c>
      <c r="J111" s="1043">
        <f t="shared" si="57"/>
        <v>0</v>
      </c>
      <c r="K111" s="1043">
        <f t="shared" si="57"/>
        <v>0</v>
      </c>
      <c r="L111" s="1043">
        <f t="shared" si="57"/>
        <v>0</v>
      </c>
      <c r="M111" s="1043">
        <f t="shared" si="57"/>
        <v>0</v>
      </c>
      <c r="N111" s="1043">
        <f t="shared" si="57"/>
        <v>0</v>
      </c>
      <c r="O111" s="1043">
        <f t="shared" si="57"/>
        <v>0</v>
      </c>
      <c r="P111" s="1043">
        <f t="shared" si="57"/>
        <v>0</v>
      </c>
      <c r="Q111" s="1043">
        <f t="shared" si="57"/>
        <v>0</v>
      </c>
      <c r="R111" s="1043">
        <f t="shared" si="57"/>
        <v>0</v>
      </c>
      <c r="S111" s="1043">
        <f t="shared" si="57"/>
        <v>0</v>
      </c>
      <c r="T111" s="1043">
        <f t="shared" si="57"/>
        <v>0</v>
      </c>
      <c r="U111" s="1043">
        <f t="shared" si="57"/>
        <v>0</v>
      </c>
      <c r="V111" s="1043">
        <f t="shared" si="57"/>
        <v>0</v>
      </c>
    </row>
  </sheetData>
  <pageMargins left="0.5" right="0.5" top="0.75" bottom="0.5" header="0.25" footer="0.25"/>
  <pageSetup scale="38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61" max="2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BC778"/>
  <sheetViews>
    <sheetView zoomScale="75" zoomScaleNormal="75" workbookViewId="0"/>
  </sheetViews>
  <sheetFormatPr defaultRowHeight="12.75" outlineLevelRow="1" outlineLevelCol="1"/>
  <cols>
    <col min="1" max="1" width="47.57031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0.285156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505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952"/>
      <c r="C6" s="952"/>
      <c r="D6" s="952"/>
      <c r="E6" s="952"/>
      <c r="F6" s="952"/>
      <c r="G6" s="952"/>
      <c r="H6" s="952"/>
      <c r="I6" s="952"/>
      <c r="J6" s="952"/>
      <c r="K6" s="952"/>
      <c r="L6" s="952"/>
      <c r="M6" s="952"/>
      <c r="N6" s="952"/>
      <c r="O6" s="952"/>
      <c r="P6" s="952"/>
      <c r="Q6" s="952"/>
      <c r="R6" s="952"/>
      <c r="S6" s="952"/>
      <c r="T6" s="952"/>
      <c r="U6" s="952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1429.0040386638611</v>
      </c>
      <c r="AA7" s="950">
        <f>C10+C11</f>
        <v>1471.8741598237771</v>
      </c>
      <c r="AB7" s="950">
        <f>D10+D11</f>
        <v>1516.0303846184906</v>
      </c>
      <c r="AC7" s="950">
        <f t="shared" ref="AC7:AS7" si="1">E16</f>
        <v>1223.858653157045</v>
      </c>
      <c r="AD7" s="950">
        <f t="shared" si="1"/>
        <v>1260.5744127517564</v>
      </c>
      <c r="AE7" s="950">
        <f t="shared" si="1"/>
        <v>1298.3916451343091</v>
      </c>
      <c r="AF7" s="950">
        <f t="shared" si="1"/>
        <v>1337.3433944883384</v>
      </c>
      <c r="AG7" s="950">
        <f t="shared" si="1"/>
        <v>1377.4636963229882</v>
      </c>
      <c r="AH7" s="950">
        <f t="shared" si="1"/>
        <v>1418.787607212678</v>
      </c>
      <c r="AI7" s="950">
        <f t="shared" si="1"/>
        <v>1461.3512354290585</v>
      </c>
      <c r="AJ7" s="950">
        <f t="shared" si="1"/>
        <v>1505.1917724919304</v>
      </c>
      <c r="AK7" s="950">
        <f t="shared" si="1"/>
        <v>1550.3475256666879</v>
      </c>
      <c r="AL7" s="950">
        <f t="shared" si="1"/>
        <v>1596.8579514366886</v>
      </c>
      <c r="AM7" s="950">
        <f t="shared" si="1"/>
        <v>1644.7636899797892</v>
      </c>
      <c r="AN7" s="950">
        <f t="shared" si="1"/>
        <v>1694.1066006791832</v>
      </c>
      <c r="AO7" s="950">
        <f t="shared" si="1"/>
        <v>1744.9297986995584</v>
      </c>
      <c r="AP7" s="950">
        <f t="shared" si="1"/>
        <v>1797.2776926605452</v>
      </c>
      <c r="AQ7" s="950">
        <f t="shared" si="1"/>
        <v>1851.1960234403614</v>
      </c>
      <c r="AR7" s="950">
        <f t="shared" si="1"/>
        <v>1906.7319041435724</v>
      </c>
      <c r="AS7" s="950">
        <f t="shared" si="1"/>
        <v>1963.9338612678794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1429.0040386638611</v>
      </c>
      <c r="AA8" s="1048">
        <f>C23+C24</f>
        <v>1471.8741598237771</v>
      </c>
      <c r="AB8" s="1048">
        <f>D23+D24</f>
        <v>1516.0303846184906</v>
      </c>
      <c r="AC8" s="1048">
        <f t="shared" ref="AC8:AS8" si="2">E23+1/3*E24</f>
        <v>1223.858653157045</v>
      </c>
      <c r="AD8" s="1048">
        <f t="shared" si="2"/>
        <v>1260.5744127517564</v>
      </c>
      <c r="AE8" s="1048">
        <f t="shared" si="2"/>
        <v>1298.3916451343091</v>
      </c>
      <c r="AF8" s="1048">
        <f t="shared" si="2"/>
        <v>1337.3433944883384</v>
      </c>
      <c r="AG8" s="1048">
        <f t="shared" si="2"/>
        <v>1377.4636963229884</v>
      </c>
      <c r="AH8" s="1048">
        <f t="shared" si="2"/>
        <v>1418.7876072126783</v>
      </c>
      <c r="AI8" s="1048">
        <f t="shared" si="2"/>
        <v>1461.3512354290588</v>
      </c>
      <c r="AJ8" s="1048">
        <f t="shared" si="2"/>
        <v>1505.1917724919304</v>
      </c>
      <c r="AK8" s="1048">
        <f t="shared" si="2"/>
        <v>1550.3475256666882</v>
      </c>
      <c r="AL8" s="1048">
        <f t="shared" si="2"/>
        <v>1596.8579514366888</v>
      </c>
      <c r="AM8" s="1048">
        <f t="shared" si="2"/>
        <v>1644.7636899797894</v>
      </c>
      <c r="AN8" s="1048">
        <f t="shared" si="2"/>
        <v>1694.1066006791832</v>
      </c>
      <c r="AO8" s="1048">
        <f t="shared" si="2"/>
        <v>1744.9297986995584</v>
      </c>
      <c r="AP8" s="1048">
        <f t="shared" si="2"/>
        <v>1797.2776926605454</v>
      </c>
      <c r="AQ8" s="1048">
        <f t="shared" si="2"/>
        <v>1851.1960234403616</v>
      </c>
      <c r="AR8" s="1048">
        <f t="shared" si="2"/>
        <v>1906.7319041435726</v>
      </c>
      <c r="AS8" s="1048">
        <f t="shared" si="2"/>
        <v>1963.9338612678794</v>
      </c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Assumption'!C27*12*ENA_Assumptions!$C$9</f>
        <v>21984</v>
      </c>
      <c r="C9" s="20">
        <f>'ENA_Power Price Assumption'!D27*12*ENA_Assumptions!$C$9</f>
        <v>21984</v>
      </c>
      <c r="D9" s="20">
        <f>'ENA_Power Price Assumption'!E27*12*ENA_Assumptions!$C$9</f>
        <v>21984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65952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ENA_Assumptions!C20*ENA_Assumptions!C18/1000*(1+ENA_Assumptions!$C$26)</f>
        <v>965.50403866386125</v>
      </c>
      <c r="C10" s="20">
        <f>B10*(1+ENA_Assumptions!$C$26)</f>
        <v>994.46915982377709</v>
      </c>
      <c r="D10" s="20">
        <f>C10*(1+ENA_Assumptions!$C$26)</f>
        <v>1024.3032346184905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2984.2764331061289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ENA_Assumptions!$C$19*ENA_Assumptions!$C$11*ENA_Assumptions!$C$8/1000*(1+ENA_Assumptions!$C$26)</f>
        <v>463.5</v>
      </c>
      <c r="C11" s="55">
        <f>B11*(1+ENA_Assumptions!$C$26)</f>
        <v>477.40500000000003</v>
      </c>
      <c r="D11" s="55">
        <f>C11*(1+ENA_Assumptions!$C$26)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Contract'!$C$11/3</f>
        <v>8116.9579548695401</v>
      </c>
      <c r="C12" s="90">
        <f>'Amortization of Power Contract'!$C$11/3</f>
        <v>8116.9579548695401</v>
      </c>
      <c r="D12" s="90">
        <f>'Amortization of Power Contract'!$C$11/3</f>
        <v>8116.9579548695401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24350.87386460862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B14" s="90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Assumption'!F27*ENA_Assumptions!$C$9*12</f>
        <v>35282.900644089299</v>
      </c>
      <c r="F15" s="295">
        <f>'ENA_Power Price Assumption'!G27*ENA_Assumptions!$C$9*12</f>
        <v>37032.451918507053</v>
      </c>
      <c r="G15" s="295">
        <f>'ENA_Power Price Assumption'!H27*ENA_Assumptions!$C$9*12</f>
        <v>37507.345204401674</v>
      </c>
      <c r="H15" s="295">
        <f>'ENA_Power Price Assumption'!I27*ENA_Assumptions!$C$9*12</f>
        <v>37988.328382304651</v>
      </c>
      <c r="I15" s="295">
        <f>'ENA_Power Price Assumption'!J27*ENA_Assumptions!$C$9*12</f>
        <v>38475.479547202296</v>
      </c>
      <c r="J15" s="295">
        <f>'ENA_Power Price Assumption'!K27*ENA_Assumptions!$C$9*12</f>
        <v>38968.877795548135</v>
      </c>
      <c r="K15" s="295">
        <f>'ENA_Power Price Assumption'!L27*ENA_Assumptions!$C$9*12</f>
        <v>39468.603238105337</v>
      </c>
      <c r="L15" s="295">
        <f>'ENA_Power Price Assumption'!M27*ENA_Assumptions!$C$9*12</f>
        <v>40215.43427377467</v>
      </c>
      <c r="M15" s="295">
        <f>'ENA_Power Price Assumption'!N27*ENA_Assumptions!$C$9*12</f>
        <v>40976.396962202896</v>
      </c>
      <c r="N15" s="295">
        <f>'ENA_Power Price Assumption'!O27*ENA_Assumptions!$C$9*12</f>
        <v>41751.758704716616</v>
      </c>
      <c r="O15" s="295">
        <f>'ENA_Power Price Assumption'!P27*ENA_Assumptions!$C$9*12</f>
        <v>42541.791962451833</v>
      </c>
      <c r="P15" s="295">
        <f>'ENA_Power Price Assumption'!Q27*ENA_Assumptions!$C$9*12</f>
        <v>43346.774352096516</v>
      </c>
      <c r="Q15" s="295">
        <f>'ENA_Power Price Assumption'!R27*ENA_Assumptions!$C$9*12</f>
        <v>43965.220802977667</v>
      </c>
      <c r="R15" s="295">
        <f>'ENA_Power Price Assumption'!S27*ENA_Assumptions!$C$9*12</f>
        <v>44592.490886489504</v>
      </c>
      <c r="S15" s="295">
        <f>'ENA_Power Price Assumption'!T27*ENA_Assumptions!$C$9*12</f>
        <v>45228.710493067127</v>
      </c>
      <c r="T15" s="295">
        <f>'ENA_Power Price Assumption'!U27*ENA_Assumptions!$C$9*12</f>
        <v>45874.007309276829</v>
      </c>
      <c r="U15" s="295">
        <f>'ENA_Power Price Assumption'!V27*ENA_Assumptions!$C$9*12</f>
        <v>46528.510843442287</v>
      </c>
      <c r="W15" s="55">
        <f>SUM(B15:U15)</f>
        <v>699745.08332065446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1/3*ENA_Assumptions!$C$19*ENA_Assumptions!$C$11*ENA_Assumptions!$C$8/1000*(1+ENA_Assumptions!$C$26)^(E5-2000)+ENA_Assumptions!$C$20*ENA_Assumptions!$C$18*(1+ENA_Assumptions!$C$26)^(E5-2000)/1000</f>
        <v>1223.858653157045</v>
      </c>
      <c r="F16" s="90">
        <f>1/3*ENA_Assumptions!$C$19*ENA_Assumptions!$C$11*ENA_Assumptions!$C$8/1000*(1+ENA_Assumptions!$C$26)^(F5-2000)+ENA_Assumptions!$C$20*ENA_Assumptions!$C$18*(1+ENA_Assumptions!$C$26)^(F5-2000)/1000</f>
        <v>1260.5744127517564</v>
      </c>
      <c r="G16" s="90">
        <f>1/3*ENA_Assumptions!$C$19*ENA_Assumptions!$C$11*ENA_Assumptions!$C$8/1000*(1+ENA_Assumptions!$C$26)^(G5-2000)+ENA_Assumptions!$C$20*ENA_Assumptions!$C$18*(1+ENA_Assumptions!$C$26)^(G5-2000)/1000</f>
        <v>1298.3916451343091</v>
      </c>
      <c r="H16" s="90">
        <f>1/3*ENA_Assumptions!$C$19*ENA_Assumptions!$C$11*ENA_Assumptions!$C$8/1000*(1+ENA_Assumptions!$C$26)^(H5-2000)+ENA_Assumptions!$C$20*ENA_Assumptions!$C$18*(1+ENA_Assumptions!$C$26)^(H5-2000)/1000</f>
        <v>1337.3433944883384</v>
      </c>
      <c r="I16" s="90">
        <f>1/3*ENA_Assumptions!$C$19*ENA_Assumptions!$C$11*ENA_Assumptions!$C$8/1000*(1+ENA_Assumptions!$C$26)^(I5-2000)+ENA_Assumptions!$C$20*ENA_Assumptions!$C$18*(1+ENA_Assumptions!$C$26)^(I5-2000)/1000</f>
        <v>1377.4636963229882</v>
      </c>
      <c r="J16" s="90">
        <f>1/3*ENA_Assumptions!$C$19*ENA_Assumptions!$C$11*ENA_Assumptions!$C$8/1000*(1+ENA_Assumptions!$C$26)^(J5-2000)+ENA_Assumptions!$C$20*ENA_Assumptions!$C$18*(1+ENA_Assumptions!$C$26)^(J5-2000)/1000</f>
        <v>1418.787607212678</v>
      </c>
      <c r="K16" s="90">
        <f>1/3*ENA_Assumptions!$C$19*ENA_Assumptions!$C$11*ENA_Assumptions!$C$8/1000*(1+ENA_Assumptions!$C$26)^(K5-2000)+ENA_Assumptions!$C$20*ENA_Assumptions!$C$18*(1+ENA_Assumptions!$C$26)^(K5-2000)/1000</f>
        <v>1461.3512354290585</v>
      </c>
      <c r="L16" s="90">
        <f>1/3*ENA_Assumptions!$C$19*ENA_Assumptions!$C$11*ENA_Assumptions!$C$8/1000*(1+ENA_Assumptions!$C$26)^(L5-2000)+ENA_Assumptions!$C$20*ENA_Assumptions!$C$18*(1+ENA_Assumptions!$C$26)^(L5-2000)/1000</f>
        <v>1505.1917724919304</v>
      </c>
      <c r="M16" s="90">
        <f>1/3*ENA_Assumptions!$C$19*ENA_Assumptions!$C$11*ENA_Assumptions!$C$8/1000*(1+ENA_Assumptions!$C$26)^(M5-2000)+ENA_Assumptions!$C$20*ENA_Assumptions!$C$18*(1+ENA_Assumptions!$C$26)^(M5-2000)/1000</f>
        <v>1550.3475256666879</v>
      </c>
      <c r="N16" s="90">
        <f>1/3*ENA_Assumptions!$C$19*ENA_Assumptions!$C$11*ENA_Assumptions!$C$8/1000*(1+ENA_Assumptions!$C$26)^(N5-2000)+ENA_Assumptions!$C$20*ENA_Assumptions!$C$18*(1+ENA_Assumptions!$C$26)^(N5-2000)/1000</f>
        <v>1596.8579514366886</v>
      </c>
      <c r="O16" s="90">
        <f>1/3*ENA_Assumptions!$C$19*ENA_Assumptions!$C$11*ENA_Assumptions!$C$8/1000*(1+ENA_Assumptions!$C$26)^(O5-2000)+ENA_Assumptions!$C$20*ENA_Assumptions!$C$18*(1+ENA_Assumptions!$C$26)^(O5-2000)/1000</f>
        <v>1644.7636899797892</v>
      </c>
      <c r="P16" s="90">
        <f>1/3*ENA_Assumptions!$C$19*ENA_Assumptions!$C$11*ENA_Assumptions!$C$8/1000*(1+ENA_Assumptions!$C$26)^(P5-2000)+ENA_Assumptions!$C$20*ENA_Assumptions!$C$18*(1+ENA_Assumptions!$C$26)^(P5-2000)/1000</f>
        <v>1694.1066006791832</v>
      </c>
      <c r="Q16" s="90">
        <f>1/3*ENA_Assumptions!$C$19*ENA_Assumptions!$C$11*ENA_Assumptions!$C$8/1000*(1+ENA_Assumptions!$C$26)^(Q5-2000)+ENA_Assumptions!$C$20*ENA_Assumptions!$C$18*(1+ENA_Assumptions!$C$26)^(Q5-2000)/1000</f>
        <v>1744.9297986995584</v>
      </c>
      <c r="R16" s="90">
        <f>1/3*ENA_Assumptions!$C$19*ENA_Assumptions!$C$11*ENA_Assumptions!$C$8/1000*(1+ENA_Assumptions!$C$26)^(R5-2000)+ENA_Assumptions!$C$20*ENA_Assumptions!$C$18*(1+ENA_Assumptions!$C$26)^(R5-2000)/1000</f>
        <v>1797.2776926605452</v>
      </c>
      <c r="S16" s="90">
        <f>1/3*ENA_Assumptions!$C$19*ENA_Assumptions!$C$11*ENA_Assumptions!$C$8/1000*(1+ENA_Assumptions!$C$26)^(S5-2000)+ENA_Assumptions!$C$20*ENA_Assumptions!$C$18*(1+ENA_Assumptions!$C$26)^(S5-2000)/1000</f>
        <v>1851.1960234403614</v>
      </c>
      <c r="T16" s="90">
        <f>1/3*ENA_Assumptions!$C$19*ENA_Assumptions!$C$11*ENA_Assumptions!$C$8/1000*(1+ENA_Assumptions!$C$26)^(T5-2000)+ENA_Assumptions!$C$20*ENA_Assumptions!$C$18*(1+ENA_Assumptions!$C$26)^(T5-2000)/1000</f>
        <v>1906.7319041435724</v>
      </c>
      <c r="U16" s="90">
        <f>1/3*ENA_Assumptions!$C$19*ENA_Assumptions!$C$11*ENA_Assumptions!$C$8/1000*(1+ENA_Assumptions!$C$26)^(U5-2000)+ENA_Assumptions!$C$20*ENA_Assumptions!$C$18*(1+ENA_Assumptions!$C$26)^(U5-2000)/1000</f>
        <v>1963.9338612678794</v>
      </c>
      <c r="W16" s="55">
        <f>SUM(B16:U16)</f>
        <v>26633.10746496237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239.33555647057702</v>
      </c>
      <c r="C18" s="297">
        <f>(SUM(C9:C11)-SUM(C22:C27))*'ENA_Summary Output'!$B$29/4</f>
        <v>238.11645424824201</v>
      </c>
      <c r="D18" s="297">
        <f>(SUM(D9:D11)-SUM(D22:D27))*'ENA_Summary Output'!$B$29/4</f>
        <v>237.47462345949086</v>
      </c>
      <c r="E18" s="297">
        <f>(SUM(E9:E16)-SUM(E22:E27))*'ENA_Summary Output'!$B$29/4</f>
        <v>398.87379048964789</v>
      </c>
      <c r="F18" s="297">
        <f>(SUM(F9:F16)-SUM(F22:F27))*'ENA_Summary Output'!$B$29/4</f>
        <v>419.95099200575146</v>
      </c>
      <c r="G18" s="297">
        <f>(SUM(G9:G16)-SUM(G22:G27))*'ENA_Summary Output'!$B$29/4</f>
        <v>425.06590415928508</v>
      </c>
      <c r="H18" s="297">
        <f>(SUM(H9:H16)-SUM(H22:H27))*'ENA_Summary Output'!$B$29/4</f>
        <v>430.22700352171125</v>
      </c>
      <c r="I18" s="297">
        <f>(SUM(I9:I16)-SUM(I22:I27))*'ENA_Summary Output'!$B$29/4</f>
        <v>435.43436818712263</v>
      </c>
      <c r="J18" s="297">
        <f>(SUM(J9:J16)-SUM(J22:J27))*'ENA_Summary Output'!$B$29/4</f>
        <v>440.68806182515482</v>
      </c>
      <c r="K18" s="297">
        <f>(SUM(K9:K16)-SUM(K22:K27))*'ENA_Summary Output'!$B$29/4</f>
        <v>445.98813303323305</v>
      </c>
      <c r="L18" s="297">
        <f>(SUM(L9:L16)-SUM(L22:L27))*'ENA_Summary Output'!$B$29/4</f>
        <v>454.34333042688905</v>
      </c>
      <c r="M18" s="297">
        <f>(SUM(M9:M16)-SUM(M22:M27))*'ENA_Summary Output'!$B$29/4</f>
        <v>462.84046893985743</v>
      </c>
      <c r="N18" s="297">
        <f>(SUM(N9:N16)-SUM(N22:N27))*'ENA_Summary Output'!$B$29/4</f>
        <v>471.48184995251569</v>
      </c>
      <c r="O18" s="297">
        <f>(SUM(O9:O16)-SUM(O22:O27))*'ENA_Summary Output'!$B$29/4</f>
        <v>480.26980685877243</v>
      </c>
      <c r="P18" s="297">
        <f>(SUM(P9:P16)-SUM(P22:P27))*'ENA_Summary Output'!$B$29/4</f>
        <v>488.54860156108191</v>
      </c>
      <c r="Q18" s="297">
        <f>(SUM(Q9:Q16)-SUM(Q22:Q27))*'ENA_Summary Output'!$B$29/4</f>
        <v>495.00782845258522</v>
      </c>
      <c r="R18" s="297">
        <f>(SUM(R9:R16)-SUM(R22:R27))*'ENA_Summary Output'!$B$29/4</f>
        <v>501.53498043678229</v>
      </c>
      <c r="S18" s="297">
        <f>(SUM(S9:S16)-SUM(S22:S27))*'ENA_Summary Output'!$B$29/4</f>
        <v>508.13038141707131</v>
      </c>
      <c r="T18" s="297">
        <f>(SUM(T9:T16)-SUM(T22:T27))*'ENA_Summary Output'!$B$29/4</f>
        <v>514.79434068432761</v>
      </c>
      <c r="U18" s="297">
        <f>(SUM(U9:U16)-SUM(U22:U27))*'ENA_Summary Output'!$B$29/4</f>
        <v>521.64287720244999</v>
      </c>
      <c r="W18" s="55">
        <f>SUM(B18:U18)</f>
        <v>8609.7493533325505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31769.297550003979</v>
      </c>
      <c r="C19" s="20">
        <f t="shared" ref="C19:U19" si="4">SUM(C9:C18)</f>
        <v>31810.94856894156</v>
      </c>
      <c r="D19" s="20">
        <f t="shared" si="4"/>
        <v>31854.46296294752</v>
      </c>
      <c r="E19" s="20">
        <f t="shared" si="4"/>
        <v>36905.633087735994</v>
      </c>
      <c r="F19" s="20">
        <f t="shared" si="4"/>
        <v>38712.97732326456</v>
      </c>
      <c r="G19" s="20">
        <f t="shared" si="4"/>
        <v>39230.802753695272</v>
      </c>
      <c r="H19" s="20">
        <f t="shared" si="4"/>
        <v>39755.898780314696</v>
      </c>
      <c r="I19" s="20">
        <f t="shared" si="4"/>
        <v>40288.377611712407</v>
      </c>
      <c r="J19" s="20">
        <f t="shared" si="4"/>
        <v>40828.353464585962</v>
      </c>
      <c r="K19" s="20">
        <f t="shared" si="4"/>
        <v>41375.942606567631</v>
      </c>
      <c r="L19" s="20">
        <f t="shared" si="4"/>
        <v>42174.969376693494</v>
      </c>
      <c r="M19" s="20">
        <f t="shared" si="4"/>
        <v>42989.584956809442</v>
      </c>
      <c r="N19" s="20">
        <f t="shared" si="4"/>
        <v>43820.098506105816</v>
      </c>
      <c r="O19" s="20">
        <f t="shared" si="4"/>
        <v>44666.82545929039</v>
      </c>
      <c r="P19" s="20">
        <f t="shared" si="4"/>
        <v>45529.429554336777</v>
      </c>
      <c r="Q19" s="20">
        <f t="shared" si="4"/>
        <v>46205.158430129813</v>
      </c>
      <c r="R19" s="20">
        <f t="shared" si="4"/>
        <v>46891.303559586828</v>
      </c>
      <c r="S19" s="20">
        <f t="shared" si="4"/>
        <v>47588.036897924554</v>
      </c>
      <c r="T19" s="20">
        <f t="shared" si="4"/>
        <v>48295.533554104724</v>
      </c>
      <c r="U19" s="20">
        <f t="shared" si="4"/>
        <v>49014.087581912616</v>
      </c>
      <c r="W19" s="55">
        <f>SUM(B19:U19)</f>
        <v>829707.72258666414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</row>
    <row r="22" spans="1:55">
      <c r="A22" s="4" t="s">
        <v>1</v>
      </c>
      <c r="B22" s="90">
        <f>ENA_Assumptions!C29*(1+ENA_Assumptions!$C$26)</f>
        <v>1610.5404141000004</v>
      </c>
      <c r="C22" s="55">
        <f>B22*(1+ENA_Assumptions!$C$26)</f>
        <v>1658.8566265230004</v>
      </c>
      <c r="D22" s="55">
        <f>C22*(1+ENA_Assumptions!$C$26)</f>
        <v>1708.6223253186904</v>
      </c>
      <c r="E22" s="55">
        <f>D22*(1+ENA_Assumptions!$C$26)</f>
        <v>1759.8809950782511</v>
      </c>
      <c r="F22" s="55">
        <f>E22*(1+ENA_Assumptions!$C$26)</f>
        <v>1812.6774249305986</v>
      </c>
      <c r="G22" s="55">
        <f>F22*(1+ENA_Assumptions!$C$26)</f>
        <v>1867.0577476785165</v>
      </c>
      <c r="H22" s="55">
        <f>G22*(1+ENA_Assumptions!$C$26)</f>
        <v>1923.0694801088721</v>
      </c>
      <c r="I22" s="55">
        <f>H22*(1+ENA_Assumptions!$C$26)</f>
        <v>1980.7615645121382</v>
      </c>
      <c r="J22" s="55">
        <f>I22*(1+ENA_Assumptions!$C$26)</f>
        <v>2040.1844114475025</v>
      </c>
      <c r="K22" s="55">
        <f>J22*(1+ENA_Assumptions!$C$26)</f>
        <v>2101.3899437909276</v>
      </c>
      <c r="L22" s="55">
        <f>K22*(1+ENA_Assumptions!$C$26)</f>
        <v>2164.4316421046556</v>
      </c>
      <c r="M22" s="55">
        <f>L22*(1+ENA_Assumptions!$C$26)</f>
        <v>2229.3645913677951</v>
      </c>
      <c r="N22" s="55">
        <f>M22*(1+ENA_Assumptions!$C$26)</f>
        <v>2296.245529108829</v>
      </c>
      <c r="O22" s="55">
        <f>N22*(1+ENA_Assumptions!$C$26)</f>
        <v>2365.1328949820941</v>
      </c>
      <c r="P22" s="55">
        <f>O22*(1+ENA_Assumptions!$C$26)</f>
        <v>2436.0868818315571</v>
      </c>
      <c r="Q22" s="55">
        <f>P22*(1+ENA_Assumptions!$C$26)</f>
        <v>2509.169488286504</v>
      </c>
      <c r="R22" s="55">
        <f>Q22*(1+ENA_Assumptions!$C$26)</f>
        <v>2584.4445729350991</v>
      </c>
      <c r="S22" s="55">
        <f>R22*(1+ENA_Assumptions!$C$26)</f>
        <v>2661.977910123152</v>
      </c>
      <c r="T22" s="55">
        <f>S22*(1+ENA_Assumptions!$C$26)</f>
        <v>2741.8372474268467</v>
      </c>
      <c r="U22" s="55">
        <f>T22*(1+ENA_Assumptions!$C$26)</f>
        <v>2824.0923648496523</v>
      </c>
      <c r="W22" s="55">
        <f t="shared" ref="W22:W28" si="5">SUM(B22:U22)</f>
        <v>43275.824056504687</v>
      </c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</row>
    <row r="23" spans="1:55">
      <c r="A23" s="4" t="s">
        <v>428</v>
      </c>
      <c r="B23" s="90">
        <f>ENA_Assumptions!$C$30*(1+ENA_Assumptions!$C$26)</f>
        <v>965.50403866386125</v>
      </c>
      <c r="C23" s="90">
        <f>B23*(1+ENA_Assumptions!$C$26)</f>
        <v>994.46915982377709</v>
      </c>
      <c r="D23" s="90">
        <f>C23*(1+ENA_Assumptions!$C$26)</f>
        <v>1024.3032346184905</v>
      </c>
      <c r="E23" s="90">
        <f>ENA_Assumptions!$C$20*ENA_Assumptions!$C$24*(1+ENA_Assumptions!$C$26)^(E5-2000)/1000</f>
        <v>1055.032331657045</v>
      </c>
      <c r="F23" s="90">
        <f>ENA_Assumptions!$C$20*ENA_Assumptions!$C$24*(1+ENA_Assumptions!$C$26)^(F5-2000)/1000</f>
        <v>1086.6833016067565</v>
      </c>
      <c r="G23" s="90">
        <f>ENA_Assumptions!$C$20*ENA_Assumptions!$C$24*(1+ENA_Assumptions!$C$26)^(G5-2000)/1000</f>
        <v>1119.2838006549591</v>
      </c>
      <c r="H23" s="90">
        <f>ENA_Assumptions!$C$20*ENA_Assumptions!$C$24*(1+ENA_Assumptions!$C$26)^(H5-2000)/1000</f>
        <v>1152.8623146746079</v>
      </c>
      <c r="I23" s="90">
        <f>ENA_Assumptions!$C$20*ENA_Assumptions!$C$24*(1+ENA_Assumptions!$C$26)^(I5-2000)/1000</f>
        <v>1187.4481841148458</v>
      </c>
      <c r="J23" s="90">
        <f>ENA_Assumptions!$C$20*ENA_Assumptions!$C$24*(1+ENA_Assumptions!$C$26)^(J5-2000)/1000</f>
        <v>1223.0716296382914</v>
      </c>
      <c r="K23" s="90">
        <f>ENA_Assumptions!$C$20*ENA_Assumptions!$C$24*(1+ENA_Assumptions!$C$26)^(K5-2000)/1000</f>
        <v>1259.7637785274403</v>
      </c>
      <c r="L23" s="90">
        <f>ENA_Assumptions!$C$20*ENA_Assumptions!$C$24*(1+ENA_Assumptions!$C$26)^(L5-2000)/1000</f>
        <v>1297.5566918832635</v>
      </c>
      <c r="M23" s="90">
        <f>ENA_Assumptions!$C$20*ENA_Assumptions!$C$24*(1+ENA_Assumptions!$C$26)^(M5-2000)/1000</f>
        <v>1336.4833926397612</v>
      </c>
      <c r="N23" s="90">
        <f>ENA_Assumptions!$C$20*ENA_Assumptions!$C$24*(1+ENA_Assumptions!$C$26)^(N5-2000)/1000</f>
        <v>1376.577894418954</v>
      </c>
      <c r="O23" s="90">
        <f>ENA_Assumptions!$C$20*ENA_Assumptions!$C$24*(1+ENA_Assumptions!$C$26)^(O5-2000)/1000</f>
        <v>1417.8752312515226</v>
      </c>
      <c r="P23" s="90">
        <f>ENA_Assumptions!$C$20*ENA_Assumptions!$C$24*(1+ENA_Assumptions!$C$26)^(P5-2000)/1000</f>
        <v>1460.4114881890685</v>
      </c>
      <c r="Q23" s="90">
        <f>ENA_Assumptions!$C$20*ENA_Assumptions!$C$24*(1+ENA_Assumptions!$C$26)^(Q5-2000)/1000</f>
        <v>1504.2238328347403</v>
      </c>
      <c r="R23" s="90">
        <f>ENA_Assumptions!$C$20*ENA_Assumptions!$C$24*(1+ENA_Assumptions!$C$26)^(R5-2000)/1000</f>
        <v>1549.3505478197826</v>
      </c>
      <c r="S23" s="90">
        <f>ENA_Assumptions!$C$20*ENA_Assumptions!$C$24*(1+ENA_Assumptions!$C$26)^(S5-2000)/1000</f>
        <v>1595.8310642543759</v>
      </c>
      <c r="T23" s="90">
        <f>ENA_Assumptions!$C$20*ENA_Assumptions!$C$24*(1+ENA_Assumptions!$C$26)^(T5-2000)/1000</f>
        <v>1643.7059961820073</v>
      </c>
      <c r="U23" s="90">
        <f>ENA_Assumptions!$C$20*ENA_Assumptions!$C$24*(1+ENA_Assumptions!$C$26)^(U5-2000)/1000</f>
        <v>1693.0171760674673</v>
      </c>
      <c r="W23" s="55">
        <f t="shared" si="5"/>
        <v>25943.455089521016</v>
      </c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/>
      <c r="AT23" s="271"/>
      <c r="AU23" s="271"/>
      <c r="AV23" s="271"/>
      <c r="AW23" s="271"/>
      <c r="AX23" s="271"/>
      <c r="AY23" s="271"/>
      <c r="AZ23" s="271"/>
      <c r="BA23" s="271"/>
      <c r="BB23" s="271"/>
      <c r="BC23" s="271"/>
    </row>
    <row r="24" spans="1:55">
      <c r="A24" s="4" t="s">
        <v>461</v>
      </c>
      <c r="B24" s="90">
        <f>ENA_Assumptions!$C$25*ENA_Assumptions!$C$11*ENA_Assumptions!$C$8/1000*(1+ENA_Assumptions!$C$26)</f>
        <v>463.5</v>
      </c>
      <c r="C24" s="55">
        <f>B24*(1+ENA_Assumptions!$C$26)</f>
        <v>477.40500000000003</v>
      </c>
      <c r="D24" s="55">
        <f>C24*(1+ENA_Assumptions!$C$26)</f>
        <v>491.72715000000005</v>
      </c>
      <c r="E24" s="55">
        <f>D24*(1+ENA_Assumptions!$C$26)</f>
        <v>506.47896450000007</v>
      </c>
      <c r="F24" s="55">
        <f>E24*(1+ENA_Assumptions!$C$26)</f>
        <v>521.67333343500013</v>
      </c>
      <c r="G24" s="55">
        <f>F24*(1+ENA_Assumptions!$C$26)</f>
        <v>537.32353343805016</v>
      </c>
      <c r="H24" s="55">
        <f>G24*(1+ENA_Assumptions!$C$26)</f>
        <v>553.44323944119174</v>
      </c>
      <c r="I24" s="55">
        <f>H24*(1+ENA_Assumptions!$C$26)</f>
        <v>570.04653662442752</v>
      </c>
      <c r="J24" s="55">
        <f>I24*(1+ENA_Assumptions!$C$26)</f>
        <v>587.14793272316035</v>
      </c>
      <c r="K24" s="55">
        <f>J24*(1+ENA_Assumptions!$C$26)</f>
        <v>604.76237070485513</v>
      </c>
      <c r="L24" s="55">
        <f>K24*(1+ENA_Assumptions!$C$26)</f>
        <v>622.90524182600075</v>
      </c>
      <c r="M24" s="55">
        <f>L24*(1+ENA_Assumptions!$C$26)</f>
        <v>641.59239908078075</v>
      </c>
      <c r="N24" s="55">
        <f>M24*(1+ENA_Assumptions!$C$26)</f>
        <v>660.84017105320424</v>
      </c>
      <c r="O24" s="55">
        <f>N24*(1+ENA_Assumptions!$C$26)</f>
        <v>680.66537618480038</v>
      </c>
      <c r="P24" s="55">
        <f>O24*(1+ENA_Assumptions!$C$26)</f>
        <v>701.08533747034437</v>
      </c>
      <c r="Q24" s="55">
        <f>P24*(1+ENA_Assumptions!$C$26)</f>
        <v>722.11789759445469</v>
      </c>
      <c r="R24" s="55">
        <f>Q24*(1+ENA_Assumptions!$C$26)</f>
        <v>743.78143452228835</v>
      </c>
      <c r="S24" s="55">
        <f>R24*(1+ENA_Assumptions!$C$26)</f>
        <v>766.09487755795703</v>
      </c>
      <c r="T24" s="55">
        <f>S24*(1+ENA_Assumptions!$C$26)</f>
        <v>789.07772388469573</v>
      </c>
      <c r="U24" s="55">
        <f>T24*(1+ENA_Assumptions!$C$26)</f>
        <v>812.75005560123657</v>
      </c>
      <c r="W24" s="55">
        <f t="shared" si="5"/>
        <v>12454.418575642445</v>
      </c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/>
      <c r="AT24" s="271"/>
      <c r="AU24" s="271"/>
      <c r="AV24" s="271"/>
      <c r="AW24" s="271"/>
      <c r="AX24" s="271"/>
      <c r="AY24" s="271"/>
      <c r="AZ24" s="271"/>
      <c r="BA24" s="271"/>
      <c r="BB24" s="271"/>
      <c r="BC24" s="271"/>
    </row>
    <row r="25" spans="1:55">
      <c r="A25" s="4" t="s">
        <v>430</v>
      </c>
      <c r="B25" s="90">
        <f>ENA_Assumptions!C32*(1+ENA_Assumptions!$C$26)</f>
        <v>444.73872166666666</v>
      </c>
      <c r="C25" s="55">
        <f>B25*(1+ENA_Assumptions!$C$26)</f>
        <v>458.0808833166667</v>
      </c>
      <c r="D25" s="55">
        <f>C25*(1+ENA_Assumptions!$C$26)</f>
        <v>471.82330981616673</v>
      </c>
      <c r="E25" s="55">
        <f>D25*(1+ENA_Assumptions!$C$26)</f>
        <v>485.97800911065173</v>
      </c>
      <c r="F25" s="55">
        <f>E25*(1+ENA_Assumptions!$C$26)</f>
        <v>500.55734938397131</v>
      </c>
      <c r="G25" s="55">
        <f>F25*(1+ENA_Assumptions!$C$26)</f>
        <v>515.57406986549051</v>
      </c>
      <c r="H25" s="55">
        <f>G25*(1+ENA_Assumptions!$C$26)</f>
        <v>531.04129196145527</v>
      </c>
      <c r="I25" s="55">
        <f>H25*(1+ENA_Assumptions!$C$26)</f>
        <v>546.97253072029889</v>
      </c>
      <c r="J25" s="55">
        <f>I25*(1+ENA_Assumptions!$C$26)</f>
        <v>563.38170664190784</v>
      </c>
      <c r="K25" s="55">
        <f>J25*(1+ENA_Assumptions!$C$26)</f>
        <v>580.28315784116512</v>
      </c>
      <c r="L25" s="55">
        <f>K25*(1+ENA_Assumptions!$C$26)</f>
        <v>597.69165257640009</v>
      </c>
      <c r="M25" s="55">
        <f>L25*(1+ENA_Assumptions!$C$26)</f>
        <v>615.62240215369206</v>
      </c>
      <c r="N25" s="55">
        <f>M25*(1+ENA_Assumptions!$C$26)</f>
        <v>634.09107421830288</v>
      </c>
      <c r="O25" s="55">
        <f>N25*(1+ENA_Assumptions!$C$26)</f>
        <v>653.113806444852</v>
      </c>
      <c r="P25" s="55">
        <f>O25*(1+ENA_Assumptions!$C$26)</f>
        <v>672.70722063819755</v>
      </c>
      <c r="Q25" s="55">
        <f>P25*(1+ENA_Assumptions!$C$26)</f>
        <v>692.88843725734353</v>
      </c>
      <c r="R25" s="55">
        <f>Q25*(1+ENA_Assumptions!$C$26)</f>
        <v>713.67509037506386</v>
      </c>
      <c r="S25" s="55">
        <f>R25*(1+ENA_Assumptions!$C$26)</f>
        <v>735.08534308631579</v>
      </c>
      <c r="T25" s="55">
        <f>S25*(1+ENA_Assumptions!$C$26)</f>
        <v>757.13790337890532</v>
      </c>
      <c r="U25" s="55">
        <f>T25*(1+ENA_Assumptions!$C$26)</f>
        <v>779.85204048027254</v>
      </c>
      <c r="W25" s="55">
        <f t="shared" si="5"/>
        <v>11950.296000933786</v>
      </c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</row>
    <row r="26" spans="1:55">
      <c r="A26" s="4" t="s">
        <v>506</v>
      </c>
      <c r="B26" s="336">
        <v>325</v>
      </c>
      <c r="C26" s="336">
        <v>375</v>
      </c>
      <c r="D26" s="336">
        <v>375</v>
      </c>
      <c r="E26" s="336">
        <v>375</v>
      </c>
      <c r="F26" s="336">
        <v>375</v>
      </c>
      <c r="G26" s="336">
        <v>375</v>
      </c>
      <c r="H26" s="336">
        <v>375</v>
      </c>
      <c r="I26" s="336">
        <v>375</v>
      </c>
      <c r="J26" s="336">
        <v>375</v>
      </c>
      <c r="K26" s="336">
        <v>375</v>
      </c>
      <c r="L26" s="336">
        <v>375</v>
      </c>
      <c r="M26" s="336">
        <v>375</v>
      </c>
      <c r="N26" s="336">
        <v>375</v>
      </c>
      <c r="O26" s="336">
        <v>375</v>
      </c>
      <c r="P26" s="336">
        <v>427.64830117962356</v>
      </c>
      <c r="Q26" s="336">
        <v>436.20126720321605</v>
      </c>
      <c r="R26" s="336">
        <v>444.92529254728038</v>
      </c>
      <c r="S26" s="336">
        <v>453.82379839822596</v>
      </c>
      <c r="T26" s="336">
        <v>462.9002743661905</v>
      </c>
      <c r="U26" s="336">
        <f>T26</f>
        <v>462.9002743661905</v>
      </c>
      <c r="W26" s="55">
        <f t="shared" si="5"/>
        <v>7888.3992080607268</v>
      </c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</row>
    <row r="27" spans="1:55" s="271" customFormat="1">
      <c r="A27" s="4" t="s">
        <v>507</v>
      </c>
      <c r="B27" s="600">
        <f>B84</f>
        <v>456.87634658717172</v>
      </c>
      <c r="C27" s="600">
        <f t="shared" ref="C27:U27" si="6">C84</f>
        <v>442.74615030097056</v>
      </c>
      <c r="D27" s="600">
        <f t="shared" si="6"/>
        <v>430.58448810587538</v>
      </c>
      <c r="E27" s="600">
        <f t="shared" si="6"/>
        <v>414.48575772856822</v>
      </c>
      <c r="F27" s="600">
        <f t="shared" si="6"/>
        <v>400.35556144236705</v>
      </c>
      <c r="G27" s="600">
        <f t="shared" si="6"/>
        <v>386.22536515616588</v>
      </c>
      <c r="H27" s="600">
        <f t="shared" si="6"/>
        <v>372.09516886996471</v>
      </c>
      <c r="I27" s="600">
        <f t="shared" si="6"/>
        <v>357.96497258376354</v>
      </c>
      <c r="J27" s="600">
        <f t="shared" si="6"/>
        <v>343.83477629756237</v>
      </c>
      <c r="K27" s="600">
        <f t="shared" si="6"/>
        <v>329.7045800113612</v>
      </c>
      <c r="L27" s="600">
        <f t="shared" si="6"/>
        <v>315.57438372516003</v>
      </c>
      <c r="M27" s="600">
        <f t="shared" si="6"/>
        <v>301.44418743895886</v>
      </c>
      <c r="N27" s="600">
        <f t="shared" si="6"/>
        <v>287.31399115275769</v>
      </c>
      <c r="O27" s="600">
        <f t="shared" si="6"/>
        <v>273.18379486655647</v>
      </c>
      <c r="P27" s="600">
        <f t="shared" si="6"/>
        <v>259.0535985803553</v>
      </c>
      <c r="Q27" s="600">
        <f t="shared" si="6"/>
        <v>244.92340229415416</v>
      </c>
      <c r="R27" s="600">
        <f t="shared" si="6"/>
        <v>230.79320600795299</v>
      </c>
      <c r="S27" s="600">
        <f t="shared" si="6"/>
        <v>216.66300972175182</v>
      </c>
      <c r="T27" s="600">
        <f t="shared" si="6"/>
        <v>202.53281343555065</v>
      </c>
      <c r="U27" s="600">
        <f t="shared" si="6"/>
        <v>188.40261714934945</v>
      </c>
      <c r="V27" s="55"/>
      <c r="W27" s="55">
        <f t="shared" si="5"/>
        <v>6454.7581714563175</v>
      </c>
    </row>
    <row r="28" spans="1:55">
      <c r="A28" s="4" t="s">
        <v>22</v>
      </c>
      <c r="B28" s="90">
        <f t="shared" ref="B28:U28" si="7">SUM(B22:B27)</f>
        <v>4266.1595210177002</v>
      </c>
      <c r="C28" s="90">
        <f t="shared" si="7"/>
        <v>4406.5578199644151</v>
      </c>
      <c r="D28" s="90">
        <f t="shared" si="7"/>
        <v>4502.0605078592234</v>
      </c>
      <c r="E28" s="90">
        <f t="shared" si="7"/>
        <v>4596.856058074517</v>
      </c>
      <c r="F28" s="90">
        <f t="shared" si="7"/>
        <v>4696.9469707986927</v>
      </c>
      <c r="G28" s="90">
        <f t="shared" si="7"/>
        <v>4800.4645167931822</v>
      </c>
      <c r="H28" s="90">
        <f t="shared" si="7"/>
        <v>4907.511495056091</v>
      </c>
      <c r="I28" s="90">
        <f t="shared" si="7"/>
        <v>5018.1937885554735</v>
      </c>
      <c r="J28" s="90">
        <f t="shared" si="7"/>
        <v>5132.6204567484256</v>
      </c>
      <c r="K28" s="90">
        <f t="shared" si="7"/>
        <v>5250.903830875749</v>
      </c>
      <c r="L28" s="90">
        <f t="shared" si="7"/>
        <v>5373.1596121154798</v>
      </c>
      <c r="M28" s="90">
        <f t="shared" si="7"/>
        <v>5499.506972680987</v>
      </c>
      <c r="N28" s="90">
        <f t="shared" si="7"/>
        <v>5630.0686599520486</v>
      </c>
      <c r="O28" s="90">
        <f t="shared" si="7"/>
        <v>5764.9711037298257</v>
      </c>
      <c r="P28" s="90">
        <f t="shared" si="7"/>
        <v>5956.9928278891466</v>
      </c>
      <c r="Q28" s="90">
        <f t="shared" si="7"/>
        <v>6109.5243254704137</v>
      </c>
      <c r="R28" s="90">
        <f t="shared" si="7"/>
        <v>6266.9701442074665</v>
      </c>
      <c r="S28" s="90">
        <f t="shared" si="7"/>
        <v>6429.4760031417791</v>
      </c>
      <c r="T28" s="90">
        <f t="shared" si="7"/>
        <v>6597.191958674196</v>
      </c>
      <c r="U28" s="90">
        <f t="shared" si="7"/>
        <v>6761.0145285141689</v>
      </c>
      <c r="W28" s="55">
        <f t="shared" si="5"/>
        <v>107967.15110211898</v>
      </c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</row>
    <row r="29" spans="1:55" s="237" customFormat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</row>
    <row r="31" spans="1:55" s="21" customFormat="1">
      <c r="A31" s="1" t="s">
        <v>23</v>
      </c>
      <c r="B31" s="93">
        <f t="shared" ref="B31:U31" si="8">B19-B28</f>
        <v>27503.138028986279</v>
      </c>
      <c r="C31" s="94">
        <f t="shared" si="8"/>
        <v>27404.390748977145</v>
      </c>
      <c r="D31" s="93">
        <f t="shared" si="8"/>
        <v>27352.402455088297</v>
      </c>
      <c r="E31" s="93">
        <f t="shared" si="8"/>
        <v>32308.777029661476</v>
      </c>
      <c r="F31" s="93">
        <f t="shared" si="8"/>
        <v>34016.030352465867</v>
      </c>
      <c r="G31" s="93">
        <f t="shared" si="8"/>
        <v>34430.338236902091</v>
      </c>
      <c r="H31" s="93">
        <f t="shared" si="8"/>
        <v>34848.387285258606</v>
      </c>
      <c r="I31" s="93">
        <f t="shared" si="8"/>
        <v>35270.183823156935</v>
      </c>
      <c r="J31" s="93">
        <f t="shared" si="8"/>
        <v>35695.733007837538</v>
      </c>
      <c r="K31" s="93">
        <f t="shared" si="8"/>
        <v>36125.038775691879</v>
      </c>
      <c r="L31" s="93">
        <f t="shared" si="8"/>
        <v>36801.809764578014</v>
      </c>
      <c r="M31" s="93">
        <f t="shared" si="8"/>
        <v>37490.077984128453</v>
      </c>
      <c r="N31" s="93">
        <f t="shared" si="8"/>
        <v>38190.029846153768</v>
      </c>
      <c r="O31" s="93">
        <f t="shared" si="8"/>
        <v>38901.854355560565</v>
      </c>
      <c r="P31" s="93">
        <f t="shared" si="8"/>
        <v>39572.436726447631</v>
      </c>
      <c r="Q31" s="93">
        <f t="shared" si="8"/>
        <v>40095.634104659403</v>
      </c>
      <c r="R31" s="93">
        <f t="shared" si="8"/>
        <v>40624.333415379362</v>
      </c>
      <c r="S31" s="93">
        <f t="shared" si="8"/>
        <v>41158.560894782771</v>
      </c>
      <c r="T31" s="93">
        <f t="shared" si="8"/>
        <v>41698.341595430531</v>
      </c>
      <c r="U31" s="93">
        <f t="shared" si="8"/>
        <v>42253.073053398446</v>
      </c>
      <c r="W31" s="55">
        <f>SUM(B31:U31)</f>
        <v>721740.57148454501</v>
      </c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</row>
    <row r="33" spans="1:55">
      <c r="A33" s="4" t="s">
        <v>24</v>
      </c>
      <c r="B33" s="90">
        <f>ENA_Depreciation!C13</f>
        <v>5652.078514480475</v>
      </c>
      <c r="C33" s="90">
        <f>ENA_Depreciation!D13</f>
        <v>5652.078514480475</v>
      </c>
      <c r="D33" s="90">
        <f>ENA_Depreciation!E13</f>
        <v>5652.078514480475</v>
      </c>
      <c r="E33" s="90">
        <f>ENA_Depreciation!F13</f>
        <v>5652.078514480475</v>
      </c>
      <c r="F33" s="90">
        <f>ENA_Depreciation!G13</f>
        <v>5652.078514480475</v>
      </c>
      <c r="G33" s="90">
        <f>ENA_Depreciation!H13</f>
        <v>5652.078514480475</v>
      </c>
      <c r="H33" s="90">
        <f>ENA_Depreciation!I13</f>
        <v>5652.078514480475</v>
      </c>
      <c r="I33" s="90">
        <f>ENA_Depreciation!J13</f>
        <v>5652.078514480475</v>
      </c>
      <c r="J33" s="90">
        <f>ENA_Depreciation!K13</f>
        <v>5652.078514480475</v>
      </c>
      <c r="K33" s="90">
        <f>ENA_Depreciation!L13</f>
        <v>5652.078514480475</v>
      </c>
      <c r="L33" s="90">
        <f>ENA_Depreciation!M13</f>
        <v>5652.078514480475</v>
      </c>
      <c r="M33" s="90">
        <f>ENA_Depreciation!N13</f>
        <v>5652.078514480475</v>
      </c>
      <c r="N33" s="90">
        <f>ENA_Depreciation!O13</f>
        <v>5652.078514480475</v>
      </c>
      <c r="O33" s="90">
        <f>ENA_Depreciation!P13</f>
        <v>5652.078514480475</v>
      </c>
      <c r="P33" s="90">
        <f>ENA_Depreciation!Q13</f>
        <v>5652.078514480475</v>
      </c>
      <c r="Q33" s="90">
        <f>ENA_Depreciation!R13</f>
        <v>5652.078514480475</v>
      </c>
      <c r="R33" s="90">
        <f>ENA_Depreciation!S13</f>
        <v>5652.078514480475</v>
      </c>
      <c r="S33" s="90">
        <f>ENA_Depreciation!T13</f>
        <v>5652.078514480475</v>
      </c>
      <c r="T33" s="90">
        <f>ENA_Depreciation!U13</f>
        <v>5652.078514480475</v>
      </c>
      <c r="U33" s="90">
        <f>ENA_Depreciation!V13</f>
        <v>5652.078514480475</v>
      </c>
      <c r="W33" s="55">
        <f>SUM(B33:U33)</f>
        <v>113041.57028960944</v>
      </c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U33" s="271"/>
      <c r="AV33" s="271"/>
      <c r="AW33" s="271"/>
      <c r="AX33" s="271"/>
      <c r="AY33" s="271"/>
      <c r="AZ33" s="271"/>
      <c r="BA33" s="271"/>
      <c r="BB33" s="271"/>
      <c r="BC33" s="271"/>
    </row>
    <row r="34" spans="1:55" ht="7.5" customHeight="1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</row>
    <row r="35" spans="1:55" s="21" customFormat="1">
      <c r="A35" s="1" t="s">
        <v>25</v>
      </c>
      <c r="B35" s="93">
        <f t="shared" ref="B35:U35" si="9">B31-B33</f>
        <v>21851.059514505803</v>
      </c>
      <c r="C35" s="93">
        <f t="shared" si="9"/>
        <v>21752.312234496669</v>
      </c>
      <c r="D35" s="93">
        <f t="shared" si="9"/>
        <v>21700.323940607821</v>
      </c>
      <c r="E35" s="93">
        <f t="shared" si="9"/>
        <v>26656.698515181</v>
      </c>
      <c r="F35" s="93">
        <f t="shared" si="9"/>
        <v>28363.951837985391</v>
      </c>
      <c r="G35" s="93">
        <f t="shared" si="9"/>
        <v>28778.259722421615</v>
      </c>
      <c r="H35" s="93">
        <f t="shared" si="9"/>
        <v>29196.308770778131</v>
      </c>
      <c r="I35" s="93">
        <f t="shared" si="9"/>
        <v>29618.105308676459</v>
      </c>
      <c r="J35" s="93">
        <f t="shared" si="9"/>
        <v>30043.654493357062</v>
      </c>
      <c r="K35" s="93">
        <f t="shared" si="9"/>
        <v>30472.960261211403</v>
      </c>
      <c r="L35" s="93">
        <f t="shared" si="9"/>
        <v>31149.731250097539</v>
      </c>
      <c r="M35" s="93">
        <f t="shared" si="9"/>
        <v>31837.999469647977</v>
      </c>
      <c r="N35" s="93">
        <f t="shared" si="9"/>
        <v>32537.951331673292</v>
      </c>
      <c r="O35" s="93">
        <f t="shared" si="9"/>
        <v>33249.775841080089</v>
      </c>
      <c r="P35" s="93">
        <f t="shared" si="9"/>
        <v>33920.358211967156</v>
      </c>
      <c r="Q35" s="93">
        <f t="shared" si="9"/>
        <v>34443.555590178927</v>
      </c>
      <c r="R35" s="93">
        <f t="shared" si="9"/>
        <v>34972.254900898886</v>
      </c>
      <c r="S35" s="93">
        <f t="shared" si="9"/>
        <v>35506.482380302295</v>
      </c>
      <c r="T35" s="93">
        <f t="shared" si="9"/>
        <v>36046.263080950055</v>
      </c>
      <c r="U35" s="93">
        <f t="shared" si="9"/>
        <v>36600.99453891797</v>
      </c>
      <c r="W35" s="55">
        <f>SUM(B35:U35)</f>
        <v>608699.00119493564</v>
      </c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U35" s="271"/>
      <c r="AV35" s="271"/>
      <c r="AW35" s="271"/>
      <c r="AX35" s="271"/>
      <c r="AY35" s="271"/>
      <c r="AZ35" s="271"/>
      <c r="BA35" s="271"/>
      <c r="BB35" s="271"/>
      <c r="BC35" s="271"/>
    </row>
    <row r="36" spans="1:55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  <c r="AT36" s="271"/>
      <c r="AU36" s="271"/>
      <c r="AV36" s="271"/>
      <c r="AW36" s="271"/>
      <c r="AX36" s="271"/>
      <c r="AY36" s="271"/>
      <c r="AZ36" s="271"/>
      <c r="BA36" s="271"/>
      <c r="BB36" s="271"/>
      <c r="BC36" s="271"/>
    </row>
    <row r="37" spans="1:55">
      <c r="A37" s="7" t="s">
        <v>26</v>
      </c>
      <c r="B37" s="90">
        <f>ENA_IS!B38*ENA_Allocation!$E$7</f>
        <v>12382.562267653238</v>
      </c>
      <c r="C37" s="90">
        <f>ENA_IS!C38*ENA_Allocation!$E$7</f>
        <v>12196.766322065658</v>
      </c>
      <c r="D37" s="90">
        <f>ENA_IS!D38*ENA_Allocation!$E$7</f>
        <v>11934.694857798173</v>
      </c>
      <c r="E37" s="90">
        <f>ENA_IS!E38*ENA_Allocation!$E$7</f>
        <v>11728.969632493878</v>
      </c>
      <c r="F37" s="90">
        <f>ENA_IS!F38*ENA_Allocation!$E$7</f>
        <v>11364.997871469264</v>
      </c>
      <c r="G37" s="90">
        <f>ENA_IS!G38*ENA_Allocation!$E$7</f>
        <v>10933.597157420234</v>
      </c>
      <c r="H37" s="90">
        <f>ENA_IS!H38*ENA_Allocation!$E$7</f>
        <v>10448.760838706417</v>
      </c>
      <c r="I37" s="90">
        <f>ENA_IS!I38*ENA_Allocation!$E$7</f>
        <v>9941.5330320109479</v>
      </c>
      <c r="J37" s="90">
        <f>ENA_IS!J38*ENA_Allocation!$E$7</f>
        <v>9311.4769588689869</v>
      </c>
      <c r="K37" s="90">
        <f>ENA_IS!K38*ENA_Allocation!$E$7</f>
        <v>8613.3278937557552</v>
      </c>
      <c r="L37" s="90">
        <f>ENA_IS!L38*ENA_Allocation!$E$7</f>
        <v>7878.715574154663</v>
      </c>
      <c r="M37" s="90">
        <f>ENA_IS!M38*ENA_Allocation!$E$7</f>
        <v>7077.7437474979342</v>
      </c>
      <c r="N37" s="90">
        <f>ENA_IS!N38*ENA_Allocation!$E$7</f>
        <v>6236.9650941338523</v>
      </c>
      <c r="O37" s="90">
        <f>ENA_IS!O38*ENA_Allocation!$E$7</f>
        <v>5416.0898541234474</v>
      </c>
      <c r="P37" s="90">
        <f>ENA_IS!P38*ENA_Allocation!$E$7</f>
        <v>4584.8693371156514</v>
      </c>
      <c r="Q37" s="90">
        <f>ENA_IS!Q38*ENA_Allocation!$E$7</f>
        <v>3723.4001297567856</v>
      </c>
      <c r="R37" s="90">
        <f>ENA_IS!R38*ENA_Allocation!$E$7</f>
        <v>2809.6422940958882</v>
      </c>
      <c r="S37" s="90">
        <f>ENA_IS!S38*ENA_Allocation!$E$7</f>
        <v>1948.0606380740085</v>
      </c>
      <c r="T37" s="90">
        <f>ENA_IS!T38*ENA_Allocation!$E$7</f>
        <v>1209.2729220646436</v>
      </c>
      <c r="U37" s="90">
        <f>ENA_IS!U38*ENA_Allocation!$E$7</f>
        <v>472.28438466352077</v>
      </c>
      <c r="W37" s="55">
        <f>SUM(B37:U37)</f>
        <v>150213.7308079229</v>
      </c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</row>
    <row r="38" spans="1:55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1"/>
      <c r="AV38" s="271"/>
      <c r="AW38" s="271"/>
      <c r="AX38" s="271"/>
      <c r="AY38" s="271"/>
      <c r="AZ38" s="271"/>
      <c r="BA38" s="271"/>
      <c r="BB38" s="271"/>
      <c r="BC38" s="271"/>
    </row>
    <row r="39" spans="1:55" s="21" customFormat="1">
      <c r="A39" s="1" t="s">
        <v>27</v>
      </c>
      <c r="B39" s="93">
        <f t="shared" ref="B39:U39" si="10">B35-B37</f>
        <v>9468.4972468525648</v>
      </c>
      <c r="C39" s="93">
        <f t="shared" si="10"/>
        <v>9555.5459124310109</v>
      </c>
      <c r="D39" s="93">
        <f t="shared" si="10"/>
        <v>9765.629082809648</v>
      </c>
      <c r="E39" s="93">
        <f t="shared" si="10"/>
        <v>14927.728882687123</v>
      </c>
      <c r="F39" s="93">
        <f t="shared" si="10"/>
        <v>16998.953966516128</v>
      </c>
      <c r="G39" s="93">
        <f t="shared" si="10"/>
        <v>17844.662565001381</v>
      </c>
      <c r="H39" s="93">
        <f t="shared" si="10"/>
        <v>18747.547932071713</v>
      </c>
      <c r="I39" s="93">
        <f t="shared" si="10"/>
        <v>19676.572276665509</v>
      </c>
      <c r="J39" s="93">
        <f t="shared" si="10"/>
        <v>20732.177534488073</v>
      </c>
      <c r="K39" s="93">
        <f t="shared" si="10"/>
        <v>21859.632367455648</v>
      </c>
      <c r="L39" s="93">
        <f t="shared" si="10"/>
        <v>23271.015675942876</v>
      </c>
      <c r="M39" s="93">
        <f t="shared" si="10"/>
        <v>24760.255722150043</v>
      </c>
      <c r="N39" s="93">
        <f t="shared" si="10"/>
        <v>26300.98623753944</v>
      </c>
      <c r="O39" s="93">
        <f t="shared" si="10"/>
        <v>27833.68598695664</v>
      </c>
      <c r="P39" s="93">
        <f t="shared" si="10"/>
        <v>29335.488874851504</v>
      </c>
      <c r="Q39" s="93">
        <f t="shared" si="10"/>
        <v>30720.155460422142</v>
      </c>
      <c r="R39" s="93">
        <f t="shared" si="10"/>
        <v>32162.612606802999</v>
      </c>
      <c r="S39" s="93">
        <f t="shared" si="10"/>
        <v>33558.421742228289</v>
      </c>
      <c r="T39" s="93">
        <f t="shared" si="10"/>
        <v>34836.990158885412</v>
      </c>
      <c r="U39" s="93">
        <f t="shared" si="10"/>
        <v>36128.710154254448</v>
      </c>
      <c r="W39" s="55">
        <f>SUM(B39:U39)</f>
        <v>458485.27038701263</v>
      </c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</row>
    <row r="40" spans="1:55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  <c r="AT40" s="271"/>
      <c r="AU40" s="271"/>
      <c r="AV40" s="271"/>
      <c r="AW40" s="271"/>
      <c r="AX40" s="271"/>
      <c r="AY40" s="271"/>
      <c r="AZ40" s="271"/>
      <c r="BA40" s="271"/>
      <c r="BB40" s="271"/>
      <c r="BC40" s="271"/>
    </row>
    <row r="41" spans="1:55">
      <c r="A41" s="4" t="s">
        <v>28</v>
      </c>
      <c r="B41" s="90">
        <f>B39*-ENA_Assumptions!$C$39</f>
        <v>-568.10983481115386</v>
      </c>
      <c r="C41" s="90">
        <f>C39*-ENA_Assumptions!$C$39</f>
        <v>-573.3327547458606</v>
      </c>
      <c r="D41" s="90">
        <f>D39*-ENA_Assumptions!$C$39</f>
        <v>-585.93774496857884</v>
      </c>
      <c r="E41" s="90">
        <f>E39*-ENA_Assumptions!$C$39</f>
        <v>-895.66373296122731</v>
      </c>
      <c r="F41" s="90">
        <f>F39*-ENA_Assumptions!$C$39</f>
        <v>-1019.9372379909677</v>
      </c>
      <c r="G41" s="90">
        <f>G39*-ENA_Assumptions!$C$39</f>
        <v>-1070.6797539000829</v>
      </c>
      <c r="H41" s="90">
        <f>H39*-ENA_Assumptions!$C$39</f>
        <v>-1124.8528759243027</v>
      </c>
      <c r="I41" s="90">
        <f>I39*-ENA_Assumptions!$C$39</f>
        <v>-1180.5943365999306</v>
      </c>
      <c r="J41" s="90">
        <f>J39*-ENA_Assumptions!$C$39</f>
        <v>-1243.9306520692844</v>
      </c>
      <c r="K41" s="90">
        <f>K39*-ENA_Assumptions!$C$39</f>
        <v>-1311.5779420473389</v>
      </c>
      <c r="L41" s="90">
        <f>L39*-ENA_Assumptions!$C$39</f>
        <v>-1396.2609405565725</v>
      </c>
      <c r="M41" s="90">
        <f>M39*-ENA_Assumptions!$C$39</f>
        <v>-1485.6153433290026</v>
      </c>
      <c r="N41" s="90">
        <f>N39*-ENA_Assumptions!$C$39</f>
        <v>-1578.0591742523663</v>
      </c>
      <c r="O41" s="90">
        <f>O39*-ENA_Assumptions!$C$39</f>
        <v>-1670.0211592173982</v>
      </c>
      <c r="P41" s="90">
        <f>P39*-ENA_Assumptions!$C$39</f>
        <v>-1760.1293324910903</v>
      </c>
      <c r="Q41" s="90">
        <f>Q39*-ENA_Assumptions!$C$39</f>
        <v>-1843.2093276253283</v>
      </c>
      <c r="R41" s="90">
        <f>R39*-ENA_Assumptions!$C$39</f>
        <v>-1929.7567564081799</v>
      </c>
      <c r="S41" s="90">
        <f>S39*-ENA_Assumptions!$C$39</f>
        <v>-2013.5053045336972</v>
      </c>
      <c r="T41" s="90">
        <f>T39*-ENA_Assumptions!$C$39</f>
        <v>-2090.2194095331247</v>
      </c>
      <c r="U41" s="90">
        <f>U39*-ENA_Assumptions!$C$39</f>
        <v>-2167.7226092552669</v>
      </c>
      <c r="W41" s="55">
        <f>SUM(B41:U41)</f>
        <v>-27509.116223220757</v>
      </c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  <c r="AT41" s="271"/>
      <c r="AU41" s="271"/>
      <c r="AV41" s="271"/>
      <c r="AW41" s="271"/>
      <c r="AX41" s="271"/>
      <c r="AY41" s="271"/>
      <c r="AZ41" s="271"/>
      <c r="BA41" s="271"/>
      <c r="BB41" s="271"/>
      <c r="BC41" s="271"/>
    </row>
    <row r="42" spans="1:55">
      <c r="A42" s="4" t="s">
        <v>29</v>
      </c>
      <c r="B42" s="89">
        <f>(B39+B41)*-ENA_Assumptions!$C$38</f>
        <v>-3115.1355942144937</v>
      </c>
      <c r="C42" s="89">
        <f>(C39+C41)*-ENA_Assumptions!$C$38</f>
        <v>-3143.7746051898021</v>
      </c>
      <c r="D42" s="89">
        <f>(D39+D41)*-ENA_Assumptions!$C$38</f>
        <v>-3212.8919682443743</v>
      </c>
      <c r="E42" s="89">
        <f>(E39+E41)*-ENA_Assumptions!$C$38</f>
        <v>-4911.2228024040633</v>
      </c>
      <c r="F42" s="89">
        <f>(F39+F41)*-ENA_Assumptions!$C$38</f>
        <v>-5592.6558549838064</v>
      </c>
      <c r="G42" s="89">
        <f>(G39+G41)*-ENA_Assumptions!$C$38</f>
        <v>-5870.893983885454</v>
      </c>
      <c r="H42" s="89">
        <f>(H39+H41)*-ENA_Assumptions!$C$38</f>
        <v>-6167.9432696515933</v>
      </c>
      <c r="I42" s="89">
        <f>(I39+I41)*-ENA_Assumptions!$C$38</f>
        <v>-6473.5922790229524</v>
      </c>
      <c r="J42" s="89">
        <f>(J39+J41)*-ENA_Assumptions!$C$38</f>
        <v>-6820.8864088465762</v>
      </c>
      <c r="K42" s="89">
        <f>(K39+K41)*-ENA_Assumptions!$C$38</f>
        <v>-7191.8190488929085</v>
      </c>
      <c r="L42" s="89">
        <f>(L39+L41)*-ENA_Assumptions!$C$38</f>
        <v>-7656.1641573852057</v>
      </c>
      <c r="M42" s="89">
        <f>(M39+M41)*-ENA_Assumptions!$C$38</f>
        <v>-8146.1241325873634</v>
      </c>
      <c r="N42" s="89">
        <f>(N39+N41)*-ENA_Assumptions!$C$38</f>
        <v>-8653.024472150475</v>
      </c>
      <c r="O42" s="89">
        <f>(O39+O41)*-ENA_Assumptions!$C$38</f>
        <v>-9157.2826897087343</v>
      </c>
      <c r="P42" s="89">
        <f>(P39+P41)*-ENA_Assumptions!$C$38</f>
        <v>-9651.3758398261434</v>
      </c>
      <c r="Q42" s="89">
        <f>(Q39+Q41)*-ENA_Assumptions!$C$38</f>
        <v>-10106.931146478884</v>
      </c>
      <c r="R42" s="89">
        <f>(R39+R41)*-ENA_Assumptions!$C$38</f>
        <v>-10581.499547638186</v>
      </c>
      <c r="S42" s="89">
        <f>(S39+S41)*-ENA_Assumptions!$C$38</f>
        <v>-11040.720753193107</v>
      </c>
      <c r="T42" s="89">
        <f>(T39+T41)*-ENA_Assumptions!$C$38</f>
        <v>-11461.3697622733</v>
      </c>
      <c r="U42" s="89">
        <f>(U39+U41)*-ENA_Assumptions!$C$38</f>
        <v>-11886.345640749712</v>
      </c>
      <c r="W42" s="55">
        <f>SUM(B42:U42)</f>
        <v>-150841.6539573271</v>
      </c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  <c r="AT42" s="271"/>
      <c r="AU42" s="271"/>
      <c r="AV42" s="271"/>
      <c r="AW42" s="271"/>
      <c r="AX42" s="271"/>
      <c r="AY42" s="271"/>
      <c r="AZ42" s="271"/>
      <c r="BA42" s="271"/>
      <c r="BB42" s="271"/>
      <c r="BC42" s="271"/>
    </row>
    <row r="43" spans="1:55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</row>
    <row r="44" spans="1:55" s="240" customFormat="1" ht="15.75">
      <c r="A44" s="18" t="s">
        <v>508</v>
      </c>
      <c r="B44" s="239">
        <f t="shared" ref="B44:U44" si="11">SUM(B39:B42)</f>
        <v>5785.2518178269174</v>
      </c>
      <c r="C44" s="239">
        <f t="shared" si="11"/>
        <v>5838.4385524953477</v>
      </c>
      <c r="D44" s="239">
        <f t="shared" si="11"/>
        <v>5966.7993695966961</v>
      </c>
      <c r="E44" s="239">
        <f t="shared" si="11"/>
        <v>9120.8423473218318</v>
      </c>
      <c r="F44" s="239">
        <f t="shared" si="11"/>
        <v>10386.360873541355</v>
      </c>
      <c r="G44" s="239">
        <f t="shared" si="11"/>
        <v>10903.088827215845</v>
      </c>
      <c r="H44" s="239">
        <f t="shared" si="11"/>
        <v>11454.751786495817</v>
      </c>
      <c r="I44" s="239">
        <f t="shared" si="11"/>
        <v>12022.385661042626</v>
      </c>
      <c r="J44" s="239">
        <f t="shared" si="11"/>
        <v>12667.360473572213</v>
      </c>
      <c r="K44" s="239">
        <f t="shared" si="11"/>
        <v>13356.235376515402</v>
      </c>
      <c r="L44" s="239">
        <f t="shared" si="11"/>
        <v>14218.590578001098</v>
      </c>
      <c r="M44" s="239">
        <f t="shared" si="11"/>
        <v>15128.516246233678</v>
      </c>
      <c r="N44" s="239">
        <f t="shared" si="11"/>
        <v>16069.902591136601</v>
      </c>
      <c r="O44" s="239">
        <f t="shared" si="11"/>
        <v>17006.382138030509</v>
      </c>
      <c r="P44" s="239">
        <f t="shared" si="11"/>
        <v>17923.983702534271</v>
      </c>
      <c r="Q44" s="239">
        <f t="shared" si="11"/>
        <v>18770.014986317929</v>
      </c>
      <c r="R44" s="239">
        <f t="shared" si="11"/>
        <v>19651.356302756634</v>
      </c>
      <c r="S44" s="239">
        <f t="shared" si="11"/>
        <v>20504.195684501487</v>
      </c>
      <c r="T44" s="239">
        <f t="shared" si="11"/>
        <v>21285.400987078989</v>
      </c>
      <c r="U44" s="239">
        <f t="shared" si="11"/>
        <v>22074.641904249467</v>
      </c>
      <c r="W44" s="55">
        <f>SUM(B44:U44)</f>
        <v>280134.50020646479</v>
      </c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</row>
    <row r="45" spans="1:55" s="237" customFormat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</row>
    <row r="46" spans="1:55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</row>
    <row r="47" spans="1:55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</row>
    <row r="48" spans="1:55" ht="18.75">
      <c r="A48" s="19" t="s">
        <v>509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1"/>
    </row>
    <row r="49" spans="1:55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</row>
    <row r="50" spans="1:55" ht="12.75" customHeight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</row>
    <row r="51" spans="1:55" ht="12.75" customHeight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</row>
    <row r="52" spans="1:55" ht="13.5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</row>
    <row r="53" spans="1:55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1"/>
    </row>
    <row r="54" spans="1:55">
      <c r="A54" s="15" t="s">
        <v>510</v>
      </c>
      <c r="B54" s="29">
        <f>B31-B12</f>
        <v>19386.180074116739</v>
      </c>
      <c r="C54" s="29">
        <f>C31-C12</f>
        <v>19287.432794107604</v>
      </c>
      <c r="D54" s="29">
        <f>D31-D12</f>
        <v>19235.444500218757</v>
      </c>
      <c r="E54" s="29">
        <f t="shared" ref="E54:U54" si="13">E31</f>
        <v>32308.777029661476</v>
      </c>
      <c r="F54" s="29">
        <f t="shared" si="13"/>
        <v>34016.030352465867</v>
      </c>
      <c r="G54" s="29">
        <f t="shared" si="13"/>
        <v>34430.338236902091</v>
      </c>
      <c r="H54" s="29">
        <f t="shared" si="13"/>
        <v>34848.387285258606</v>
      </c>
      <c r="I54" s="29">
        <f t="shared" si="13"/>
        <v>35270.183823156935</v>
      </c>
      <c r="J54" s="29">
        <f t="shared" si="13"/>
        <v>35695.733007837538</v>
      </c>
      <c r="K54" s="29">
        <f t="shared" si="13"/>
        <v>36125.038775691879</v>
      </c>
      <c r="L54" s="29">
        <f t="shared" si="13"/>
        <v>36801.809764578014</v>
      </c>
      <c r="M54" s="29">
        <f t="shared" si="13"/>
        <v>37490.077984128453</v>
      </c>
      <c r="N54" s="29">
        <f t="shared" si="13"/>
        <v>38190.029846153768</v>
      </c>
      <c r="O54" s="29">
        <f t="shared" si="13"/>
        <v>38901.854355560565</v>
      </c>
      <c r="P54" s="29">
        <f t="shared" si="13"/>
        <v>39572.436726447631</v>
      </c>
      <c r="Q54" s="29">
        <f t="shared" si="13"/>
        <v>40095.634104659403</v>
      </c>
      <c r="R54" s="29">
        <f t="shared" si="13"/>
        <v>40624.333415379362</v>
      </c>
      <c r="S54" s="29">
        <f t="shared" si="13"/>
        <v>41158.560894782771</v>
      </c>
      <c r="T54" s="29">
        <f t="shared" si="13"/>
        <v>41698.341595430531</v>
      </c>
      <c r="U54" s="29">
        <f t="shared" si="13"/>
        <v>42253.073053398446</v>
      </c>
      <c r="W54" s="954">
        <f>SUM(B54:U54)</f>
        <v>697389.69761993643</v>
      </c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</row>
    <row r="55" spans="1:55" ht="12" customHeight="1">
      <c r="A55" s="15" t="s">
        <v>481</v>
      </c>
      <c r="B55" s="29">
        <f>B26</f>
        <v>325</v>
      </c>
      <c r="C55" s="29">
        <f t="shared" ref="C55:T55" si="14">C26</f>
        <v>375</v>
      </c>
      <c r="D55" s="29">
        <f t="shared" si="14"/>
        <v>375</v>
      </c>
      <c r="E55" s="29">
        <f t="shared" si="14"/>
        <v>375</v>
      </c>
      <c r="F55" s="29">
        <f t="shared" si="14"/>
        <v>375</v>
      </c>
      <c r="G55" s="29">
        <f t="shared" si="14"/>
        <v>375</v>
      </c>
      <c r="H55" s="29">
        <f t="shared" si="14"/>
        <v>375</v>
      </c>
      <c r="I55" s="29">
        <f t="shared" si="14"/>
        <v>375</v>
      </c>
      <c r="J55" s="29">
        <f t="shared" si="14"/>
        <v>375</v>
      </c>
      <c r="K55" s="29">
        <f t="shared" si="14"/>
        <v>375</v>
      </c>
      <c r="L55" s="29">
        <f t="shared" si="14"/>
        <v>375</v>
      </c>
      <c r="M55" s="29">
        <f t="shared" si="14"/>
        <v>375</v>
      </c>
      <c r="N55" s="29">
        <f t="shared" si="14"/>
        <v>375</v>
      </c>
      <c r="O55" s="29">
        <f t="shared" si="14"/>
        <v>375</v>
      </c>
      <c r="P55" s="29">
        <f t="shared" si="14"/>
        <v>427.64830117962356</v>
      </c>
      <c r="Q55" s="29">
        <f t="shared" si="14"/>
        <v>436.20126720321605</v>
      </c>
      <c r="R55" s="29">
        <f t="shared" si="14"/>
        <v>444.92529254728038</v>
      </c>
      <c r="S55" s="29">
        <f t="shared" si="14"/>
        <v>453.82379839822596</v>
      </c>
      <c r="T55" s="29">
        <f t="shared" si="14"/>
        <v>462.9002743661905</v>
      </c>
      <c r="U55" s="29">
        <f>T55</f>
        <v>462.9002743661905</v>
      </c>
      <c r="W55" s="954">
        <f>SUM(B55:U55)</f>
        <v>7888.3992080607268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-250</v>
      </c>
      <c r="C56" s="29">
        <f>-B55</f>
        <v>-325</v>
      </c>
      <c r="D56" s="29">
        <f t="shared" ref="D56:U56" si="15">-C55</f>
        <v>-375</v>
      </c>
      <c r="E56" s="29">
        <f t="shared" si="15"/>
        <v>-375</v>
      </c>
      <c r="F56" s="29">
        <f t="shared" si="15"/>
        <v>-375</v>
      </c>
      <c r="G56" s="29">
        <f t="shared" si="15"/>
        <v>-375</v>
      </c>
      <c r="H56" s="29">
        <f t="shared" si="15"/>
        <v>-375</v>
      </c>
      <c r="I56" s="29">
        <f t="shared" si="15"/>
        <v>-375</v>
      </c>
      <c r="J56" s="29">
        <f t="shared" si="15"/>
        <v>-375</v>
      </c>
      <c r="K56" s="29">
        <f t="shared" si="15"/>
        <v>-375</v>
      </c>
      <c r="L56" s="29">
        <f t="shared" si="15"/>
        <v>-375</v>
      </c>
      <c r="M56" s="29">
        <f t="shared" si="15"/>
        <v>-375</v>
      </c>
      <c r="N56" s="29">
        <f t="shared" si="15"/>
        <v>-375</v>
      </c>
      <c r="O56" s="29">
        <f t="shared" si="15"/>
        <v>-375</v>
      </c>
      <c r="P56" s="29">
        <f t="shared" si="15"/>
        <v>-375</v>
      </c>
      <c r="Q56" s="29">
        <f t="shared" si="15"/>
        <v>-427.64830117962356</v>
      </c>
      <c r="R56" s="29">
        <f t="shared" si="15"/>
        <v>-436.20126720321605</v>
      </c>
      <c r="S56" s="29">
        <f t="shared" si="15"/>
        <v>-444.92529254728038</v>
      </c>
      <c r="T56" s="29">
        <f t="shared" si="15"/>
        <v>-453.82379839822596</v>
      </c>
      <c r="U56" s="29">
        <f t="shared" si="15"/>
        <v>-462.9002743661905</v>
      </c>
      <c r="W56" s="954">
        <f>SUM(B56:U56)</f>
        <v>-7675.4989336945364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>
      <c r="A57" s="15" t="s">
        <v>33</v>
      </c>
      <c r="B57" s="1050">
        <f>-ENA_Debt!B77*ENA_Allocation!$E$7</f>
        <v>-14775.848168319584</v>
      </c>
      <c r="C57" s="1050">
        <f>-ENA_Debt!C77*ENA_Allocation!$E$7</f>
        <v>-14763.758457457789</v>
      </c>
      <c r="D57" s="1050">
        <f>-ENA_Debt!D77*ENA_Allocation!$E$7</f>
        <v>-14694.693920663392</v>
      </c>
      <c r="E57" s="1050">
        <f>-ENA_Debt!E77*ENA_Allocation!$E$7</f>
        <v>-14485.108556809637</v>
      </c>
      <c r="F57" s="1050">
        <f>-ENA_Debt!F77*ENA_Allocation!$E$7</f>
        <v>-15158.742037880367</v>
      </c>
      <c r="G57" s="1050">
        <f>-ENA_Debt!G77*ENA_Allocation!$E$7</f>
        <v>-15246.14394487901</v>
      </c>
      <c r="H57" s="1050">
        <f>-ENA_Debt!H77*ENA_Allocation!$E$7</f>
        <v>-15150.409591950945</v>
      </c>
      <c r="I57" s="1050">
        <f>-ENA_Debt!I77*ENA_Allocation!$E$7</f>
        <v>-15291.685061565064</v>
      </c>
      <c r="J57" s="1050">
        <f>-ENA_Debt!J77*ENA_Allocation!$E$7</f>
        <v>-15180.431609470777</v>
      </c>
      <c r="K57" s="1050">
        <f>-ENA_Debt!K77*ENA_Allocation!$E$7</f>
        <v>-15355.445884245812</v>
      </c>
      <c r="L57" s="1050">
        <f>-ENA_Debt!L77*ENA_Allocation!$E$7</f>
        <v>-15212.978818132169</v>
      </c>
      <c r="M57" s="1050">
        <f>-ENA_Debt!M77*ENA_Allocation!$E$7</f>
        <v>-14412.006991475442</v>
      </c>
      <c r="N57" s="1050">
        <f>-ENA_Debt!N77*ENA_Allocation!$E$7</f>
        <v>-13571.228338111359</v>
      </c>
      <c r="O57" s="1050">
        <f>-ENA_Debt!O77*ENA_Allocation!$E$7</f>
        <v>-12750.353098100954</v>
      </c>
      <c r="P57" s="1050">
        <f>-ENA_Debt!P77*ENA_Allocation!$E$7</f>
        <v>-12285.845743292033</v>
      </c>
      <c r="Q57" s="1050">
        <f>-ENA_Debt!Q77*ENA_Allocation!$E$7</f>
        <v>-11791.089698132044</v>
      </c>
      <c r="R57" s="1050">
        <f>-ENA_Debt!R77*ENA_Allocation!$E$7</f>
        <v>-10877.331862471148</v>
      </c>
      <c r="S57" s="1050">
        <f>-ENA_Debt!S77*ENA_Allocation!$E$7</f>
        <v>-8548.897557653765</v>
      </c>
      <c r="T57" s="1050">
        <f>-ENA_Debt!T77*ENA_Allocation!$E$7</f>
        <v>-7810.1098416444001</v>
      </c>
      <c r="U57" s="1050">
        <f>-ENA_Debt!U77*ENA_Allocation!$E$7</f>
        <v>-6339.6949798455335</v>
      </c>
      <c r="W57" s="954">
        <f>SUM(B57:U57)</f>
        <v>-263701.8041621013</v>
      </c>
    </row>
    <row r="58" spans="1:55">
      <c r="A58" s="15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W58" s="1018"/>
    </row>
    <row r="59" spans="1:55" s="21" customFormat="1">
      <c r="A59" s="14" t="s">
        <v>34</v>
      </c>
      <c r="B59" s="95">
        <f t="shared" ref="B59:U59" si="16">SUM(B54:B57)</f>
        <v>4685.3319057971548</v>
      </c>
      <c r="C59" s="95">
        <f t="shared" si="16"/>
        <v>4573.6743366498158</v>
      </c>
      <c r="D59" s="95">
        <f t="shared" si="16"/>
        <v>4540.7505795553643</v>
      </c>
      <c r="E59" s="95">
        <f t="shared" si="16"/>
        <v>17823.668472851838</v>
      </c>
      <c r="F59" s="95">
        <f t="shared" si="16"/>
        <v>18857.288314585501</v>
      </c>
      <c r="G59" s="95">
        <f t="shared" si="16"/>
        <v>19184.194292023079</v>
      </c>
      <c r="H59" s="95">
        <f t="shared" si="16"/>
        <v>19697.977693307661</v>
      </c>
      <c r="I59" s="95">
        <f t="shared" si="16"/>
        <v>19978.498761591873</v>
      </c>
      <c r="J59" s="95">
        <f t="shared" si="16"/>
        <v>20515.301398366762</v>
      </c>
      <c r="K59" s="95">
        <f t="shared" si="16"/>
        <v>20769.592891446067</v>
      </c>
      <c r="L59" s="95">
        <f t="shared" si="16"/>
        <v>21588.830946445843</v>
      </c>
      <c r="M59" s="95">
        <f t="shared" si="16"/>
        <v>23078.070992653011</v>
      </c>
      <c r="N59" s="95">
        <f t="shared" si="16"/>
        <v>24618.801508042408</v>
      </c>
      <c r="O59" s="95">
        <f t="shared" si="16"/>
        <v>26151.501257459611</v>
      </c>
      <c r="P59" s="95">
        <f t="shared" si="16"/>
        <v>27339.239284335221</v>
      </c>
      <c r="Q59" s="95">
        <f t="shared" si="16"/>
        <v>28313.09737255095</v>
      </c>
      <c r="R59" s="95">
        <f t="shared" si="16"/>
        <v>29755.725578252284</v>
      </c>
      <c r="S59" s="95">
        <f t="shared" si="16"/>
        <v>32618.561842979951</v>
      </c>
      <c r="T59" s="95">
        <f t="shared" si="16"/>
        <v>33897.308229754097</v>
      </c>
      <c r="U59" s="95">
        <f t="shared" si="16"/>
        <v>35913.378073552914</v>
      </c>
      <c r="W59" s="954">
        <f>SUM(B59:U59)</f>
        <v>433900.79373220139</v>
      </c>
    </row>
    <row r="60" spans="1:55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>
      <c r="A61" s="15" t="s">
        <v>511</v>
      </c>
      <c r="B61" s="92">
        <f>-B103</f>
        <v>0</v>
      </c>
      <c r="C61" s="92">
        <f t="shared" ref="C61:U61" si="17">-C103</f>
        <v>0</v>
      </c>
      <c r="D61" s="92">
        <f t="shared" si="17"/>
        <v>0</v>
      </c>
      <c r="E61" s="92">
        <f t="shared" si="17"/>
        <v>0</v>
      </c>
      <c r="F61" s="92">
        <f t="shared" si="17"/>
        <v>-168.67061576399954</v>
      </c>
      <c r="G61" s="92">
        <f t="shared" si="17"/>
        <v>-796.57904837055116</v>
      </c>
      <c r="H61" s="92">
        <f t="shared" si="17"/>
        <v>-883.23441556514979</v>
      </c>
      <c r="I61" s="92">
        <f t="shared" si="17"/>
        <v>-937.99156578106908</v>
      </c>
      <c r="J61" s="92">
        <f t="shared" si="17"/>
        <v>-1002.3121917101313</v>
      </c>
      <c r="K61" s="92">
        <f t="shared" si="17"/>
        <v>-1068.9751712284774</v>
      </c>
      <c r="L61" s="92">
        <f t="shared" si="17"/>
        <v>-1154.6424801974197</v>
      </c>
      <c r="M61" s="92">
        <f t="shared" si="17"/>
        <v>-1243.0125725101411</v>
      </c>
      <c r="N61" s="92">
        <f t="shared" si="17"/>
        <v>-1336.4407138932136</v>
      </c>
      <c r="O61" s="92">
        <f t="shared" si="17"/>
        <v>-1427.4183883985368</v>
      </c>
      <c r="P61" s="92">
        <f t="shared" si="17"/>
        <v>-1518.5108721319368</v>
      </c>
      <c r="Q61" s="92">
        <f t="shared" si="17"/>
        <v>-1891.962452880166</v>
      </c>
      <c r="R61" s="92">
        <f t="shared" si="17"/>
        <v>-2268.8814672770086</v>
      </c>
      <c r="S61" s="92">
        <f t="shared" si="17"/>
        <v>-2352.6300154025257</v>
      </c>
      <c r="T61" s="92">
        <f t="shared" si="17"/>
        <v>-2429.3441204019532</v>
      </c>
      <c r="U61" s="92">
        <f t="shared" si="17"/>
        <v>-2506.8473201240954</v>
      </c>
      <c r="W61" s="954">
        <f>SUM(B61:U61)</f>
        <v>-22987.453411636379</v>
      </c>
    </row>
    <row r="62" spans="1:55">
      <c r="A62" s="15" t="s">
        <v>512</v>
      </c>
      <c r="B62" s="91">
        <f>-ENA_Allocation!$E$7*ENA_Tax!B24</f>
        <v>0</v>
      </c>
      <c r="C62" s="91">
        <f>-ENA_Allocation!$E$7*ENA_Tax!C24</f>
        <v>0</v>
      </c>
      <c r="D62" s="91">
        <f>-ENA_Allocation!$E$7*ENA_Tax!D24</f>
        <v>0</v>
      </c>
      <c r="E62" s="91">
        <f>-ENA_Allocation!$E$7*ENA_Tax!E24</f>
        <v>0</v>
      </c>
      <c r="F62" s="91">
        <f>-ENA_Allocation!$E$7*ENA_Tax!F24</f>
        <v>0</v>
      </c>
      <c r="G62" s="91">
        <f>-ENA_Allocation!$E$7*ENA_Tax!G24</f>
        <v>0</v>
      </c>
      <c r="H62" s="91">
        <f>-ENA_Allocation!$E$7*ENA_Tax!H24</f>
        <v>-3310.1953695592401</v>
      </c>
      <c r="I62" s="91">
        <f>-ENA_Allocation!$E$7*ENA_Tax!I24</f>
        <v>-4480.8612598791624</v>
      </c>
      <c r="J62" s="91">
        <f>-ENA_Allocation!$E$7*ENA_Tax!J24</f>
        <v>-4827.1043763725729</v>
      </c>
      <c r="K62" s="91">
        <f>-ENA_Allocation!$E$7*ENA_Tax!K24</f>
        <v>-5185.8766273426963</v>
      </c>
      <c r="L62" s="91">
        <f>-ENA_Allocation!$E$7*ENA_Tax!L24</f>
        <v>-5657.9107584276189</v>
      </c>
      <c r="M62" s="91">
        <f>-ENA_Allocation!$E$7*ENA_Tax!M24</f>
        <v>-6151.5921361135124</v>
      </c>
      <c r="N62" s="91">
        <f>-ENA_Allocation!$E$7*ENA_Tax!N24</f>
        <v>-6649.7488131064301</v>
      </c>
      <c r="O62" s="91">
        <f>-ENA_Allocation!$E$7*ENA_Tax!O24</f>
        <v>-7136.3253054187007</v>
      </c>
      <c r="P62" s="91">
        <f>-ENA_Allocation!$E$7*ENA_Tax!P24</f>
        <v>-7618.2176102426984</v>
      </c>
      <c r="Q62" s="91">
        <f>-ENA_Allocation!$E$7*ENA_Tax!Q24</f>
        <v>-10082.17435122093</v>
      </c>
      <c r="R62" s="91">
        <f>-ENA_Allocation!$E$7*ENA_Tax!R24</f>
        <v>-12535.059488035127</v>
      </c>
      <c r="S62" s="91">
        <f>-ENA_Allocation!$E$7*ENA_Tax!S24</f>
        <v>-13001.914397869337</v>
      </c>
      <c r="T62" s="91">
        <f>-ENA_Allocation!$E$7*ENA_Tax!T24</f>
        <v>-13430.637041441914</v>
      </c>
      <c r="U62" s="91">
        <f>-ENA_Allocation!$E$7*ENA_Tax!U24</f>
        <v>-13861.393157987161</v>
      </c>
      <c r="W62" s="954">
        <f>SUM(B62:U62)</f>
        <v>-113929.01069301707</v>
      </c>
    </row>
    <row r="63" spans="1:55">
      <c r="A63" s="15"/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W63" s="1018"/>
    </row>
    <row r="64" spans="1:55" s="240" customFormat="1" ht="15.75">
      <c r="A64" s="1052" t="s">
        <v>35</v>
      </c>
      <c r="B64" s="246">
        <f t="shared" ref="B64:U64" si="18">B59+B62+B61</f>
        <v>4685.3319057971548</v>
      </c>
      <c r="C64" s="246">
        <f t="shared" si="18"/>
        <v>4573.6743366498158</v>
      </c>
      <c r="D64" s="246">
        <f t="shared" si="18"/>
        <v>4540.7505795553643</v>
      </c>
      <c r="E64" s="246">
        <f t="shared" si="18"/>
        <v>17823.668472851838</v>
      </c>
      <c r="F64" s="246">
        <f t="shared" si="18"/>
        <v>18688.617698821501</v>
      </c>
      <c r="G64" s="246">
        <f t="shared" si="18"/>
        <v>18387.61524365253</v>
      </c>
      <c r="H64" s="246">
        <f t="shared" si="18"/>
        <v>15504.547908183269</v>
      </c>
      <c r="I64" s="246">
        <f t="shared" si="18"/>
        <v>14559.645935931641</v>
      </c>
      <c r="J64" s="246">
        <f t="shared" si="18"/>
        <v>14685.88483028406</v>
      </c>
      <c r="K64" s="246">
        <f t="shared" si="18"/>
        <v>14514.741092874894</v>
      </c>
      <c r="L64" s="246">
        <f t="shared" si="18"/>
        <v>14776.277707820806</v>
      </c>
      <c r="M64" s="246">
        <f t="shared" si="18"/>
        <v>15683.466284029359</v>
      </c>
      <c r="N64" s="246">
        <f t="shared" si="18"/>
        <v>16632.611981042763</v>
      </c>
      <c r="O64" s="246">
        <f t="shared" si="18"/>
        <v>17587.757563642375</v>
      </c>
      <c r="P64" s="246">
        <f t="shared" si="18"/>
        <v>18202.510801960587</v>
      </c>
      <c r="Q64" s="246">
        <f t="shared" si="18"/>
        <v>16338.960568449853</v>
      </c>
      <c r="R64" s="246">
        <f t="shared" si="18"/>
        <v>14951.784622940148</v>
      </c>
      <c r="S64" s="246">
        <f t="shared" si="18"/>
        <v>17264.017429708085</v>
      </c>
      <c r="T64" s="246">
        <f t="shared" si="18"/>
        <v>18037.327067910228</v>
      </c>
      <c r="U64" s="246">
        <f t="shared" si="18"/>
        <v>19545.137595441658</v>
      </c>
      <c r="W64" s="954">
        <f>SUM(B64:U64)</f>
        <v>296984.329627548</v>
      </c>
    </row>
    <row r="65" spans="1:23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>
      <c r="A67" s="3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</row>
    <row r="68" spans="1:23" ht="18.75">
      <c r="A68" s="19" t="s">
        <v>513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>
      <c r="A76" s="21" t="s">
        <v>515</v>
      </c>
      <c r="B76" s="1053">
        <f>ENA_Depreciation!C14</f>
        <v>182750.53863486869</v>
      </c>
      <c r="C76" s="1053">
        <f>ENA_Depreciation!D14</f>
        <v>177098.46012038822</v>
      </c>
      <c r="D76" s="1053">
        <f>ENA_Depreciation!E14</f>
        <v>171446.38160590775</v>
      </c>
      <c r="E76" s="1053">
        <f>ENA_Depreciation!F14</f>
        <v>165794.30309142728</v>
      </c>
      <c r="F76" s="1053">
        <f>ENA_Depreciation!G14</f>
        <v>160142.22457694681</v>
      </c>
      <c r="G76" s="1053">
        <f>ENA_Depreciation!H14</f>
        <v>154490.14606246635</v>
      </c>
      <c r="H76" s="1053">
        <f>ENA_Depreciation!I14</f>
        <v>148838.06754798588</v>
      </c>
      <c r="I76" s="1053">
        <f>ENA_Depreciation!J14</f>
        <v>143185.98903350541</v>
      </c>
      <c r="J76" s="1053">
        <f>ENA_Depreciation!K14</f>
        <v>137533.91051902494</v>
      </c>
      <c r="K76" s="1053">
        <f>ENA_Depreciation!L14</f>
        <v>131881.83200454447</v>
      </c>
      <c r="L76" s="1053">
        <f>ENA_Depreciation!M14</f>
        <v>126229.753490064</v>
      </c>
      <c r="M76" s="1053">
        <f>ENA_Depreciation!N14</f>
        <v>120577.67497558353</v>
      </c>
      <c r="N76" s="1053">
        <f>ENA_Depreciation!O14</f>
        <v>114925.59646110306</v>
      </c>
      <c r="O76" s="1053">
        <f>ENA_Depreciation!P14</f>
        <v>109273.5179466226</v>
      </c>
      <c r="P76" s="1053">
        <f>ENA_Depreciation!Q14</f>
        <v>103621.43943214213</v>
      </c>
      <c r="Q76" s="1053">
        <f>ENA_Depreciation!R14</f>
        <v>97969.360917661659</v>
      </c>
      <c r="R76" s="1053">
        <f>ENA_Depreciation!S14</f>
        <v>92317.282403181191</v>
      </c>
      <c r="S76" s="1053">
        <f>ENA_Depreciation!T14</f>
        <v>86665.203888700722</v>
      </c>
      <c r="T76" s="1053">
        <f>ENA_Depreciation!U14</f>
        <v>81013.125374220253</v>
      </c>
      <c r="U76" s="1053">
        <f>ENA_Depreciation!V14</f>
        <v>75361.046859739785</v>
      </c>
      <c r="W76" s="1054">
        <f t="shared" ref="W76:W84" si="19">SUM(B76:U76)</f>
        <v>2581115.8549460853</v>
      </c>
    </row>
    <row r="77" spans="1:23">
      <c r="A77" s="8" t="s">
        <v>516</v>
      </c>
      <c r="B77" s="1053">
        <f>'ENA_Summary Output'!$C$8*ENA_Allocation!$C$7</f>
        <v>72147.756002511669</v>
      </c>
      <c r="C77" s="1053">
        <f>'ENA_Summary Output'!$C$8*ENA_Allocation!$C$7</f>
        <v>72147.756002511669</v>
      </c>
      <c r="D77" s="1053">
        <f>'ENA_Summary Output'!$C$8*ENA_Allocation!$C$7</f>
        <v>72147.756002511669</v>
      </c>
      <c r="E77" s="1053">
        <f>'ENA_Summary Output'!$C$8*ENA_Allocation!$C$7</f>
        <v>72147.756002511669</v>
      </c>
      <c r="F77" s="1053">
        <f>'ENA_Summary Output'!$C$8*ENA_Allocation!$C$7</f>
        <v>72147.756002511669</v>
      </c>
      <c r="G77" s="1053">
        <f>'ENA_Summary Output'!$C$8*ENA_Allocation!$C$7</f>
        <v>72147.756002511669</v>
      </c>
      <c r="H77" s="1053">
        <f>'ENA_Summary Output'!$C$8*ENA_Allocation!$C$7</f>
        <v>72147.756002511669</v>
      </c>
      <c r="I77" s="1053">
        <f>'ENA_Summary Output'!$C$8*ENA_Allocation!$C$7</f>
        <v>72147.756002511669</v>
      </c>
      <c r="J77" s="1053">
        <f>'ENA_Summary Output'!$C$8*ENA_Allocation!$C$7</f>
        <v>72147.756002511669</v>
      </c>
      <c r="K77" s="1053">
        <f>'ENA_Summary Output'!$C$8*ENA_Allocation!$C$7</f>
        <v>72147.756002511669</v>
      </c>
      <c r="L77" s="1053">
        <f>'ENA_Summary Output'!$C$8*ENA_Allocation!$C$7</f>
        <v>72147.756002511669</v>
      </c>
      <c r="M77" s="1053">
        <f>'ENA_Summary Output'!$C$8*ENA_Allocation!$C$7</f>
        <v>72147.756002511669</v>
      </c>
      <c r="N77" s="1053">
        <f>'ENA_Summary Output'!$C$8*ENA_Allocation!$C$7</f>
        <v>72147.756002511669</v>
      </c>
      <c r="O77" s="1053">
        <f>'ENA_Summary Output'!$C$8*ENA_Allocation!$C$7</f>
        <v>72147.756002511669</v>
      </c>
      <c r="P77" s="1053">
        <f>'ENA_Summary Output'!$C$8*ENA_Allocation!$C$7</f>
        <v>72147.756002511669</v>
      </c>
      <c r="Q77" s="1053">
        <f>'ENA_Summary Output'!$C$8*ENA_Allocation!$C$7</f>
        <v>72147.756002511669</v>
      </c>
      <c r="R77" s="1053">
        <f>'ENA_Summary Output'!$C$8*ENA_Allocation!$C$7</f>
        <v>72147.756002511669</v>
      </c>
      <c r="S77" s="1053">
        <f>'ENA_Summary Output'!$C$8*ENA_Allocation!$C$7</f>
        <v>72147.756002511669</v>
      </c>
      <c r="T77" s="1053">
        <f>'ENA_Summary Output'!$C$8*ENA_Allocation!$C$7</f>
        <v>72147.756002511669</v>
      </c>
      <c r="U77" s="1053">
        <f>'ENA_Summary Output'!$C$8*ENA_Allocation!$C$7</f>
        <v>72147.756002511669</v>
      </c>
      <c r="W77" s="1054">
        <f t="shared" si="19"/>
        <v>1442955.1200502333</v>
      </c>
    </row>
    <row r="78" spans="1:23">
      <c r="A78" s="1055" t="s">
        <v>517</v>
      </c>
      <c r="B78" s="1056">
        <f>B44-B64-B12*(ENA_Assumptions!$C$39+(1-ENA_Assumptions!$C$39)*ENA_Assumptions!$C$38)</f>
        <v>-2057.5767324144881</v>
      </c>
      <c r="C78" s="1056">
        <f>C44-C64-C12*(ENA_Assumptions!$C$39+(1-ENA_Assumptions!$C$39)*ENA_Assumptions!$C$38)+B78</f>
        <v>-3950.3091610132069</v>
      </c>
      <c r="D78" s="1056">
        <f>D44-D64-D12*(ENA_Assumptions!$C$39+(1-ENA_Assumptions!$C$39)*ENA_Assumptions!$C$38)+C78</f>
        <v>-5681.7570154161258</v>
      </c>
      <c r="E78" s="1056">
        <f t="shared" ref="E78:U78" si="20">E44-E64+D78</f>
        <v>-14384.583140946132</v>
      </c>
      <c r="F78" s="1056">
        <f t="shared" si="20"/>
        <v>-22686.839966226278</v>
      </c>
      <c r="G78" s="1056">
        <f t="shared" si="20"/>
        <v>-30171.366382662964</v>
      </c>
      <c r="H78" s="1056">
        <f t="shared" si="20"/>
        <v>-34221.162504350417</v>
      </c>
      <c r="I78" s="1056">
        <f t="shared" si="20"/>
        <v>-36758.42277923943</v>
      </c>
      <c r="J78" s="1056">
        <f t="shared" si="20"/>
        <v>-38776.947135951275</v>
      </c>
      <c r="K78" s="1056">
        <f t="shared" si="20"/>
        <v>-39935.452852310766</v>
      </c>
      <c r="L78" s="1056">
        <f t="shared" si="20"/>
        <v>-40493.139982130473</v>
      </c>
      <c r="M78" s="1056">
        <f t="shared" si="20"/>
        <v>-41048.090019926152</v>
      </c>
      <c r="N78" s="1056">
        <f t="shared" si="20"/>
        <v>-41610.799409832311</v>
      </c>
      <c r="O78" s="1056">
        <f t="shared" si="20"/>
        <v>-42192.174835444181</v>
      </c>
      <c r="P78" s="1056">
        <f t="shared" si="20"/>
        <v>-42470.701934870493</v>
      </c>
      <c r="Q78" s="1056">
        <f t="shared" si="20"/>
        <v>-40039.64751700242</v>
      </c>
      <c r="R78" s="1056">
        <f t="shared" si="20"/>
        <v>-35340.075837185934</v>
      </c>
      <c r="S78" s="1056">
        <f t="shared" si="20"/>
        <v>-32099.897582392532</v>
      </c>
      <c r="T78" s="1056">
        <f t="shared" si="20"/>
        <v>-28851.823663223771</v>
      </c>
      <c r="U78" s="1056">
        <f t="shared" si="20"/>
        <v>-26322.319354415962</v>
      </c>
      <c r="W78" s="1054">
        <f t="shared" si="19"/>
        <v>-599093.08780695533</v>
      </c>
    </row>
    <row r="79" spans="1:23">
      <c r="A79" s="1055" t="s">
        <v>518</v>
      </c>
      <c r="B79" s="1057">
        <f>ENA_Debt!B73*ENA_Allocation!$E$7</f>
        <v>111094.78745351192</v>
      </c>
      <c r="C79" s="1057">
        <f>ENA_Debt!C73*ENA_Allocation!$E$7</f>
        <v>108527.7953181198</v>
      </c>
      <c r="D79" s="1057">
        <f>ENA_Debt!D73*ENA_Allocation!$E$7</f>
        <v>105767.79625525458</v>
      </c>
      <c r="E79" s="1057">
        <f>ENA_Debt!E73*ENA_Allocation!$E$7</f>
        <v>103011.65733093882</v>
      </c>
      <c r="F79" s="1057">
        <f>ENA_Debt!F73*ENA_Allocation!$E$7</f>
        <v>99217.913164527723</v>
      </c>
      <c r="G79" s="1057">
        <f>ENA_Debt!G73*ENA_Allocation!$E$7</f>
        <v>94905.366377068945</v>
      </c>
      <c r="H79" s="1057">
        <f>ENA_Debt!H73*ENA_Allocation!$E$7</f>
        <v>90203.717623824414</v>
      </c>
      <c r="I79" s="1057">
        <f>ENA_Debt!I73*ENA_Allocation!$E$7</f>
        <v>84853.565594270302</v>
      </c>
      <c r="J79" s="1057">
        <f>ENA_Debt!J73*ENA_Allocation!$E$7</f>
        <v>78984.610943668507</v>
      </c>
      <c r="K79" s="1057">
        <f>ENA_Debt!K73*ENA_Allocation!$E$7</f>
        <v>72242.492953178444</v>
      </c>
      <c r="L79" s="1057">
        <f>ENA_Debt!L73*ENA_Allocation!$E$7</f>
        <v>64908.229709200939</v>
      </c>
      <c r="M79" s="1057">
        <f>ENA_Debt!M73*ENA_Allocation!$E$7</f>
        <v>57573.966465223435</v>
      </c>
      <c r="N79" s="1057">
        <f>ENA_Debt!N73*ENA_Allocation!$E$7</f>
        <v>50239.703221245923</v>
      </c>
      <c r="O79" s="1057">
        <f>ENA_Debt!O73*ENA_Allocation!$E$7</f>
        <v>42905.439977268419</v>
      </c>
      <c r="P79" s="1057">
        <f>ENA_Debt!P73*ENA_Allocation!$E$7</f>
        <v>35204.463571092034</v>
      </c>
      <c r="Q79" s="1057">
        <f>ENA_Debt!Q73*ENA_Allocation!$E$7</f>
        <v>27136.774002716778</v>
      </c>
      <c r="R79" s="1057">
        <f>ENA_Debt!R73*ENA_Allocation!$E$7</f>
        <v>19069.084434341519</v>
      </c>
      <c r="S79" s="1057">
        <f>ENA_Debt!S73*ENA_Allocation!$E$7</f>
        <v>12468.247514761762</v>
      </c>
      <c r="T79" s="1057">
        <f>ENA_Debt!T73*ENA_Allocation!$E$7</f>
        <v>5867.4105951820056</v>
      </c>
      <c r="U79" s="1057">
        <f>ENA_Debt!U73*ENA_Allocation!$E$7</f>
        <v>-6.1789649835671744E-12</v>
      </c>
      <c r="W79" s="1054">
        <f t="shared" si="19"/>
        <v>1264183.0225053965</v>
      </c>
    </row>
    <row r="80" spans="1:23">
      <c r="A80" s="21" t="s">
        <v>519</v>
      </c>
      <c r="B80" s="1058">
        <f>SUM(B77:B79)</f>
        <v>181184.9667236091</v>
      </c>
      <c r="C80" s="1058">
        <f t="shared" ref="C80:U80" si="21">SUM(C77:C79)</f>
        <v>176725.24215961824</v>
      </c>
      <c r="D80" s="1058">
        <f t="shared" si="21"/>
        <v>172233.79524235014</v>
      </c>
      <c r="E80" s="1058">
        <f t="shared" si="21"/>
        <v>160774.83019250436</v>
      </c>
      <c r="F80" s="1058">
        <f t="shared" si="21"/>
        <v>148678.82920081311</v>
      </c>
      <c r="G80" s="1058">
        <f t="shared" si="21"/>
        <v>136881.75599691767</v>
      </c>
      <c r="H80" s="1058">
        <f t="shared" si="21"/>
        <v>128130.31112198567</v>
      </c>
      <c r="I80" s="1058">
        <f t="shared" si="21"/>
        <v>120242.89881754253</v>
      </c>
      <c r="J80" s="1058">
        <f t="shared" si="21"/>
        <v>112355.41981022889</v>
      </c>
      <c r="K80" s="1058">
        <f t="shared" si="21"/>
        <v>104454.79610337934</v>
      </c>
      <c r="L80" s="1058">
        <f t="shared" si="21"/>
        <v>96562.845729582128</v>
      </c>
      <c r="M80" s="1058">
        <f t="shared" si="21"/>
        <v>88673.632447808952</v>
      </c>
      <c r="N80" s="1058">
        <f t="shared" si="21"/>
        <v>80776.659813925275</v>
      </c>
      <c r="O80" s="1058">
        <f t="shared" si="21"/>
        <v>72861.021144335915</v>
      </c>
      <c r="P80" s="1058">
        <f t="shared" si="21"/>
        <v>64881.51763873321</v>
      </c>
      <c r="Q80" s="1058">
        <f t="shared" si="21"/>
        <v>59244.882488226023</v>
      </c>
      <c r="R80" s="1058">
        <f t="shared" si="21"/>
        <v>55876.764599667251</v>
      </c>
      <c r="S80" s="1058">
        <f t="shared" si="21"/>
        <v>52516.105934880907</v>
      </c>
      <c r="T80" s="1058">
        <f t="shared" si="21"/>
        <v>49163.342934469911</v>
      </c>
      <c r="U80" s="1058">
        <f t="shared" si="21"/>
        <v>45825.436648095703</v>
      </c>
      <c r="W80" s="1054">
        <f t="shared" si="19"/>
        <v>2108045.0547486735</v>
      </c>
    </row>
    <row r="81" spans="1:44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>
        <f t="shared" si="19"/>
        <v>0</v>
      </c>
    </row>
    <row r="82" spans="1:44">
      <c r="A82" s="21" t="s">
        <v>520</v>
      </c>
      <c r="B82" s="1058">
        <f>MAX(B80,B76)</f>
        <v>182750.53863486869</v>
      </c>
      <c r="C82" s="1058">
        <f t="shared" ref="C82:U82" si="22">MAX(C80,C76)</f>
        <v>177098.46012038822</v>
      </c>
      <c r="D82" s="1058">
        <f t="shared" si="22"/>
        <v>172233.79524235014</v>
      </c>
      <c r="E82" s="1058">
        <f t="shared" si="22"/>
        <v>165794.30309142728</v>
      </c>
      <c r="F82" s="1058">
        <f t="shared" si="22"/>
        <v>160142.22457694681</v>
      </c>
      <c r="G82" s="1058">
        <f t="shared" si="22"/>
        <v>154490.14606246635</v>
      </c>
      <c r="H82" s="1058">
        <f t="shared" si="22"/>
        <v>148838.06754798588</v>
      </c>
      <c r="I82" s="1058">
        <f t="shared" si="22"/>
        <v>143185.98903350541</v>
      </c>
      <c r="J82" s="1058">
        <f t="shared" si="22"/>
        <v>137533.91051902494</v>
      </c>
      <c r="K82" s="1058">
        <f t="shared" si="22"/>
        <v>131881.83200454447</v>
      </c>
      <c r="L82" s="1058">
        <f t="shared" si="22"/>
        <v>126229.753490064</v>
      </c>
      <c r="M82" s="1058">
        <f t="shared" si="22"/>
        <v>120577.67497558353</v>
      </c>
      <c r="N82" s="1058">
        <f t="shared" si="22"/>
        <v>114925.59646110306</v>
      </c>
      <c r="O82" s="1058">
        <f t="shared" si="22"/>
        <v>109273.5179466226</v>
      </c>
      <c r="P82" s="1058">
        <f t="shared" si="22"/>
        <v>103621.43943214213</v>
      </c>
      <c r="Q82" s="1058">
        <f t="shared" si="22"/>
        <v>97969.360917661659</v>
      </c>
      <c r="R82" s="1058">
        <f t="shared" si="22"/>
        <v>92317.282403181191</v>
      </c>
      <c r="S82" s="1058">
        <f t="shared" si="22"/>
        <v>86665.203888700722</v>
      </c>
      <c r="T82" s="1058">
        <f t="shared" si="22"/>
        <v>81013.125374220253</v>
      </c>
      <c r="U82" s="1058">
        <f t="shared" si="22"/>
        <v>75361.046859739785</v>
      </c>
      <c r="W82" s="1054">
        <f t="shared" si="19"/>
        <v>2581903.2685825275</v>
      </c>
    </row>
    <row r="83" spans="1:44">
      <c r="A83" s="1055" t="s">
        <v>521</v>
      </c>
      <c r="B83" s="1059">
        <f>ENA_Assumptions!$C$42</f>
        <v>2.5000000000000001E-3</v>
      </c>
      <c r="C83" s="1059">
        <f>ENA_Assumptions!$C$43</f>
        <v>2.5000000000000001E-3</v>
      </c>
      <c r="D83" s="1059">
        <f>ENA_Assumptions!$C$43</f>
        <v>2.5000000000000001E-3</v>
      </c>
      <c r="E83" s="1059">
        <f>ENA_Assumptions!$C$43</f>
        <v>2.5000000000000001E-3</v>
      </c>
      <c r="F83" s="1059">
        <f>ENA_Assumptions!$C$43</f>
        <v>2.5000000000000001E-3</v>
      </c>
      <c r="G83" s="1059">
        <f>ENA_Assumptions!$C$43</f>
        <v>2.5000000000000001E-3</v>
      </c>
      <c r="H83" s="1059">
        <f>ENA_Assumptions!$C$43</f>
        <v>2.5000000000000001E-3</v>
      </c>
      <c r="I83" s="1059">
        <f>ENA_Assumptions!$C$43</f>
        <v>2.5000000000000001E-3</v>
      </c>
      <c r="J83" s="1059">
        <f>ENA_Assumptions!$C$43</f>
        <v>2.5000000000000001E-3</v>
      </c>
      <c r="K83" s="1059">
        <f>ENA_Assumptions!$C$43</f>
        <v>2.5000000000000001E-3</v>
      </c>
      <c r="L83" s="1059">
        <f>ENA_Assumptions!$C$43</f>
        <v>2.5000000000000001E-3</v>
      </c>
      <c r="M83" s="1059">
        <f>ENA_Assumptions!$C$43</f>
        <v>2.5000000000000001E-3</v>
      </c>
      <c r="N83" s="1059">
        <f>ENA_Assumptions!$C$43</f>
        <v>2.5000000000000001E-3</v>
      </c>
      <c r="O83" s="1059">
        <f>ENA_Assumptions!$C$43</f>
        <v>2.5000000000000001E-3</v>
      </c>
      <c r="P83" s="1059">
        <f>ENA_Assumptions!$C$43</f>
        <v>2.5000000000000001E-3</v>
      </c>
      <c r="Q83" s="1059">
        <f>ENA_Assumptions!$C$43</f>
        <v>2.5000000000000001E-3</v>
      </c>
      <c r="R83" s="1059">
        <f>ENA_Assumptions!$C$43</f>
        <v>2.5000000000000001E-3</v>
      </c>
      <c r="S83" s="1059">
        <f>ENA_Assumptions!$C$43</f>
        <v>2.5000000000000001E-3</v>
      </c>
      <c r="T83" s="1059">
        <f>ENA_Assumptions!$C$43</f>
        <v>2.5000000000000001E-3</v>
      </c>
      <c r="U83" s="1059">
        <f>ENA_Assumptions!$C$43</f>
        <v>2.5000000000000001E-3</v>
      </c>
      <c r="W83" s="1054"/>
    </row>
    <row r="84" spans="1:44">
      <c r="A84" s="291" t="s">
        <v>522</v>
      </c>
      <c r="B84" s="1060">
        <v>456.87634658717172</v>
      </c>
      <c r="C84" s="1060">
        <v>442.74615030097056</v>
      </c>
      <c r="D84" s="1060">
        <v>430.58448810587538</v>
      </c>
      <c r="E84" s="1060">
        <v>414.48575772856822</v>
      </c>
      <c r="F84" s="1060">
        <v>400.35556144236705</v>
      </c>
      <c r="G84" s="1060">
        <v>386.22536515616588</v>
      </c>
      <c r="H84" s="1060">
        <v>372.09516886996471</v>
      </c>
      <c r="I84" s="1060">
        <v>357.96497258376354</v>
      </c>
      <c r="J84" s="1060">
        <v>343.83477629756237</v>
      </c>
      <c r="K84" s="1060">
        <v>329.7045800113612</v>
      </c>
      <c r="L84" s="1060">
        <v>315.57438372516003</v>
      </c>
      <c r="M84" s="1060">
        <v>301.44418743895886</v>
      </c>
      <c r="N84" s="1060">
        <v>287.31399115275769</v>
      </c>
      <c r="O84" s="1060">
        <v>273.18379486655647</v>
      </c>
      <c r="P84" s="1060">
        <v>259.0535985803553</v>
      </c>
      <c r="Q84" s="1060">
        <v>244.92340229415416</v>
      </c>
      <c r="R84" s="1060">
        <v>230.79320600795299</v>
      </c>
      <c r="S84" s="1060">
        <v>216.66300972175182</v>
      </c>
      <c r="T84" s="1060">
        <v>202.53281343555065</v>
      </c>
      <c r="U84" s="1060">
        <v>188.40261714934945</v>
      </c>
      <c r="W84" s="1054">
        <f t="shared" si="19"/>
        <v>6454.7581714563175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>
      <c r="A85" s="1055"/>
      <c r="B85" s="1053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>
      <c r="A89" s="598" t="s">
        <v>523</v>
      </c>
      <c r="B89" s="316">
        <f>B39-B12</f>
        <v>1351.5392919830247</v>
      </c>
      <c r="C89" s="316">
        <f>C39-C12</f>
        <v>1438.5879575614708</v>
      </c>
      <c r="D89" s="316">
        <f>D39-D12</f>
        <v>1648.6711279401079</v>
      </c>
      <c r="E89" s="316">
        <f t="shared" ref="E89:U89" si="23">E39</f>
        <v>14927.728882687123</v>
      </c>
      <c r="F89" s="316">
        <f t="shared" si="23"/>
        <v>16998.953966516128</v>
      </c>
      <c r="G89" s="316">
        <f t="shared" si="23"/>
        <v>17844.662565001381</v>
      </c>
      <c r="H89" s="316">
        <f t="shared" si="23"/>
        <v>18747.547932071713</v>
      </c>
      <c r="I89" s="316">
        <f t="shared" si="23"/>
        <v>19676.572276665509</v>
      </c>
      <c r="J89" s="316">
        <f t="shared" si="23"/>
        <v>20732.177534488073</v>
      </c>
      <c r="K89" s="316">
        <f t="shared" si="23"/>
        <v>21859.632367455648</v>
      </c>
      <c r="L89" s="316">
        <f t="shared" si="23"/>
        <v>23271.015675942876</v>
      </c>
      <c r="M89" s="316">
        <f t="shared" si="23"/>
        <v>24760.255722150043</v>
      </c>
      <c r="N89" s="316">
        <f t="shared" si="23"/>
        <v>26300.98623753944</v>
      </c>
      <c r="O89" s="316">
        <f t="shared" si="23"/>
        <v>27833.68598695664</v>
      </c>
      <c r="P89" s="316">
        <f t="shared" si="23"/>
        <v>29335.488874851504</v>
      </c>
      <c r="Q89" s="316">
        <f t="shared" si="23"/>
        <v>30720.155460422142</v>
      </c>
      <c r="R89" s="316">
        <f t="shared" si="23"/>
        <v>32162.612606802999</v>
      </c>
      <c r="S89" s="316">
        <f t="shared" si="23"/>
        <v>33558.421742228289</v>
      </c>
      <c r="T89" s="316">
        <f t="shared" si="23"/>
        <v>34836.990158885412</v>
      </c>
      <c r="U89" s="316">
        <f t="shared" si="23"/>
        <v>36128.710154254448</v>
      </c>
      <c r="W89" s="1054">
        <f>SUM(B89:U89)</f>
        <v>434134.39652240399</v>
      </c>
    </row>
    <row r="90" spans="1:44">
      <c r="A90" s="598" t="s">
        <v>502</v>
      </c>
      <c r="B90" s="316">
        <f>B33</f>
        <v>5652.078514480475</v>
      </c>
      <c r="C90" s="316">
        <f t="shared" ref="C90:U90" si="24">C33</f>
        <v>5652.078514480475</v>
      </c>
      <c r="D90" s="316">
        <f t="shared" si="24"/>
        <v>5652.078514480475</v>
      </c>
      <c r="E90" s="316">
        <f t="shared" si="24"/>
        <v>5652.078514480475</v>
      </c>
      <c r="F90" s="316">
        <f t="shared" si="24"/>
        <v>5652.078514480475</v>
      </c>
      <c r="G90" s="316">
        <f t="shared" si="24"/>
        <v>5652.078514480475</v>
      </c>
      <c r="H90" s="316">
        <f t="shared" si="24"/>
        <v>5652.078514480475</v>
      </c>
      <c r="I90" s="316">
        <f t="shared" si="24"/>
        <v>5652.078514480475</v>
      </c>
      <c r="J90" s="316">
        <f t="shared" si="24"/>
        <v>5652.078514480475</v>
      </c>
      <c r="K90" s="316">
        <f t="shared" si="24"/>
        <v>5652.078514480475</v>
      </c>
      <c r="L90" s="316">
        <f t="shared" si="24"/>
        <v>5652.078514480475</v>
      </c>
      <c r="M90" s="316">
        <f t="shared" si="24"/>
        <v>5652.078514480475</v>
      </c>
      <c r="N90" s="316">
        <f t="shared" si="24"/>
        <v>5652.078514480475</v>
      </c>
      <c r="O90" s="316">
        <f t="shared" si="24"/>
        <v>5652.078514480475</v>
      </c>
      <c r="P90" s="316">
        <f t="shared" si="24"/>
        <v>5652.078514480475</v>
      </c>
      <c r="Q90" s="316">
        <f t="shared" si="24"/>
        <v>5652.078514480475</v>
      </c>
      <c r="R90" s="316">
        <f t="shared" si="24"/>
        <v>5652.078514480475</v>
      </c>
      <c r="S90" s="316">
        <f t="shared" si="24"/>
        <v>5652.078514480475</v>
      </c>
      <c r="T90" s="316">
        <f t="shared" si="24"/>
        <v>5652.078514480475</v>
      </c>
      <c r="U90" s="316">
        <f t="shared" si="24"/>
        <v>5652.078514480475</v>
      </c>
      <c r="W90" s="1054">
        <f>SUM(B90:U90)</f>
        <v>113041.57028960944</v>
      </c>
    </row>
    <row r="91" spans="1:44" ht="15">
      <c r="A91" s="598" t="s">
        <v>352</v>
      </c>
      <c r="B91" s="1062">
        <f>-ENA_Depreciation!C69</f>
        <v>-8202.5871642370275</v>
      </c>
      <c r="C91" s="1062">
        <f>-ENA_Depreciation!D69</f>
        <v>-15584.915612050352</v>
      </c>
      <c r="D91" s="1062">
        <f>-ENA_Depreciation!E69</f>
        <v>-14026.424050845317</v>
      </c>
      <c r="E91" s="1062">
        <f>-ENA_Depreciation!F69</f>
        <v>-12631.984232925022</v>
      </c>
      <c r="F91" s="1062">
        <f>-ENA_Depreciation!G69</f>
        <v>-11368.78580963252</v>
      </c>
      <c r="G91" s="1062">
        <f>-ENA_Depreciation!H69</f>
        <v>-10220.423606639337</v>
      </c>
      <c r="H91" s="1062">
        <f>-ENA_Depreciation!I69</f>
        <v>-9679.0528537996925</v>
      </c>
      <c r="I91" s="1062">
        <f>-ENA_Depreciation!J69</f>
        <v>-9695.4580281281669</v>
      </c>
      <c r="J91" s="1062">
        <f>-ENA_Depreciation!K69</f>
        <v>-9679.0528537996925</v>
      </c>
      <c r="K91" s="1062">
        <f>-ENA_Depreciation!L69</f>
        <v>-9695.4580281281669</v>
      </c>
      <c r="L91" s="1062">
        <f>-ENA_Depreciation!M69</f>
        <v>-9679.0528537996925</v>
      </c>
      <c r="M91" s="1062">
        <f>-ENA_Depreciation!N69</f>
        <v>-9695.4580281281669</v>
      </c>
      <c r="N91" s="1062">
        <f>-ENA_Depreciation!O69</f>
        <v>-9679.0528537996925</v>
      </c>
      <c r="O91" s="1062">
        <f>-ENA_Depreciation!P69</f>
        <v>-9695.4580281281669</v>
      </c>
      <c r="P91" s="1062">
        <f>-ENA_Depreciation!Q69</f>
        <v>-9679.0528537996925</v>
      </c>
      <c r="Q91" s="1062">
        <f>-ENA_Depreciation!R69</f>
        <v>-4839.5264268998462</v>
      </c>
      <c r="R91" s="1062">
        <f>-ENA_Depreciation!S69</f>
        <v>0</v>
      </c>
      <c r="S91" s="1062">
        <f>-ENA_Depreciation!T69</f>
        <v>0</v>
      </c>
      <c r="T91" s="1062">
        <f>-ENA_Depreciation!U69</f>
        <v>0</v>
      </c>
      <c r="U91" s="1062">
        <f>-ENA_Depreciation!V69</f>
        <v>0</v>
      </c>
      <c r="W91" s="1063">
        <f>SUM(B91:U91)</f>
        <v>-164051.74328474054</v>
      </c>
    </row>
    <row r="92" spans="1:44">
      <c r="A92" s="318" t="s">
        <v>524</v>
      </c>
      <c r="B92" s="296">
        <f t="shared" ref="B92:U92" si="25">SUM(B89:B91)</f>
        <v>-1198.9693577735279</v>
      </c>
      <c r="C92" s="296">
        <f t="shared" si="25"/>
        <v>-8494.2491400084073</v>
      </c>
      <c r="D92" s="296">
        <f t="shared" si="25"/>
        <v>-6725.6744084247339</v>
      </c>
      <c r="E92" s="296">
        <f t="shared" si="25"/>
        <v>7947.8231642425762</v>
      </c>
      <c r="F92" s="296">
        <f t="shared" si="25"/>
        <v>11282.246671364084</v>
      </c>
      <c r="G92" s="296">
        <f t="shared" si="25"/>
        <v>13276.31747284252</v>
      </c>
      <c r="H92" s="296">
        <f t="shared" si="25"/>
        <v>14720.573592752497</v>
      </c>
      <c r="I92" s="296">
        <f t="shared" si="25"/>
        <v>15633.192763017818</v>
      </c>
      <c r="J92" s="296">
        <f t="shared" si="25"/>
        <v>16705.203195168855</v>
      </c>
      <c r="K92" s="296">
        <f t="shared" si="25"/>
        <v>17816.252853807957</v>
      </c>
      <c r="L92" s="296">
        <f t="shared" si="25"/>
        <v>19244.041336623661</v>
      </c>
      <c r="M92" s="296">
        <f t="shared" si="25"/>
        <v>20716.876208502352</v>
      </c>
      <c r="N92" s="296">
        <f t="shared" si="25"/>
        <v>22274.011898220226</v>
      </c>
      <c r="O92" s="296">
        <f t="shared" si="25"/>
        <v>23790.306473308949</v>
      </c>
      <c r="P92" s="296">
        <f t="shared" si="25"/>
        <v>25308.514535532282</v>
      </c>
      <c r="Q92" s="296">
        <f t="shared" si="25"/>
        <v>31532.707548002767</v>
      </c>
      <c r="R92" s="296">
        <f t="shared" si="25"/>
        <v>37814.691121283475</v>
      </c>
      <c r="S92" s="296">
        <f t="shared" si="25"/>
        <v>39210.500256708765</v>
      </c>
      <c r="T92" s="296">
        <f t="shared" si="25"/>
        <v>40489.068673365888</v>
      </c>
      <c r="U92" s="296">
        <f t="shared" si="25"/>
        <v>41780.788668734924</v>
      </c>
      <c r="W92" s="1054">
        <f>SUM(B92:U92)</f>
        <v>383124.22352727293</v>
      </c>
    </row>
    <row r="93" spans="1:44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>
      <c r="A94" s="598" t="s">
        <v>434</v>
      </c>
      <c r="B94" s="1064">
        <f>ENA_Assumptions!$C$39</f>
        <v>0.06</v>
      </c>
      <c r="C94" s="1064">
        <f>ENA_Assumptions!$C$39</f>
        <v>0.06</v>
      </c>
      <c r="D94" s="1064">
        <f>ENA_Assumptions!$C$39</f>
        <v>0.06</v>
      </c>
      <c r="E94" s="1064">
        <f>ENA_Assumptions!$C$39</f>
        <v>0.06</v>
      </c>
      <c r="F94" s="1064">
        <f>ENA_Assumptions!$C$39</f>
        <v>0.06</v>
      </c>
      <c r="G94" s="1064">
        <f>ENA_Assumptions!$C$39</f>
        <v>0.06</v>
      </c>
      <c r="H94" s="1064">
        <f>ENA_Assumptions!$C$39</f>
        <v>0.06</v>
      </c>
      <c r="I94" s="1064">
        <f>ENA_Assumptions!$C$39</f>
        <v>0.06</v>
      </c>
      <c r="J94" s="1064">
        <f>ENA_Assumptions!$C$39</f>
        <v>0.06</v>
      </c>
      <c r="K94" s="1064">
        <f>ENA_Assumptions!$C$39</f>
        <v>0.06</v>
      </c>
      <c r="L94" s="1064">
        <f>ENA_Assumptions!$C$39</f>
        <v>0.06</v>
      </c>
      <c r="M94" s="1064">
        <f>ENA_Assumptions!$C$39</f>
        <v>0.06</v>
      </c>
      <c r="N94" s="1064">
        <f>ENA_Assumptions!$C$39</f>
        <v>0.06</v>
      </c>
      <c r="O94" s="1064">
        <f>ENA_Assumptions!$C$39</f>
        <v>0.06</v>
      </c>
      <c r="P94" s="1064">
        <f>ENA_Assumptions!$C$39</f>
        <v>0.06</v>
      </c>
      <c r="Q94" s="1064">
        <f>ENA_Assumptions!$C$39</f>
        <v>0.06</v>
      </c>
      <c r="R94" s="1064">
        <f>ENA_Assumptions!$C$39</f>
        <v>0.06</v>
      </c>
      <c r="S94" s="1064">
        <f>ENA_Assumptions!$C$39</f>
        <v>0.06</v>
      </c>
      <c r="T94" s="1064">
        <f>ENA_Assumptions!$C$39</f>
        <v>0.06</v>
      </c>
      <c r="U94" s="1064">
        <f>ENA_Assumptions!$C$39</f>
        <v>0.06</v>
      </c>
    </row>
    <row r="95" spans="1:44">
      <c r="A95" s="598" t="s">
        <v>262</v>
      </c>
      <c r="B95" s="316">
        <f>B92*B94</f>
        <v>-71.938161466411671</v>
      </c>
      <c r="C95" s="316">
        <f t="shared" ref="C95:U95" si="26">C92*C94</f>
        <v>-509.6549484005044</v>
      </c>
      <c r="D95" s="316">
        <f t="shared" si="26"/>
        <v>-403.54046450548401</v>
      </c>
      <c r="E95" s="316">
        <f t="shared" si="26"/>
        <v>476.86938985455458</v>
      </c>
      <c r="F95" s="316">
        <f t="shared" si="26"/>
        <v>676.93480028184501</v>
      </c>
      <c r="G95" s="316">
        <f t="shared" si="26"/>
        <v>796.57904837055116</v>
      </c>
      <c r="H95" s="316">
        <f t="shared" si="26"/>
        <v>883.23441556514979</v>
      </c>
      <c r="I95" s="316">
        <f t="shared" si="26"/>
        <v>937.99156578106908</v>
      </c>
      <c r="J95" s="316">
        <f t="shared" si="26"/>
        <v>1002.3121917101313</v>
      </c>
      <c r="K95" s="316">
        <f t="shared" si="26"/>
        <v>1068.9751712284774</v>
      </c>
      <c r="L95" s="316">
        <f t="shared" si="26"/>
        <v>1154.6424801974197</v>
      </c>
      <c r="M95" s="316">
        <f t="shared" si="26"/>
        <v>1243.0125725101411</v>
      </c>
      <c r="N95" s="316">
        <f t="shared" si="26"/>
        <v>1336.4407138932136</v>
      </c>
      <c r="O95" s="316">
        <f t="shared" si="26"/>
        <v>1427.4183883985368</v>
      </c>
      <c r="P95" s="316">
        <f t="shared" si="26"/>
        <v>1518.5108721319368</v>
      </c>
      <c r="Q95" s="316">
        <f t="shared" si="26"/>
        <v>1891.962452880166</v>
      </c>
      <c r="R95" s="316">
        <f t="shared" si="26"/>
        <v>2268.8814672770086</v>
      </c>
      <c r="S95" s="316">
        <f t="shared" si="26"/>
        <v>2352.6300154025257</v>
      </c>
      <c r="T95" s="316">
        <f t="shared" si="26"/>
        <v>2429.3441204019532</v>
      </c>
      <c r="U95" s="316">
        <f t="shared" si="26"/>
        <v>2506.8473201240954</v>
      </c>
    </row>
    <row r="96" spans="1:44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>
      <c r="A97" s="598" t="s">
        <v>258</v>
      </c>
      <c r="B97" s="316">
        <v>0</v>
      </c>
      <c r="C97" s="316">
        <f t="shared" ref="C97:U97" si="27">B101</f>
        <v>71.938161466411671</v>
      </c>
      <c r="D97" s="316">
        <f t="shared" si="27"/>
        <v>581.59310986691605</v>
      </c>
      <c r="E97" s="316">
        <f t="shared" si="27"/>
        <v>985.13357437240006</v>
      </c>
      <c r="F97" s="316">
        <f t="shared" si="27"/>
        <v>508.26418451784548</v>
      </c>
      <c r="G97" s="316">
        <f t="shared" si="27"/>
        <v>0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>
      <c r="A98" s="598" t="s">
        <v>259</v>
      </c>
      <c r="B98" s="319">
        <f t="shared" ref="B98:U98" si="28">IF(B68&gt;2020,0,IF(B95&lt;0,-B95,0))</f>
        <v>71.938161466411671</v>
      </c>
      <c r="C98" s="319">
        <f t="shared" si="28"/>
        <v>509.6549484005044</v>
      </c>
      <c r="D98" s="319">
        <f t="shared" si="28"/>
        <v>403.54046450548401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-476.86938985455458</v>
      </c>
      <c r="F100" s="330">
        <f t="shared" si="29"/>
        <v>-508.26418451784548</v>
      </c>
      <c r="G100" s="330">
        <f t="shared" si="29"/>
        <v>0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>
      <c r="A101" s="313" t="s">
        <v>261</v>
      </c>
      <c r="B101" s="330">
        <f t="shared" ref="B101:U101" si="30">SUM(B97:B100)</f>
        <v>71.938161466411671</v>
      </c>
      <c r="C101" s="330">
        <f t="shared" si="30"/>
        <v>581.59310986691605</v>
      </c>
      <c r="D101" s="330">
        <f t="shared" si="30"/>
        <v>985.13357437240006</v>
      </c>
      <c r="E101" s="330">
        <f t="shared" si="30"/>
        <v>508.26418451784548</v>
      </c>
      <c r="F101" s="330">
        <f t="shared" si="30"/>
        <v>0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thickBot="1">
      <c r="A103" s="314" t="s">
        <v>221</v>
      </c>
      <c r="B103" s="635">
        <f>IF('NewCo_Summary Output'!$P$8=1,IF(B95&lt;0,0,B95+B100),Brownsville!B95)</f>
        <v>0</v>
      </c>
      <c r="C103" s="635">
        <f>IF('NewCo_Summary Output'!$P$8=1,IF(C95&lt;0,0,C95+C100),Brownsville!C95)</f>
        <v>0</v>
      </c>
      <c r="D103" s="635">
        <f>IF('NewCo_Summary Output'!$P$8=1,IF(D95&lt;0,0,D95+D100),Brownsville!D95)</f>
        <v>0</v>
      </c>
      <c r="E103" s="635">
        <f>IF('NewCo_Summary Output'!$P$8=1,IF(E95&lt;0,0,E95+E100),Brownsville!E95)</f>
        <v>0</v>
      </c>
      <c r="F103" s="635">
        <f>IF('NewCo_Summary Output'!$P$8=1,IF(F95&lt;0,0,F95+F100),Brownsville!F95)</f>
        <v>168.67061576399954</v>
      </c>
      <c r="G103" s="635">
        <f>IF('NewCo_Summary Output'!$P$8=1,IF(G95&lt;0,0,G95+G100),Brownsville!G95)</f>
        <v>796.57904837055116</v>
      </c>
      <c r="H103" s="635">
        <f>IF('NewCo_Summary Output'!$P$8=1,IF(H95&lt;0,0,H95+H100),Brownsville!H95)</f>
        <v>883.23441556514979</v>
      </c>
      <c r="I103" s="635">
        <f>IF('NewCo_Summary Output'!$P$8=1,IF(I95&lt;0,0,I95+I100),Brownsville!I95)</f>
        <v>937.99156578106908</v>
      </c>
      <c r="J103" s="635">
        <f>IF('NewCo_Summary Output'!$P$8=1,IF(J95&lt;0,0,J95+J100),Brownsville!J95)</f>
        <v>1002.3121917101313</v>
      </c>
      <c r="K103" s="635">
        <f>IF('NewCo_Summary Output'!$P$8=1,IF(K95&lt;0,0,K95+K100),Brownsville!K95)</f>
        <v>1068.9751712284774</v>
      </c>
      <c r="L103" s="635">
        <f>IF('NewCo_Summary Output'!$P$8=1,IF(L95&lt;0,0,L95+L100),Brownsville!L95)</f>
        <v>1154.6424801974197</v>
      </c>
      <c r="M103" s="635">
        <f>IF('NewCo_Summary Output'!$P$8=1,IF(M95&lt;0,0,M95+M100),Brownsville!M95)</f>
        <v>1243.0125725101411</v>
      </c>
      <c r="N103" s="635">
        <f>IF('NewCo_Summary Output'!$P$8=1,IF(N95&lt;0,0,N95+N100),Brownsville!N95)</f>
        <v>1336.4407138932136</v>
      </c>
      <c r="O103" s="635">
        <f>IF('NewCo_Summary Output'!$P$8=1,IF(O95&lt;0,0,O95+O100),Brownsville!O95)</f>
        <v>1427.4183883985368</v>
      </c>
      <c r="P103" s="635">
        <f>IF('NewCo_Summary Output'!$P$8=1,IF(P95&lt;0,0,P95+P100),Brownsville!P95)</f>
        <v>1518.5108721319368</v>
      </c>
      <c r="Q103" s="635">
        <f>IF('NewCo_Summary Output'!$P$8=1,IF(Q95&lt;0,0,Q95+Q100),Brownsville!Q95)</f>
        <v>1891.962452880166</v>
      </c>
      <c r="R103" s="635">
        <f>IF('NewCo_Summary Output'!$P$8=1,IF(R95&lt;0,0,R95+R100),Brownsville!R95)</f>
        <v>2268.8814672770086</v>
      </c>
      <c r="S103" s="635">
        <f>IF('NewCo_Summary Output'!$P$8=1,IF(S95&lt;0,0,S95+S100),Brownsville!S95)</f>
        <v>2352.6300154025257</v>
      </c>
      <c r="T103" s="635">
        <f>IF('NewCo_Summary Output'!$P$8=1,IF(T95&lt;0,0,T95+T100),Brownsville!T95)</f>
        <v>2429.3441204019532</v>
      </c>
      <c r="U103" s="635">
        <f>IF('NewCo_Summary Output'!$P$8=1,IF(U95&lt;0,0,U95+U100),Brownsville!U95)</f>
        <v>2506.8473201240954</v>
      </c>
      <c r="W103" s="1054">
        <f>SUM(B103:U103)</f>
        <v>22987.453411636379</v>
      </c>
    </row>
    <row r="104" spans="1:25" ht="12.75" customHeight="1">
      <c r="A104" s="314"/>
      <c r="B104" s="315"/>
      <c r="C104" s="315"/>
      <c r="D104" s="315"/>
      <c r="E104" s="315"/>
      <c r="F104" s="315"/>
      <c r="G104" s="315"/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315"/>
      <c r="T104" s="315"/>
      <c r="U104" s="315"/>
      <c r="W104" s="1054"/>
    </row>
    <row r="105" spans="1:25" ht="12.75" customHeight="1">
      <c r="A105" s="314"/>
      <c r="B105" s="315"/>
      <c r="C105" s="315"/>
      <c r="D105" s="315"/>
      <c r="E105" s="315"/>
      <c r="F105" s="315"/>
      <c r="G105" s="315"/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315"/>
      <c r="T105" s="315"/>
      <c r="U105" s="315"/>
      <c r="W105" s="1054"/>
    </row>
    <row r="106" spans="1:25" ht="12.75" customHeight="1">
      <c r="A106" s="314"/>
      <c r="B106" s="315"/>
      <c r="C106" s="315"/>
      <c r="D106" s="315"/>
      <c r="E106" s="315"/>
      <c r="F106" s="315"/>
      <c r="G106" s="315"/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315"/>
      <c r="T106" s="315"/>
      <c r="U106" s="315"/>
      <c r="W106" s="1054"/>
    </row>
    <row r="107" spans="1:25" ht="12.75" customHeight="1">
      <c r="A107" s="8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 ht="12.75" customHeight="1">
      <c r="A108" s="8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-1198.9693577735279</v>
      </c>
      <c r="C111" s="296">
        <f t="shared" ref="C111:U111" si="31">C92</f>
        <v>-8494.2491400084073</v>
      </c>
      <c r="D111" s="296">
        <f t="shared" si="31"/>
        <v>-6725.6744084247339</v>
      </c>
      <c r="E111" s="296">
        <f t="shared" si="31"/>
        <v>7947.8231642425762</v>
      </c>
      <c r="F111" s="296">
        <f t="shared" si="31"/>
        <v>11282.246671364084</v>
      </c>
      <c r="G111" s="296">
        <f t="shared" si="31"/>
        <v>13276.31747284252</v>
      </c>
      <c r="H111" s="296">
        <f t="shared" si="31"/>
        <v>14720.573592752497</v>
      </c>
      <c r="I111" s="296">
        <f t="shared" si="31"/>
        <v>15633.192763017818</v>
      </c>
      <c r="J111" s="296">
        <f t="shared" si="31"/>
        <v>16705.203195168855</v>
      </c>
      <c r="K111" s="296">
        <f t="shared" si="31"/>
        <v>17816.252853807957</v>
      </c>
      <c r="L111" s="296">
        <f t="shared" si="31"/>
        <v>19244.041336623661</v>
      </c>
      <c r="M111" s="296">
        <f t="shared" si="31"/>
        <v>20716.876208502352</v>
      </c>
      <c r="N111" s="296">
        <f t="shared" si="31"/>
        <v>22274.011898220226</v>
      </c>
      <c r="O111" s="296">
        <f t="shared" si="31"/>
        <v>23790.306473308949</v>
      </c>
      <c r="P111" s="296">
        <f t="shared" si="31"/>
        <v>25308.514535532282</v>
      </c>
      <c r="Q111" s="296">
        <f t="shared" si="31"/>
        <v>31532.707548002767</v>
      </c>
      <c r="R111" s="296">
        <f t="shared" si="31"/>
        <v>37814.691121283475</v>
      </c>
      <c r="S111" s="296">
        <f t="shared" si="31"/>
        <v>39210.500256708765</v>
      </c>
      <c r="T111" s="296">
        <f t="shared" si="31"/>
        <v>40489.068673365888</v>
      </c>
      <c r="U111" s="296">
        <f t="shared" si="31"/>
        <v>41780.788668734924</v>
      </c>
      <c r="W111" s="1054">
        <f>SUM(B111:U111)</f>
        <v>383124.22352727293</v>
      </c>
      <c r="X111" s="1054">
        <f>W92</f>
        <v>383124.22352727293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Output'!$C$11*ENA_Allocation!$E$7*NewCo_IS!B13</f>
        <v>1597.9544714072404</v>
      </c>
      <c r="C113" s="296">
        <f>'NewCo_Summary Output'!$C$11*ENA_Allocation!$E$7*NewCo_IS!C13</f>
        <v>1645.8931055494575</v>
      </c>
      <c r="D113" s="296">
        <f>'NewCo_Summary Output'!$C$11*ENA_Allocation!$E$7*NewCo_IS!D13</f>
        <v>1695.2698987159413</v>
      </c>
      <c r="E113" s="296">
        <f>'NewCo_Summary Output'!$C$11*ENA_Allocation!$E$7*NewCo_IS!E13</f>
        <v>1746.1279956774197</v>
      </c>
      <c r="F113" s="296">
        <f>'NewCo_Summary Output'!$C$11*ENA_Allocation!$E$7*NewCo_IS!F13</f>
        <v>1798.5118355477423</v>
      </c>
      <c r="G113" s="296">
        <f>'NewCo_Summary Output'!$C$11*ENA_Allocation!$E$7*NewCo_IS!G13</f>
        <v>1852.4671906141746</v>
      </c>
      <c r="H113" s="296">
        <f>'NewCo_Summary Output'!$C$11*ENA_Allocation!$E$7*NewCo_IS!H13</f>
        <v>1908.0412063326</v>
      </c>
      <c r="I113" s="296">
        <f>'NewCo_Summary Output'!$C$11*ENA_Allocation!$E$7*NewCo_IS!I13</f>
        <v>1965.2824425225781</v>
      </c>
      <c r="J113" s="296">
        <f>'NewCo_Summary Output'!$C$11*ENA_Allocation!$E$7*NewCo_IS!J13</f>
        <v>2024.2409157982556</v>
      </c>
      <c r="K113" s="296">
        <f>'NewCo_Summary Output'!$C$11*ENA_Allocation!$E$7*NewCo_IS!K13</f>
        <v>2084.9681432722032</v>
      </c>
      <c r="L113" s="296">
        <f>'NewCo_Summary Output'!$C$11*ENA_Allocation!$E$7*NewCo_IS!L13</f>
        <v>2147.5171875703695</v>
      </c>
      <c r="M113" s="296">
        <f>'NewCo_Summary Output'!$C$11*ENA_Allocation!$E$7*NewCo_IS!M13</f>
        <v>2211.9427031974806</v>
      </c>
      <c r="N113" s="296">
        <f>'NewCo_Summary Output'!$C$11*ENA_Allocation!$E$7*NewCo_IS!N13</f>
        <v>2278.3009842934052</v>
      </c>
      <c r="O113" s="296">
        <f>'NewCo_Summary Output'!$C$11*ENA_Allocation!$E$7*NewCo_IS!O13</f>
        <v>2346.6500138222077</v>
      </c>
      <c r="P113" s="296">
        <f>'NewCo_Summary Output'!$C$11*ENA_Allocation!$E$7*NewCo_IS!P13</f>
        <v>2417.0495142368741</v>
      </c>
      <c r="Q113" s="296">
        <f>'NewCo_Summary Output'!$C$11*ENA_Allocation!$E$7*NewCo_IS!Q13</f>
        <v>2489.5609996639801</v>
      </c>
      <c r="R113" s="296">
        <f>'NewCo_Summary Output'!$C$11*ENA_Allocation!$E$7*NewCo_IS!R13</f>
        <v>2564.2478296538998</v>
      </c>
      <c r="S113" s="296">
        <f>'NewCo_Summary Output'!$C$11*ENA_Allocation!$E$7*NewCo_IS!S13</f>
        <v>2641.1752645435167</v>
      </c>
      <c r="T113" s="296">
        <f>'NewCo_Summary Output'!$C$11*ENA_Allocation!$E$7*NewCo_IS!T13</f>
        <v>2720.4105224798222</v>
      </c>
      <c r="U113" s="296">
        <f>'NewCo_Summary Output'!$C$11*ENA_Allocation!$E$7*NewCo_IS!U13</f>
        <v>2802.022838154217</v>
      </c>
      <c r="W113" s="1054">
        <f>SUM(B113:U113)</f>
        <v>42937.635063053393</v>
      </c>
      <c r="X113" s="1054">
        <f>NewCo_IS!X13*'NewCo_Summary Output'!C11*ENA_Allocation!E7</f>
        <v>42937.635063053385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-2796.9238291807683</v>
      </c>
      <c r="C115" s="296">
        <f t="shared" ref="C115:U115" si="32">C111-C113</f>
        <v>-10140.142245557865</v>
      </c>
      <c r="D115" s="296">
        <f t="shared" si="32"/>
        <v>-8420.9443071406749</v>
      </c>
      <c r="E115" s="296">
        <f t="shared" si="32"/>
        <v>6201.6951685651566</v>
      </c>
      <c r="F115" s="296">
        <f t="shared" si="32"/>
        <v>9483.7348358163417</v>
      </c>
      <c r="G115" s="296">
        <f t="shared" si="32"/>
        <v>11423.850282228346</v>
      </c>
      <c r="H115" s="296">
        <f t="shared" si="32"/>
        <v>12812.532386419896</v>
      </c>
      <c r="I115" s="296">
        <f t="shared" si="32"/>
        <v>13667.910320495241</v>
      </c>
      <c r="J115" s="296">
        <f t="shared" si="32"/>
        <v>14680.9622793706</v>
      </c>
      <c r="K115" s="296">
        <f t="shared" si="32"/>
        <v>15731.284710535754</v>
      </c>
      <c r="L115" s="296">
        <f t="shared" si="32"/>
        <v>17096.52414905329</v>
      </c>
      <c r="M115" s="296">
        <f t="shared" si="32"/>
        <v>18504.933505304871</v>
      </c>
      <c r="N115" s="296">
        <f t="shared" si="32"/>
        <v>19995.710913926821</v>
      </c>
      <c r="O115" s="296">
        <f t="shared" si="32"/>
        <v>21443.656459486741</v>
      </c>
      <c r="P115" s="296">
        <f t="shared" si="32"/>
        <v>22891.465021295407</v>
      </c>
      <c r="Q115" s="296">
        <f t="shared" si="32"/>
        <v>29043.146548338787</v>
      </c>
      <c r="R115" s="296">
        <f t="shared" si="32"/>
        <v>35250.443291629577</v>
      </c>
      <c r="S115" s="296">
        <f t="shared" si="32"/>
        <v>36569.324992165246</v>
      </c>
      <c r="T115" s="296">
        <f t="shared" si="32"/>
        <v>37768.658150886069</v>
      </c>
      <c r="U115" s="296">
        <f t="shared" si="32"/>
        <v>38978.765830580705</v>
      </c>
      <c r="W115" s="1054">
        <f>SUM(B115:U115)</f>
        <v>340186.58846421959</v>
      </c>
      <c r="X115" s="1054">
        <f>X111-X113</f>
        <v>340186.58846421953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-167.81542975084608</v>
      </c>
      <c r="C118" s="316">
        <f t="shared" ref="C118:U118" si="34">C115*C117</f>
        <v>-608.40853473347192</v>
      </c>
      <c r="D118" s="316">
        <f t="shared" si="34"/>
        <v>-505.25665842844046</v>
      </c>
      <c r="E118" s="316">
        <f t="shared" si="34"/>
        <v>372.10171011390941</v>
      </c>
      <c r="F118" s="316">
        <f t="shared" si="34"/>
        <v>569.02409014898046</v>
      </c>
      <c r="G118" s="316">
        <f t="shared" si="34"/>
        <v>685.43101693370079</v>
      </c>
      <c r="H118" s="316">
        <f t="shared" si="34"/>
        <v>768.7519431851938</v>
      </c>
      <c r="I118" s="316">
        <f t="shared" si="34"/>
        <v>820.07461922971436</v>
      </c>
      <c r="J118" s="316">
        <f t="shared" si="34"/>
        <v>880.85773676223596</v>
      </c>
      <c r="K118" s="316">
        <f t="shared" si="34"/>
        <v>943.87708263214518</v>
      </c>
      <c r="L118" s="316">
        <f t="shared" si="34"/>
        <v>1025.7914489431973</v>
      </c>
      <c r="M118" s="316">
        <f t="shared" si="34"/>
        <v>1110.2960103182922</v>
      </c>
      <c r="N118" s="316">
        <f t="shared" si="34"/>
        <v>1199.7426548356093</v>
      </c>
      <c r="O118" s="316">
        <f t="shared" si="34"/>
        <v>1286.6193875692045</v>
      </c>
      <c r="P118" s="316">
        <f t="shared" si="34"/>
        <v>1373.4879012777244</v>
      </c>
      <c r="Q118" s="316">
        <f t="shared" si="34"/>
        <v>1742.5887929003272</v>
      </c>
      <c r="R118" s="316">
        <f t="shared" si="34"/>
        <v>2115.0265974977747</v>
      </c>
      <c r="S118" s="316">
        <f t="shared" si="34"/>
        <v>2194.1594995299147</v>
      </c>
      <c r="T118" s="316">
        <f t="shared" si="34"/>
        <v>2266.1194890531642</v>
      </c>
      <c r="U118" s="316">
        <f t="shared" si="34"/>
        <v>2338.7259498348421</v>
      </c>
      <c r="W118" s="1054">
        <f>SUM(B118:U118)</f>
        <v>20411.195307853173</v>
      </c>
      <c r="X118" s="1054">
        <f>X115*U117</f>
        <v>20411.19530785317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Q120" si="35">B124</f>
        <v>167.81542975084608</v>
      </c>
      <c r="D120" s="316">
        <f t="shared" si="35"/>
        <v>776.223964484318</v>
      </c>
      <c r="E120" s="316">
        <f t="shared" si="35"/>
        <v>1281.4806229127585</v>
      </c>
      <c r="F120" s="316">
        <f t="shared" si="35"/>
        <v>909.37891279884911</v>
      </c>
      <c r="G120" s="316">
        <f t="shared" si="35"/>
        <v>340.35482264986865</v>
      </c>
      <c r="H120" s="316">
        <f t="shared" si="35"/>
        <v>0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 t="shared" si="35"/>
        <v>0</v>
      </c>
      <c r="O120" s="316">
        <f t="shared" si="35"/>
        <v>0</v>
      </c>
      <c r="P120" s="316">
        <f t="shared" si="35"/>
        <v>0</v>
      </c>
      <c r="Q120" s="316">
        <f t="shared" si="35"/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167.81542975084608</v>
      </c>
      <c r="C121" s="319">
        <f t="shared" si="36"/>
        <v>608.40853473347192</v>
      </c>
      <c r="D121" s="319">
        <f t="shared" si="36"/>
        <v>505.25665842844046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-372.10171011390941</v>
      </c>
      <c r="F123" s="330">
        <f t="shared" si="37"/>
        <v>-569.02409014898046</v>
      </c>
      <c r="G123" s="330">
        <f t="shared" si="37"/>
        <v>-340.35482264986865</v>
      </c>
      <c r="H123" s="330">
        <f t="shared" si="37"/>
        <v>0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167.81542975084608</v>
      </c>
      <c r="C124" s="330">
        <f t="shared" si="38"/>
        <v>776.223964484318</v>
      </c>
      <c r="D124" s="330">
        <f t="shared" si="38"/>
        <v>1281.4806229127585</v>
      </c>
      <c r="E124" s="330">
        <f t="shared" si="38"/>
        <v>909.37891279884911</v>
      </c>
      <c r="F124" s="330">
        <f t="shared" si="38"/>
        <v>340.35482264986865</v>
      </c>
      <c r="G124" s="330">
        <f t="shared" si="38"/>
        <v>0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345.07619428383214</v>
      </c>
      <c r="H126" s="635">
        <f>IF('NewCo_Summary Output'!$P$8=1,IF(H118&lt;0,0,H118+H123),H118)</f>
        <v>768.7519431851938</v>
      </c>
      <c r="I126" s="635">
        <f>IF('NewCo_Summary Output'!$P$8=1,IF(I118&lt;0,0,I118+I123),I118)</f>
        <v>820.07461922971436</v>
      </c>
      <c r="J126" s="635">
        <f>IF('NewCo_Summary Output'!$P$8=1,IF(J118&lt;0,0,J118+J123),J118)</f>
        <v>880.85773676223596</v>
      </c>
      <c r="K126" s="635">
        <f>IF('NewCo_Summary Output'!$P$8=1,IF(K118&lt;0,0,K118+K123),K118)</f>
        <v>943.87708263214518</v>
      </c>
      <c r="L126" s="635">
        <f>IF('NewCo_Summary Output'!$P$8=1,IF(L118&lt;0,0,L118+L123),L118)</f>
        <v>1025.7914489431973</v>
      </c>
      <c r="M126" s="635">
        <f>IF('NewCo_Summary Output'!$P$8=1,IF(M118&lt;0,0,M118+M123),M118)</f>
        <v>1110.2960103182922</v>
      </c>
      <c r="N126" s="635">
        <f>IF('NewCo_Summary Output'!$P$8=1,IF(N118&lt;0,0,N118+N123),N118)</f>
        <v>1199.7426548356093</v>
      </c>
      <c r="O126" s="635">
        <f>IF('NewCo_Summary Output'!$P$8=1,IF(O118&lt;0,0,O118+O123),O118)</f>
        <v>1286.6193875692045</v>
      </c>
      <c r="P126" s="635">
        <f>IF('NewCo_Summary Output'!$P$8=1,IF(P118&lt;0,0,P118+P123),P118)</f>
        <v>1373.4879012777244</v>
      </c>
      <c r="Q126" s="635">
        <f>IF('NewCo_Summary Output'!$P$8=1,IF(Q118&lt;0,0,Q118+Q123),Q118)</f>
        <v>1742.5887929003272</v>
      </c>
      <c r="R126" s="635">
        <f>IF('NewCo_Summary Output'!$P$8=1,IF(R118&lt;0,0,R118+R123),R118)</f>
        <v>2115.0265974977747</v>
      </c>
      <c r="S126" s="635">
        <f>IF('NewCo_Summary Output'!$P$8=1,IF(S118&lt;0,0,S118+S123),S118)</f>
        <v>2194.1594995299147</v>
      </c>
      <c r="T126" s="635">
        <f>IF('NewCo_Summary Output'!$P$8=1,IF(T118&lt;0,0,T118+T123),T118)</f>
        <v>2266.1194890531642</v>
      </c>
      <c r="U126" s="635">
        <f>IF('NewCo_Summary Output'!$P$8=1,IF(U118&lt;0,0,U118+U123),U118)</f>
        <v>2338.7259498348421</v>
      </c>
      <c r="W126" s="1054">
        <f>SUM(B126:U126)</f>
        <v>20411.195307853173</v>
      </c>
      <c r="X126" s="1054">
        <f>W118</f>
        <v>20411.195307853173</v>
      </c>
      <c r="Y126" s="1249">
        <f>W126-X126</f>
        <v>0</v>
      </c>
    </row>
    <row r="127" spans="1:25">
      <c r="A127" s="4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>
      <c r="A128" s="4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9468.4972468525648</v>
      </c>
      <c r="C131" s="93">
        <f t="shared" ref="C131:U131" si="39">C39</f>
        <v>9555.5459124310109</v>
      </c>
      <c r="D131" s="93">
        <f t="shared" si="39"/>
        <v>9765.629082809648</v>
      </c>
      <c r="E131" s="93">
        <f t="shared" si="39"/>
        <v>14927.728882687123</v>
      </c>
      <c r="F131" s="93">
        <f t="shared" si="39"/>
        <v>16998.953966516128</v>
      </c>
      <c r="G131" s="93">
        <f t="shared" si="39"/>
        <v>17844.662565001381</v>
      </c>
      <c r="H131" s="93">
        <f t="shared" si="39"/>
        <v>18747.547932071713</v>
      </c>
      <c r="I131" s="93">
        <f t="shared" si="39"/>
        <v>19676.572276665509</v>
      </c>
      <c r="J131" s="93">
        <f t="shared" si="39"/>
        <v>20732.177534488073</v>
      </c>
      <c r="K131" s="93">
        <f t="shared" si="39"/>
        <v>21859.632367455648</v>
      </c>
      <c r="L131" s="93">
        <f t="shared" si="39"/>
        <v>23271.015675942876</v>
      </c>
      <c r="M131" s="93">
        <f t="shared" si="39"/>
        <v>24760.255722150043</v>
      </c>
      <c r="N131" s="93">
        <f t="shared" si="39"/>
        <v>26300.98623753944</v>
      </c>
      <c r="O131" s="93">
        <f t="shared" si="39"/>
        <v>27833.68598695664</v>
      </c>
      <c r="P131" s="93">
        <f t="shared" si="39"/>
        <v>29335.488874851504</v>
      </c>
      <c r="Q131" s="93">
        <f t="shared" si="39"/>
        <v>30720.155460422142</v>
      </c>
      <c r="R131" s="93">
        <f t="shared" si="39"/>
        <v>32162.612606802999</v>
      </c>
      <c r="S131" s="93">
        <f t="shared" si="39"/>
        <v>33558.421742228289</v>
      </c>
      <c r="T131" s="93">
        <f t="shared" si="39"/>
        <v>34836.990158885412</v>
      </c>
      <c r="U131" s="93">
        <f t="shared" si="39"/>
        <v>36128.710154254448</v>
      </c>
      <c r="W131" s="1054">
        <f>SUM(B131:U131)</f>
        <v>458485.27038701263</v>
      </c>
      <c r="X131" s="1054">
        <f>W39</f>
        <v>458485.27038701263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1597.9544714072404</v>
      </c>
      <c r="C133" s="90">
        <f t="shared" ref="C133:U133" si="40">C113</f>
        <v>1645.8931055494575</v>
      </c>
      <c r="D133" s="90">
        <f t="shared" si="40"/>
        <v>1695.2698987159413</v>
      </c>
      <c r="E133" s="90">
        <f t="shared" si="40"/>
        <v>1746.1279956774197</v>
      </c>
      <c r="F133" s="90">
        <f t="shared" si="40"/>
        <v>1798.5118355477423</v>
      </c>
      <c r="G133" s="90">
        <f t="shared" si="40"/>
        <v>1852.4671906141746</v>
      </c>
      <c r="H133" s="90">
        <f t="shared" si="40"/>
        <v>1908.0412063326</v>
      </c>
      <c r="I133" s="90">
        <f t="shared" si="40"/>
        <v>1965.2824425225781</v>
      </c>
      <c r="J133" s="90">
        <f t="shared" si="40"/>
        <v>2024.2409157982556</v>
      </c>
      <c r="K133" s="90">
        <f t="shared" si="40"/>
        <v>2084.9681432722032</v>
      </c>
      <c r="L133" s="90">
        <f t="shared" si="40"/>
        <v>2147.5171875703695</v>
      </c>
      <c r="M133" s="90">
        <f t="shared" si="40"/>
        <v>2211.9427031974806</v>
      </c>
      <c r="N133" s="90">
        <f t="shared" si="40"/>
        <v>2278.3009842934052</v>
      </c>
      <c r="O133" s="90">
        <f t="shared" si="40"/>
        <v>2346.6500138222077</v>
      </c>
      <c r="P133" s="90">
        <f t="shared" si="40"/>
        <v>2417.0495142368741</v>
      </c>
      <c r="Q133" s="90">
        <f t="shared" si="40"/>
        <v>2489.5609996639801</v>
      </c>
      <c r="R133" s="90">
        <f t="shared" si="40"/>
        <v>2564.2478296538998</v>
      </c>
      <c r="S133" s="90">
        <f t="shared" si="40"/>
        <v>2641.1752645435167</v>
      </c>
      <c r="T133" s="90">
        <f t="shared" si="40"/>
        <v>2720.4105224798222</v>
      </c>
      <c r="U133" s="90">
        <f t="shared" si="40"/>
        <v>2802.022838154217</v>
      </c>
      <c r="W133" s="1054">
        <f>SUM(B133:U133)</f>
        <v>42937.635063053393</v>
      </c>
      <c r="X133" s="1054">
        <f>NewCo_IS!X13*'NewCo_Summary Output'!C11*ENA_Allocation!E7</f>
        <v>42937.635063053385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7870.5427754453249</v>
      </c>
      <c r="C135" s="93">
        <f t="shared" ref="C135:U135" si="41">C131-C133</f>
        <v>7909.6528068815533</v>
      </c>
      <c r="D135" s="93">
        <f t="shared" si="41"/>
        <v>8070.359184093707</v>
      </c>
      <c r="E135" s="93">
        <f t="shared" si="41"/>
        <v>13181.600887009703</v>
      </c>
      <c r="F135" s="93">
        <f t="shared" si="41"/>
        <v>15200.442130968386</v>
      </c>
      <c r="G135" s="93">
        <f t="shared" si="41"/>
        <v>15992.195374387207</v>
      </c>
      <c r="H135" s="93">
        <f t="shared" si="41"/>
        <v>16839.506725739113</v>
      </c>
      <c r="I135" s="93">
        <f t="shared" si="41"/>
        <v>17711.289834142932</v>
      </c>
      <c r="J135" s="93">
        <f t="shared" si="41"/>
        <v>18707.936618689819</v>
      </c>
      <c r="K135" s="93">
        <f t="shared" si="41"/>
        <v>19774.664224183445</v>
      </c>
      <c r="L135" s="93">
        <f t="shared" si="41"/>
        <v>21123.498488372505</v>
      </c>
      <c r="M135" s="93">
        <f t="shared" si="41"/>
        <v>22548.313018952562</v>
      </c>
      <c r="N135" s="93">
        <f t="shared" si="41"/>
        <v>24022.685253246036</v>
      </c>
      <c r="O135" s="93">
        <f t="shared" si="41"/>
        <v>25487.035973134432</v>
      </c>
      <c r="P135" s="93">
        <f t="shared" si="41"/>
        <v>26918.43936061463</v>
      </c>
      <c r="Q135" s="93">
        <f t="shared" si="41"/>
        <v>28230.594460758162</v>
      </c>
      <c r="R135" s="93">
        <f t="shared" si="41"/>
        <v>29598.364777149098</v>
      </c>
      <c r="S135" s="93">
        <f t="shared" si="41"/>
        <v>30917.246477684774</v>
      </c>
      <c r="T135" s="93">
        <f t="shared" si="41"/>
        <v>32116.57963640559</v>
      </c>
      <c r="U135" s="93">
        <f t="shared" si="41"/>
        <v>33326.68731610023</v>
      </c>
      <c r="W135" s="1054">
        <f>SUM(B135:U135)</f>
        <v>415547.63532395917</v>
      </c>
      <c r="X135" s="1054">
        <f>X131-X133</f>
        <v>415547.63532395923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>-B117*B135</f>
        <v>-472.23256652671949</v>
      </c>
      <c r="C137" s="90">
        <f t="shared" ref="C137:U137" si="42">-C117*C135</f>
        <v>-474.57916841289318</v>
      </c>
      <c r="D137" s="90">
        <f t="shared" si="42"/>
        <v>-484.22155104562239</v>
      </c>
      <c r="E137" s="90">
        <f t="shared" si="42"/>
        <v>-790.89605322058219</v>
      </c>
      <c r="F137" s="90">
        <f t="shared" si="42"/>
        <v>-912.02652785810312</v>
      </c>
      <c r="G137" s="90">
        <f t="shared" si="42"/>
        <v>-959.53172246323243</v>
      </c>
      <c r="H137" s="90">
        <f t="shared" si="42"/>
        <v>-1010.3704035443467</v>
      </c>
      <c r="I137" s="90">
        <f t="shared" si="42"/>
        <v>-1062.6773900485759</v>
      </c>
      <c r="J137" s="90">
        <f t="shared" si="42"/>
        <v>-1122.4761971213891</v>
      </c>
      <c r="K137" s="90">
        <f t="shared" si="42"/>
        <v>-1186.4798534510066</v>
      </c>
      <c r="L137" s="90">
        <f t="shared" si="42"/>
        <v>-1267.4099093023503</v>
      </c>
      <c r="M137" s="90">
        <f t="shared" si="42"/>
        <v>-1352.8987811371537</v>
      </c>
      <c r="N137" s="90">
        <f t="shared" si="42"/>
        <v>-1441.3611151947621</v>
      </c>
      <c r="O137" s="90">
        <f t="shared" si="42"/>
        <v>-1529.222158388066</v>
      </c>
      <c r="P137" s="90">
        <f t="shared" si="42"/>
        <v>-1615.1063616368776</v>
      </c>
      <c r="Q137" s="90">
        <f t="shared" si="42"/>
        <v>-1693.8356676454896</v>
      </c>
      <c r="R137" s="90">
        <f t="shared" si="42"/>
        <v>-1775.9018866289457</v>
      </c>
      <c r="S137" s="90">
        <f t="shared" si="42"/>
        <v>-1855.0347886610864</v>
      </c>
      <c r="T137" s="90">
        <f t="shared" si="42"/>
        <v>-1926.9947781843352</v>
      </c>
      <c r="U137" s="90">
        <f t="shared" si="42"/>
        <v>-1999.6012389660136</v>
      </c>
      <c r="W137" s="1054">
        <f>SUM(B137:U137)</f>
        <v>-24932.858119437555</v>
      </c>
      <c r="X137" s="1054">
        <f>-X135*U117</f>
        <v>-24932.858119437551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>
      <c r="A138" s="42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>
      <c r="A139" s="4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>
      <c r="A140" s="4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ht="15" customHeight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>
      <c r="A142" s="44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ht="14.25" customHeight="1">
      <c r="A143" s="44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>
      <c r="A145" s="44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>
      <c r="A146" s="46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>
      <c r="A147" s="46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>
      <c r="A148" s="46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>
      <c r="A150" s="8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>
      <c r="A151" s="8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ht="18.75">
      <c r="A153" s="1067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>
      <c r="A154" s="2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</row>
    <row r="155" spans="1:21">
      <c r="A155" s="2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</row>
    <row r="156" spans="1:2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>
      <c r="A158" s="3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>
      <c r="A160" s="43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>
      <c r="A163" s="31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>
      <c r="A169" s="31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>
      <c r="A171" s="31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>
      <c r="A172" s="44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>
      <c r="A174" s="44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>
      <c r="A177" s="42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>
      <c r="A179" s="42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>
      <c r="A182" s="43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>
      <c r="A183" s="43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>
      <c r="A185" s="43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>
      <c r="A186" s="44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>
      <c r="A187" s="1066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>
      <c r="A189" s="45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>
      <c r="A190" s="45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>
      <c r="A191" s="43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>
      <c r="A192" s="43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>
      <c r="A193" s="42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>
      <c r="A197" s="44"/>
      <c r="B197" s="31"/>
      <c r="C197" s="31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</row>
    <row r="198" spans="1:21">
      <c r="A198" s="44"/>
      <c r="B198" s="31"/>
      <c r="C198" s="31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</row>
    <row r="199" spans="1:21">
      <c r="A199" s="44"/>
      <c r="B199" s="31"/>
      <c r="C199" s="31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</row>
    <row r="200" spans="1:21">
      <c r="A200" s="44"/>
      <c r="B200" s="31"/>
      <c r="C200" s="31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</row>
    <row r="201" spans="1:21">
      <c r="A201" s="8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</row>
    <row r="202" spans="1:21">
      <c r="A202" s="8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</row>
    <row r="203" spans="1:21">
      <c r="A203" s="8"/>
      <c r="B203" s="8"/>
      <c r="C203" s="8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</row>
    <row r="204" spans="1:21" ht="18.75">
      <c r="A204" s="106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>
      <c r="A206" s="21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>
      <c r="A208" s="3"/>
      <c r="B208" s="11"/>
      <c r="C208" s="11"/>
      <c r="D208" s="11"/>
      <c r="E208" s="11"/>
      <c r="F208" s="11"/>
      <c r="G208" s="11"/>
      <c r="H208" s="11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>
      <c r="A209" s="21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>
      <c r="A215" s="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>
      <c r="A224" s="48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>
      <c r="A237" s="21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>
      <c r="A238" s="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>
      <c r="A239" s="21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>
      <c r="A242" s="48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>
      <c r="A243" s="48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>
      <c r="A244" s="4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>
      <c r="A245" s="48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>
      <c r="A247" s="21"/>
      <c r="B247" s="49"/>
      <c r="C247" s="49"/>
      <c r="D247" s="49"/>
      <c r="E247" s="49"/>
      <c r="F247" s="49"/>
      <c r="G247" s="49"/>
      <c r="H247" s="49"/>
      <c r="I247" s="8"/>
      <c r="J247" s="4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>
      <c r="A248" s="8"/>
      <c r="B248" s="49"/>
      <c r="C248" s="49"/>
      <c r="D248" s="49"/>
      <c r="E248" s="49"/>
      <c r="F248" s="49"/>
      <c r="G248" s="49"/>
      <c r="H248" s="49"/>
      <c r="I248" s="8"/>
      <c r="J248" s="4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>
      <c r="A249" s="21"/>
      <c r="B249" s="49"/>
      <c r="C249" s="49"/>
      <c r="D249" s="49"/>
      <c r="E249" s="49"/>
      <c r="F249" s="49"/>
      <c r="G249" s="49"/>
      <c r="H249" s="49"/>
      <c r="I249" s="8"/>
      <c r="J249" s="4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>
      <c r="A250" s="21"/>
      <c r="B250" s="49"/>
      <c r="C250" s="49"/>
      <c r="D250" s="49"/>
      <c r="E250" s="49"/>
      <c r="F250" s="49"/>
      <c r="G250" s="49"/>
      <c r="H250" s="49"/>
      <c r="I250" s="8"/>
      <c r="J250" s="4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>
      <c r="A252" s="21"/>
      <c r="B252" s="8"/>
      <c r="C252" s="24"/>
      <c r="D252" s="24"/>
      <c r="E252" s="24"/>
      <c r="F252" s="24"/>
      <c r="G252" s="24"/>
      <c r="H252" s="24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>
      <c r="A253" s="21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>
      <c r="A254" s="21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>
      <c r="A255" s="21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ht="18.75">
      <c r="A257" s="106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s="54" customFormat="1">
      <c r="A261" s="53"/>
    </row>
    <row r="262" spans="1:2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>
      <c r="A263" s="21"/>
      <c r="B263" s="8"/>
      <c r="C263" s="55"/>
      <c r="D263" s="55"/>
      <c r="E263" s="55"/>
      <c r="F263" s="55"/>
      <c r="G263" s="55"/>
      <c r="H263" s="55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>
      <c r="A264" s="21"/>
      <c r="B264" s="8"/>
      <c r="C264" s="55"/>
      <c r="D264" s="55"/>
      <c r="E264" s="55"/>
      <c r="F264" s="55"/>
      <c r="G264" s="55"/>
      <c r="H264" s="55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>
      <c r="A265" s="8"/>
      <c r="B265" s="8"/>
      <c r="C265" s="57"/>
      <c r="D265" s="57"/>
      <c r="E265" s="57"/>
      <c r="F265" s="57"/>
      <c r="G265" s="57"/>
      <c r="H265" s="57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>
      <c r="A268" s="59"/>
      <c r="B268" s="8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>
      <c r="A269" s="59"/>
      <c r="B269" s="8"/>
      <c r="C269" s="24"/>
      <c r="D269" s="24"/>
      <c r="E269" s="24"/>
      <c r="F269" s="24"/>
      <c r="G269" s="24"/>
      <c r="H269" s="24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>
      <c r="A270" s="59"/>
      <c r="B270" s="8"/>
      <c r="C270" s="24"/>
      <c r="D270" s="24"/>
      <c r="E270" s="24"/>
      <c r="F270" s="24"/>
      <c r="G270" s="24"/>
      <c r="H270" s="24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>
      <c r="A271" s="59"/>
      <c r="B271" s="8"/>
      <c r="C271" s="24"/>
      <c r="D271" s="24"/>
      <c r="E271" s="24"/>
      <c r="F271" s="24"/>
      <c r="G271" s="24"/>
      <c r="H271" s="2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>
      <c r="A273" s="21"/>
      <c r="B273" s="8"/>
      <c r="C273" s="60"/>
      <c r="D273" s="60"/>
      <c r="E273" s="60"/>
      <c r="F273" s="60"/>
      <c r="G273" s="60"/>
      <c r="H273" s="60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>
      <c r="A274" s="59"/>
      <c r="B274" s="8"/>
      <c r="C274" s="61"/>
      <c r="D274" s="61"/>
      <c r="E274" s="61"/>
      <c r="F274" s="61"/>
      <c r="G274" s="61"/>
      <c r="H274" s="61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>
      <c r="A275" s="59"/>
      <c r="B275" s="8"/>
      <c r="C275" s="61"/>
      <c r="D275" s="61"/>
      <c r="E275" s="61"/>
      <c r="F275" s="61"/>
      <c r="G275" s="61"/>
      <c r="H275" s="61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>
      <c r="A276" s="59"/>
      <c r="B276" s="8"/>
      <c r="C276" s="61"/>
      <c r="D276" s="61"/>
      <c r="E276" s="61"/>
      <c r="F276" s="61"/>
      <c r="G276" s="61"/>
      <c r="H276" s="61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>
      <c r="A277" s="59"/>
      <c r="B277" s="8"/>
      <c r="C277" s="61"/>
      <c r="D277" s="61"/>
      <c r="E277" s="61"/>
      <c r="F277" s="61"/>
      <c r="G277" s="61"/>
      <c r="H277" s="61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>
      <c r="A278" s="59"/>
      <c r="B278" s="8"/>
      <c r="C278" s="60"/>
      <c r="D278" s="60"/>
      <c r="E278" s="60"/>
      <c r="F278" s="60"/>
      <c r="G278" s="60"/>
      <c r="H278" s="60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>
      <c r="A280" s="8"/>
      <c r="B280" s="8"/>
      <c r="C280" s="24"/>
      <c r="D280" s="24"/>
      <c r="E280" s="24"/>
      <c r="F280" s="24"/>
      <c r="G280" s="24"/>
      <c r="H280" s="24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>
      <c r="A281" s="8"/>
      <c r="B281" s="8"/>
      <c r="C281" s="24"/>
      <c r="D281" s="24"/>
      <c r="E281" s="24"/>
      <c r="F281" s="24"/>
      <c r="G281" s="24"/>
      <c r="H281" s="24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>
      <c r="A282" s="8"/>
      <c r="B282" s="8"/>
      <c r="C282" s="24"/>
      <c r="D282" s="24"/>
      <c r="E282" s="24"/>
      <c r="F282" s="24"/>
      <c r="G282" s="24"/>
      <c r="H282" s="24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>
      <c r="A283" s="8"/>
      <c r="B283" s="62"/>
      <c r="C283" s="24"/>
      <c r="D283" s="24"/>
      <c r="E283" s="24"/>
      <c r="F283" s="24"/>
      <c r="G283" s="24"/>
      <c r="H283" s="24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>
      <c r="A287" s="59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>
      <c r="A288" s="59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>
      <c r="A289" s="59"/>
      <c r="B289" s="62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>
      <c r="A292" s="8"/>
      <c r="B292" s="8"/>
      <c r="C292" s="55"/>
      <c r="D292" s="55"/>
      <c r="E292" s="55"/>
      <c r="F292" s="55"/>
      <c r="G292" s="55"/>
      <c r="H292" s="55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>
      <c r="A293" s="8"/>
      <c r="B293" s="8"/>
      <c r="C293" s="55"/>
      <c r="D293" s="55"/>
      <c r="E293" s="55"/>
      <c r="F293" s="55"/>
      <c r="G293" s="55"/>
      <c r="H293" s="55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>
      <c r="A294" s="8"/>
      <c r="B294" s="8"/>
      <c r="C294" s="55"/>
      <c r="D294" s="55"/>
      <c r="E294" s="55"/>
      <c r="F294" s="55"/>
      <c r="G294" s="55"/>
      <c r="H294" s="55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>
      <c r="A295" s="8"/>
      <c r="B295" s="8"/>
      <c r="C295" s="55"/>
      <c r="D295" s="55"/>
      <c r="E295" s="55"/>
      <c r="F295" s="55"/>
      <c r="G295" s="55"/>
      <c r="H295" s="5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>
      <c r="A297" s="21"/>
      <c r="B297" s="63"/>
      <c r="C297" s="63"/>
      <c r="D297" s="63"/>
      <c r="E297" s="63"/>
      <c r="F297" s="63"/>
      <c r="G297" s="63"/>
      <c r="H297" s="6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>
      <c r="A298" s="21"/>
      <c r="B298" s="62"/>
      <c r="C298" s="63"/>
      <c r="D298" s="63"/>
      <c r="E298" s="63"/>
      <c r="F298" s="63"/>
      <c r="G298" s="63"/>
      <c r="H298" s="6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>
      <c r="A299" s="21"/>
      <c r="B299" s="63"/>
      <c r="C299" s="63"/>
      <c r="D299" s="63"/>
      <c r="E299" s="63"/>
      <c r="F299" s="63"/>
      <c r="G299" s="63"/>
      <c r="H299" s="6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>
      <c r="A300" s="21"/>
      <c r="B300" s="8"/>
      <c r="C300" s="63"/>
      <c r="D300" s="63"/>
      <c r="E300" s="63"/>
      <c r="F300" s="63"/>
      <c r="G300" s="63"/>
      <c r="H300" s="6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>
      <c r="A305" s="8"/>
      <c r="B305" s="8"/>
      <c r="C305" s="49"/>
      <c r="D305" s="49"/>
      <c r="E305" s="49"/>
      <c r="F305" s="49"/>
      <c r="G305" s="49"/>
      <c r="H305" s="49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1">
      <c r="A306" s="8"/>
      <c r="B306" s="8"/>
      <c r="C306" s="63"/>
      <c r="D306" s="63"/>
      <c r="E306" s="63"/>
      <c r="F306" s="63"/>
      <c r="G306" s="63"/>
      <c r="H306" s="6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1">
      <c r="A307" s="8"/>
      <c r="B307" s="8"/>
      <c r="C307" s="64"/>
      <c r="D307" s="64"/>
      <c r="E307" s="64"/>
      <c r="F307" s="64"/>
      <c r="G307" s="64"/>
      <c r="H307" s="64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1">
      <c r="A308" s="8"/>
      <c r="B308" s="8"/>
      <c r="C308" s="49"/>
      <c r="D308" s="49"/>
      <c r="E308" s="49"/>
      <c r="F308" s="49"/>
      <c r="G308" s="49"/>
      <c r="H308" s="49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1">
      <c r="A309" s="8"/>
      <c r="B309" s="8"/>
      <c r="C309" s="64"/>
      <c r="D309" s="64"/>
      <c r="E309" s="64"/>
      <c r="F309" s="64"/>
      <c r="G309" s="64"/>
      <c r="H309" s="64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1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1">
      <c r="A311" s="8"/>
      <c r="B311" s="8"/>
      <c r="C311" s="65"/>
      <c r="D311" s="65"/>
      <c r="E311" s="65"/>
      <c r="F311" s="65"/>
      <c r="G311" s="65"/>
      <c r="H311" s="65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1:21" ht="18.75" hidden="1" outlineLevel="1">
      <c r="A312" s="1067"/>
      <c r="B312" s="8"/>
      <c r="C312" s="65"/>
      <c r="D312" s="65"/>
      <c r="E312" s="65"/>
      <c r="F312" s="65"/>
      <c r="G312" s="65"/>
      <c r="H312" s="65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1" hidden="1" outlineLevel="1">
      <c r="A313" s="21"/>
      <c r="B313" s="8"/>
      <c r="C313" s="65"/>
      <c r="D313" s="65"/>
      <c r="E313" s="65"/>
      <c r="F313" s="65"/>
      <c r="G313" s="65"/>
      <c r="H313" s="65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1" hidden="1" outlineLevel="1">
      <c r="A314" s="8"/>
      <c r="B314" s="8"/>
      <c r="C314" s="65"/>
      <c r="D314" s="65"/>
      <c r="E314" s="65"/>
      <c r="F314" s="65"/>
      <c r="G314" s="65"/>
      <c r="H314" s="65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1" hidden="1" outlineLevel="1">
      <c r="A315" s="21"/>
      <c r="B315" s="13"/>
      <c r="C315" s="13"/>
      <c r="D315" s="12"/>
      <c r="E315" s="12"/>
      <c r="F315" s="13"/>
      <c r="G315" s="13"/>
      <c r="H315" s="12"/>
      <c r="I315" s="13"/>
      <c r="J315" s="13"/>
      <c r="K315" s="13"/>
      <c r="L315" s="12"/>
      <c r="M315" s="13"/>
      <c r="N315" s="13"/>
      <c r="O315" s="8"/>
      <c r="P315" s="8"/>
      <c r="Q315" s="8"/>
      <c r="R315" s="8"/>
      <c r="S315" s="8"/>
      <c r="T315" s="13"/>
      <c r="U315" s="8"/>
    </row>
    <row r="316" spans="1:21" hidden="1" outlineLevel="1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1" hidden="1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1" hidden="1" outlineLevel="1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8"/>
    </row>
    <row r="319" spans="1:21" hidden="1" outlineLevel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1" hidden="1" outlineLevel="1">
      <c r="A320" s="8"/>
      <c r="B320" s="63"/>
      <c r="C320" s="63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6" hidden="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6" hidden="1" outlineLevel="1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  <c r="V322" s="49"/>
      <c r="W322" s="49"/>
      <c r="X322" s="49"/>
      <c r="Y322" s="49"/>
      <c r="Z322" s="49"/>
    </row>
    <row r="323" spans="1:26" hidden="1" outlineLevel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6" hidden="1" outlineLevel="1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8"/>
    </row>
    <row r="325" spans="1:26" hidden="1" outlineLevel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6" hidden="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8"/>
      <c r="P326" s="8"/>
      <c r="Q326" s="8"/>
      <c r="R326" s="8"/>
      <c r="S326" s="8"/>
      <c r="T326" s="49"/>
      <c r="U326" s="49"/>
    </row>
    <row r="327" spans="1:26" hidden="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6" hidden="1" outlineLevel="1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8"/>
      <c r="P328" s="8"/>
      <c r="Q328" s="8"/>
      <c r="R328" s="8"/>
      <c r="S328" s="8"/>
      <c r="T328" s="49"/>
      <c r="U328" s="49"/>
    </row>
    <row r="329" spans="1:26" hidden="1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6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6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6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6" ht="18.75">
      <c r="A333" s="106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1:26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6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1:2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>
      <c r="A338" s="21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>
      <c r="A344" s="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>
      <c r="A345" s="21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>
      <c r="A353" s="48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>
      <c r="A364" s="48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>
      <c r="A365" s="48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>
      <c r="A368" s="21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>
      <c r="A369" s="21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>
      <c r="A371" s="48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>
      <c r="A372" s="48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>
      <c r="A373" s="4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>
      <c r="A374" s="48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>
      <c r="A375" s="3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>
      <c r="A377" s="8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</row>
    <row r="378" spans="1:21">
      <c r="A378" s="21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</row>
    <row r="379" spans="1:21">
      <c r="A379" s="21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</row>
    <row r="380" spans="1:21">
      <c r="A380" s="21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</row>
    <row r="381" spans="1:2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ht="18.75">
      <c r="A383" s="106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1:2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>
      <c r="A385" s="21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1:2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1:2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8"/>
      <c r="P387" s="8"/>
      <c r="Q387" s="8"/>
      <c r="R387" s="8"/>
      <c r="S387" s="8"/>
      <c r="T387" s="8"/>
      <c r="U387" s="8"/>
    </row>
    <row r="388" spans="1:21">
      <c r="A388" s="21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1:2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>
      <c r="A404" s="48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>
      <c r="A405" s="4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>
      <c r="A407" s="4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>
      <c r="A408" s="21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>
      <c r="A410" s="4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>
      <c r="A412" s="48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>
      <c r="A413" s="21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>
      <c r="A414" s="21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>
      <c r="A417" s="21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8"/>
      <c r="P417" s="8"/>
      <c r="Q417" s="8"/>
      <c r="R417" s="8"/>
      <c r="S417" s="8"/>
      <c r="T417" s="8"/>
      <c r="U417" s="8"/>
    </row>
    <row r="418" spans="1:21">
      <c r="A418" s="21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8"/>
      <c r="P418" s="8"/>
      <c r="Q418" s="8"/>
      <c r="R418" s="8"/>
      <c r="S418" s="8"/>
      <c r="T418" s="8"/>
      <c r="U418" s="8"/>
    </row>
    <row r="419" spans="1:21">
      <c r="A419" s="21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8"/>
      <c r="P419" s="8"/>
      <c r="Q419" s="8"/>
      <c r="R419" s="8"/>
      <c r="S419" s="8"/>
      <c r="T419" s="8"/>
      <c r="U419" s="8"/>
    </row>
    <row r="420" spans="1:21">
      <c r="A420" s="21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8"/>
      <c r="P420" s="8"/>
      <c r="Q420" s="8"/>
      <c r="R420" s="8"/>
      <c r="S420" s="8"/>
      <c r="T420" s="8"/>
      <c r="U420" s="8"/>
    </row>
    <row r="421" spans="1:2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>
      <c r="A422" s="8"/>
      <c r="B422" s="66"/>
      <c r="C422" s="66"/>
      <c r="D422"/>
      <c r="E422"/>
      <c r="F422"/>
      <c r="G422"/>
      <c r="H422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>
      <c r="A423" s="8"/>
      <c r="B423" s="66"/>
      <c r="C423" s="66"/>
      <c r="D423"/>
      <c r="E423"/>
      <c r="F423"/>
      <c r="G423"/>
      <c r="H423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>
      <c r="A424" s="8"/>
      <c r="B424" s="66"/>
      <c r="C424" s="66"/>
      <c r="D424"/>
      <c r="E424"/>
      <c r="F424"/>
      <c r="G424"/>
      <c r="H424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>
      <c r="A425" s="8"/>
      <c r="B425" s="66"/>
      <c r="C425" s="66"/>
      <c r="D425"/>
      <c r="E425"/>
      <c r="F425"/>
      <c r="G425"/>
      <c r="H425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>
      <c r="A426" s="8"/>
      <c r="B426" s="66"/>
      <c r="C426" s="66"/>
      <c r="D426"/>
      <c r="E426"/>
      <c r="F426"/>
      <c r="G426"/>
      <c r="H42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>
      <c r="A427" s="21"/>
      <c r="B427" s="66"/>
      <c r="C427" s="66"/>
      <c r="D427"/>
      <c r="E427"/>
      <c r="F427"/>
      <c r="G427"/>
      <c r="H427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>
      <c r="A430" s="21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>
      <c r="A431" s="21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spans="1:21">
      <c r="A436" s="8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spans="1:21">
      <c r="A437" s="8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spans="1:21">
      <c r="A438" s="8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spans="1:21">
      <c r="A439" s="8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>
      <c r="A440" s="21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8"/>
      <c r="P440" s="8"/>
      <c r="Q440" s="8"/>
      <c r="R440" s="8"/>
      <c r="S440" s="8"/>
      <c r="T440" s="8"/>
      <c r="U440" s="8"/>
    </row>
    <row r="441" spans="1:21">
      <c r="A441" s="21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8"/>
      <c r="P441" s="8"/>
      <c r="Q441" s="8"/>
      <c r="R441" s="8"/>
      <c r="S441" s="8"/>
      <c r="T441" s="8"/>
      <c r="U441" s="8"/>
    </row>
    <row r="442" spans="1:21">
      <c r="A442" s="21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8"/>
      <c r="P442" s="8"/>
      <c r="Q442" s="8"/>
      <c r="R442" s="8"/>
      <c r="S442" s="8"/>
      <c r="T442" s="8"/>
      <c r="U442" s="8"/>
    </row>
    <row r="443" spans="1:21">
      <c r="A443" s="21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8"/>
      <c r="P443" s="8"/>
      <c r="Q443" s="8"/>
      <c r="R443" s="8"/>
      <c r="S443" s="8"/>
      <c r="T443" s="8"/>
      <c r="U443" s="8"/>
    </row>
    <row r="444" spans="1:21">
      <c r="A444" s="21"/>
      <c r="B444" s="67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8"/>
      <c r="P444" s="8"/>
      <c r="Q444" s="8"/>
      <c r="R444" s="8"/>
      <c r="S444" s="8"/>
      <c r="T444" s="8"/>
      <c r="U444" s="8"/>
    </row>
    <row r="445" spans="1:2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ht="18.75">
      <c r="A446" s="106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:2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:2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>
      <c r="A452" s="21"/>
      <c r="B452" s="8"/>
      <c r="C452" s="35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8"/>
      <c r="P452" s="8"/>
      <c r="Q452" s="8"/>
      <c r="R452" s="8"/>
      <c r="S452" s="8"/>
      <c r="T452" s="8"/>
      <c r="U452" s="8"/>
    </row>
    <row r="453" spans="1:21">
      <c r="A453" s="8"/>
      <c r="B453" s="8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8"/>
      <c r="P453" s="8"/>
      <c r="Q453" s="8"/>
      <c r="R453" s="8"/>
      <c r="S453" s="8"/>
      <c r="T453" s="8"/>
      <c r="U453" s="8"/>
    </row>
    <row r="454" spans="1:21">
      <c r="A454" s="8"/>
      <c r="B454" s="8"/>
      <c r="C454" s="35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8"/>
      <c r="P454" s="8"/>
      <c r="Q454" s="8"/>
      <c r="R454" s="8"/>
      <c r="S454" s="8"/>
      <c r="T454" s="8"/>
      <c r="U454" s="8"/>
    </row>
    <row r="455" spans="1:21">
      <c r="A455" s="8"/>
      <c r="B455" s="8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8"/>
      <c r="P455" s="8"/>
      <c r="Q455" s="8"/>
      <c r="R455" s="8"/>
      <c r="S455" s="8"/>
      <c r="T455" s="8"/>
      <c r="U455" s="8"/>
    </row>
    <row r="456" spans="1:21">
      <c r="A456" s="8"/>
      <c r="B456" s="8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8"/>
      <c r="P456" s="8"/>
      <c r="Q456" s="8"/>
      <c r="R456" s="8"/>
      <c r="S456" s="8"/>
      <c r="T456" s="8"/>
      <c r="U456" s="8"/>
    </row>
    <row r="457" spans="1:21">
      <c r="A457" s="59"/>
      <c r="B457" s="8"/>
      <c r="C457" s="35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8"/>
      <c r="P457" s="8"/>
      <c r="Q457" s="8"/>
      <c r="R457" s="8"/>
      <c r="S457" s="8"/>
      <c r="T457" s="8"/>
      <c r="U457" s="8"/>
    </row>
    <row r="458" spans="1:21">
      <c r="A458" s="59"/>
      <c r="B458" s="8"/>
      <c r="C458" s="35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8"/>
      <c r="P458" s="8"/>
      <c r="Q458" s="8"/>
      <c r="R458" s="8"/>
      <c r="S458" s="8"/>
      <c r="T458" s="8"/>
      <c r="U458" s="8"/>
    </row>
    <row r="459" spans="1:21">
      <c r="A459" s="21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:21">
      <c r="A460" s="8"/>
      <c r="B460" s="67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8"/>
      <c r="P460" s="8"/>
      <c r="Q460" s="8"/>
      <c r="R460" s="8"/>
      <c r="S460" s="8"/>
      <c r="T460" s="8"/>
      <c r="U460" s="8"/>
    </row>
    <row r="461" spans="1:2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>
      <c r="A462" s="21"/>
      <c r="B462" s="8"/>
      <c r="C462" s="35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8"/>
      <c r="P462" s="8"/>
      <c r="Q462" s="8"/>
      <c r="R462" s="8"/>
      <c r="S462" s="8"/>
      <c r="T462" s="8"/>
      <c r="U462" s="8"/>
    </row>
    <row r="463" spans="1:21">
      <c r="A463" s="8"/>
      <c r="B463" s="8"/>
      <c r="C463" s="35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8"/>
      <c r="P463" s="8"/>
      <c r="Q463" s="8"/>
      <c r="R463" s="8"/>
      <c r="S463" s="8"/>
      <c r="T463" s="8"/>
      <c r="U463" s="8"/>
    </row>
    <row r="464" spans="1:21">
      <c r="A464" s="21"/>
      <c r="B464" s="8"/>
      <c r="C464" s="35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8"/>
      <c r="P464" s="8"/>
      <c r="Q464" s="8"/>
      <c r="R464" s="8"/>
      <c r="S464" s="8"/>
      <c r="T464" s="8"/>
      <c r="U464" s="8"/>
    </row>
    <row r="465" spans="1:2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:2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:21" s="71" customFormat="1" ht="18.75">
      <c r="A467" s="1069"/>
      <c r="B467" s="70"/>
      <c r="C467" s="70"/>
    </row>
    <row r="468" spans="1:21" s="71" customFormat="1">
      <c r="A468" s="70"/>
      <c r="B468" s="72"/>
      <c r="C468" s="73"/>
      <c r="D468" s="70"/>
      <c r="E468" s="74"/>
    </row>
    <row r="469" spans="1:21" s="71" customFormat="1">
      <c r="A469" s="70"/>
      <c r="B469" s="75"/>
      <c r="C469" s="51"/>
      <c r="D469" s="51"/>
      <c r="E469" s="74"/>
    </row>
    <row r="470" spans="1:21" s="71" customFormat="1">
      <c r="A470" s="70"/>
      <c r="B470" s="51"/>
      <c r="C470" s="74"/>
      <c r="D470" s="51"/>
      <c r="E470" s="75"/>
    </row>
    <row r="471" spans="1:21" s="71" customFormat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spans="1:21" s="71" customFormat="1">
      <c r="A472" s="44"/>
      <c r="B472" s="70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>
      <c r="A473" s="43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>
      <c r="A474" s="43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>
      <c r="A475" s="43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>
      <c r="A476" s="42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>
      <c r="A477" s="3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>
      <c r="A480" s="80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>
      <c r="A484" s="46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>
      <c r="A486" s="80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>
      <c r="A487" s="80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>
      <c r="A488" s="80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>
      <c r="A489" s="80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>
      <c r="A490" s="44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>
      <c r="A493" s="44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>
      <c r="A495" s="43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>
      <c r="A496" s="44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>
      <c r="A497" s="45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s="71" customFormat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ht="13.9" customHeight="1">
      <c r="A499" s="42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1071" customFormat="1">
      <c r="A500" s="1070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>
      <c r="A502" s="43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>
      <c r="A503" s="43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>
      <c r="A504" s="43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>
      <c r="A505" s="43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1071" customFormat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71" customFormat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71" customFormat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>
      <c r="A516"/>
      <c r="B516"/>
      <c r="C516"/>
      <c r="D516"/>
      <c r="E516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1071" customFormat="1">
      <c r="A517"/>
      <c r="B517"/>
      <c r="C517"/>
      <c r="D517"/>
      <c r="E51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s="1071" customFormat="1">
      <c r="A519" s="1072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</row>
    <row r="520" spans="1:21" s="71" customFormat="1">
      <c r="A520" s="44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</row>
    <row r="521" spans="1:21" s="71" customFormat="1">
      <c r="A521" s="44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</row>
    <row r="522" spans="1:21" s="71" customFormat="1">
      <c r="A522" s="44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</row>
    <row r="523" spans="1:2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t="18.75">
      <c r="A526" s="106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7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3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1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1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1">
      <c r="A533" s="4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1">
      <c r="A534" s="8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1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1">
      <c r="A536" s="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1">
      <c r="A537" s="21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1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1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1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1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1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1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1">
      <c r="A544" s="4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1">
      <c r="A545" s="4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1">
      <c r="A546" s="4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1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1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1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1">
      <c r="A550" s="8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1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hidden="1" outlineLevel="1">
      <c r="A552" s="8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hidden="1" outlineLevel="1">
      <c r="A553" s="8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hidden="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hidden="1" outlineLevel="1">
      <c r="A555" s="4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collapsed="1">
      <c r="A556" s="21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21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21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21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21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49"/>
      <c r="E566" s="49"/>
      <c r="F566" s="49"/>
      <c r="G566" s="49"/>
      <c r="H566" s="49"/>
      <c r="I566" s="49"/>
      <c r="J566" s="49"/>
      <c r="K566" s="49"/>
      <c r="L566" s="49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49"/>
      <c r="E567" s="49"/>
      <c r="F567" s="49"/>
      <c r="G567" s="49"/>
      <c r="H567" s="49"/>
      <c r="I567" s="49"/>
      <c r="J567" s="49"/>
      <c r="K567" s="49"/>
      <c r="L567" s="49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49"/>
      <c r="E568" s="49"/>
      <c r="F568" s="49"/>
      <c r="G568" s="49"/>
      <c r="H568" s="49"/>
      <c r="I568" s="49"/>
      <c r="J568" s="49"/>
      <c r="K568" s="49"/>
      <c r="L568" s="49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49"/>
      <c r="E569" s="49"/>
      <c r="F569" s="49"/>
      <c r="G569" s="49"/>
      <c r="H569" s="49"/>
      <c r="I569" s="49"/>
      <c r="J569" s="49"/>
      <c r="K569" s="49"/>
      <c r="L569" s="49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10.2851562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>Brownsville!C5</f>
        <v>2002</v>
      </c>
      <c r="D5" s="9">
        <f>Brownsville!D5</f>
        <v>2003</v>
      </c>
      <c r="E5" s="9">
        <f>Brownsville!E5</f>
        <v>2004</v>
      </c>
      <c r="F5" s="9">
        <f>Brownsville!F5</f>
        <v>2005</v>
      </c>
      <c r="G5" s="9">
        <f>Brownsville!G5</f>
        <v>2006</v>
      </c>
      <c r="H5" s="9">
        <f>Brownsville!H5</f>
        <v>2007</v>
      </c>
      <c r="I5" s="9">
        <f>Brownsville!I5</f>
        <v>2008</v>
      </c>
      <c r="J5" s="9">
        <f>Brownsville!J5</f>
        <v>2009</v>
      </c>
      <c r="K5" s="9">
        <f>Brownsville!K5</f>
        <v>2010</v>
      </c>
      <c r="L5" s="9">
        <f>Brownsville!L5</f>
        <v>2011</v>
      </c>
      <c r="M5" s="9">
        <f>Brownsville!M5</f>
        <v>2012</v>
      </c>
      <c r="N5" s="9">
        <f>Brownsville!N5</f>
        <v>2013</v>
      </c>
      <c r="O5" s="9">
        <f>Brownsville!O5</f>
        <v>2014</v>
      </c>
      <c r="P5" s="9">
        <f>Brownsville!P5</f>
        <v>2015</v>
      </c>
      <c r="Q5" s="9">
        <f>Brownsville!Q5</f>
        <v>2016</v>
      </c>
      <c r="R5" s="9">
        <f>Brownsville!R5</f>
        <v>2017</v>
      </c>
      <c r="S5" s="9">
        <f>Brownsville!S5</f>
        <v>2018</v>
      </c>
      <c r="T5" s="9">
        <f>Brownsville!T5</f>
        <v>2019</v>
      </c>
      <c r="U5" s="9">
        <f>Brownsville!U5</f>
        <v>2020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1023.9638619031831</v>
      </c>
      <c r="AA7" s="950">
        <f>C10+C11</f>
        <v>1054.6827777602787</v>
      </c>
      <c r="AB7" s="950">
        <f>D10+D11</f>
        <v>1086.323261093087</v>
      </c>
      <c r="AC7" s="950">
        <f t="shared" ref="AC7:AS7" si="0">E16</f>
        <v>781.26031592587947</v>
      </c>
      <c r="AD7" s="950">
        <f t="shared" si="0"/>
        <v>804.69812540365581</v>
      </c>
      <c r="AE7" s="950">
        <f t="shared" si="0"/>
        <v>828.83906916576552</v>
      </c>
      <c r="AF7" s="950">
        <f t="shared" si="0"/>
        <v>853.70424124073861</v>
      </c>
      <c r="AG7" s="950">
        <f t="shared" si="0"/>
        <v>879.31536847796065</v>
      </c>
      <c r="AH7" s="950">
        <f t="shared" si="0"/>
        <v>905.69482953229942</v>
      </c>
      <c r="AI7" s="950">
        <f t="shared" si="0"/>
        <v>932.86567441826844</v>
      </c>
      <c r="AJ7" s="950">
        <f t="shared" si="0"/>
        <v>960.85164465081652</v>
      </c>
      <c r="AK7" s="950">
        <f t="shared" si="0"/>
        <v>989.67719399034092</v>
      </c>
      <c r="AL7" s="950">
        <f t="shared" si="0"/>
        <v>1019.3675098100509</v>
      </c>
      <c r="AM7" s="950">
        <f t="shared" si="0"/>
        <v>1049.9485351043527</v>
      </c>
      <c r="AN7" s="950">
        <f t="shared" si="0"/>
        <v>1081.4469911574834</v>
      </c>
      <c r="AO7" s="950">
        <f t="shared" si="0"/>
        <v>1113.8904008922077</v>
      </c>
      <c r="AP7" s="950">
        <f t="shared" si="0"/>
        <v>1147.3071129189739</v>
      </c>
      <c r="AQ7" s="950">
        <f t="shared" si="0"/>
        <v>1181.7263263065431</v>
      </c>
      <c r="AR7" s="950">
        <f t="shared" si="0"/>
        <v>1217.1781160957394</v>
      </c>
      <c r="AS7" s="950">
        <f t="shared" si="0"/>
        <v>1253.6934595786115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1023.9638619031831</v>
      </c>
      <c r="AA8" s="1048">
        <f>C23+C24</f>
        <v>1054.6827777602787</v>
      </c>
      <c r="AB8" s="1048">
        <f>D23+D24</f>
        <v>1086.323261093087</v>
      </c>
      <c r="AC8" s="1048">
        <f t="shared" ref="AC8:AS8" si="1">E23+1/3*E24</f>
        <v>781.26031592587947</v>
      </c>
      <c r="AD8" s="1048">
        <f t="shared" si="1"/>
        <v>804.69812540365592</v>
      </c>
      <c r="AE8" s="1048">
        <f t="shared" si="1"/>
        <v>828.83906916576552</v>
      </c>
      <c r="AF8" s="1048">
        <f t="shared" si="1"/>
        <v>853.70424124073861</v>
      </c>
      <c r="AG8" s="1048">
        <f t="shared" si="1"/>
        <v>879.31536847796076</v>
      </c>
      <c r="AH8" s="1048">
        <f t="shared" si="1"/>
        <v>905.69482953229954</v>
      </c>
      <c r="AI8" s="1048">
        <f t="shared" si="1"/>
        <v>932.86567441826855</v>
      </c>
      <c r="AJ8" s="1048">
        <f t="shared" si="1"/>
        <v>960.85164465081652</v>
      </c>
      <c r="AK8" s="1048">
        <f t="shared" si="1"/>
        <v>989.67719399034104</v>
      </c>
      <c r="AL8" s="1048">
        <f t="shared" si="1"/>
        <v>1019.3675098100512</v>
      </c>
      <c r="AM8" s="1048">
        <f t="shared" si="1"/>
        <v>1049.9485351043529</v>
      </c>
      <c r="AN8" s="1048">
        <f t="shared" si="1"/>
        <v>1081.4469911574836</v>
      </c>
      <c r="AO8" s="1048">
        <f t="shared" si="1"/>
        <v>1113.8904008922077</v>
      </c>
      <c r="AP8" s="1048">
        <f t="shared" si="1"/>
        <v>1147.3071129189741</v>
      </c>
      <c r="AQ8" s="1048">
        <f t="shared" si="1"/>
        <v>1181.7263263065433</v>
      </c>
      <c r="AR8" s="1048">
        <f t="shared" si="1"/>
        <v>1217.1781160957396</v>
      </c>
      <c r="AS8" s="1048">
        <f t="shared" si="1"/>
        <v>1253.6934595786117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Assumption'!C27*12*ENA_Assumptions!$D$9</f>
        <v>22368</v>
      </c>
      <c r="C9" s="20">
        <f>'ENA_Power Price Assumption'!D27*12*ENA_Assumptions!$D$9</f>
        <v>22368</v>
      </c>
      <c r="D9" s="20">
        <f>'ENA_Power Price Assumption'!E27*12*ENA_Assumptions!$D$9</f>
        <v>22368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67104</v>
      </c>
      <c r="X9" s="271"/>
      <c r="Y9" s="949"/>
      <c r="Z9" s="951">
        <f>Z7-Z8</f>
        <v>0</v>
      </c>
      <c r="AA9" s="951">
        <f t="shared" ref="AA9:AS9" si="2">AA7-AA8</f>
        <v>0</v>
      </c>
      <c r="AB9" s="951">
        <f t="shared" si="2"/>
        <v>0</v>
      </c>
      <c r="AC9" s="951">
        <f t="shared" si="2"/>
        <v>0</v>
      </c>
      <c r="AD9" s="951">
        <f t="shared" si="2"/>
        <v>0</v>
      </c>
      <c r="AE9" s="951">
        <f t="shared" si="2"/>
        <v>0</v>
      </c>
      <c r="AF9" s="951">
        <f t="shared" si="2"/>
        <v>0</v>
      </c>
      <c r="AG9" s="951">
        <f t="shared" si="2"/>
        <v>0</v>
      </c>
      <c r="AH9" s="951">
        <f t="shared" si="2"/>
        <v>0</v>
      </c>
      <c r="AI9" s="951">
        <f t="shared" si="2"/>
        <v>0</v>
      </c>
      <c r="AJ9" s="951">
        <f t="shared" si="2"/>
        <v>0</v>
      </c>
      <c r="AK9" s="951">
        <f t="shared" si="2"/>
        <v>0</v>
      </c>
      <c r="AL9" s="951">
        <f t="shared" si="2"/>
        <v>0</v>
      </c>
      <c r="AM9" s="951">
        <f t="shared" si="2"/>
        <v>0</v>
      </c>
      <c r="AN9" s="951">
        <f t="shared" si="2"/>
        <v>0</v>
      </c>
      <c r="AO9" s="951">
        <f t="shared" si="2"/>
        <v>0</v>
      </c>
      <c r="AP9" s="951">
        <f t="shared" si="2"/>
        <v>0</v>
      </c>
      <c r="AQ9" s="951">
        <f t="shared" si="2"/>
        <v>0</v>
      </c>
      <c r="AR9" s="951">
        <f t="shared" si="2"/>
        <v>0</v>
      </c>
      <c r="AS9" s="951">
        <f t="shared" si="2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ENA_Assumptions!D20*ENA_Assumptions!D18/1000*(1+ENA_Assumptions!$D$26)</f>
        <v>560.4638619031831</v>
      </c>
      <c r="C10" s="20">
        <f>B10*(1+ENA_Assumptions!$D$26)</f>
        <v>577.27777776027858</v>
      </c>
      <c r="D10" s="20">
        <f>C10*(1+ENA_Assumptions!$D$26)</f>
        <v>594.59611109308696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1732.3377507565488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ENA_Assumptions!$D$19*ENA_Assumptions!$D$11*ENA_Assumptions!$D$8/1000*(1+ENA_Assumptions!$D$26)</f>
        <v>463.5</v>
      </c>
      <c r="C11" s="55">
        <f>B11*(1+ENA_Assumptions!$D$26)</f>
        <v>477.40500000000003</v>
      </c>
      <c r="D11" s="55">
        <f>C11*(1+ENA_Assumptions!$D$26)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Contract'!$C$17/3</f>
        <v>8258.7388798454285</v>
      </c>
      <c r="C12" s="90">
        <f>'Amortization of Power Contract'!$C$17/3</f>
        <v>8258.7388798454285</v>
      </c>
      <c r="D12" s="90">
        <f>'Amortization of Power Contract'!$C$17/3</f>
        <v>8258.7388798454285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24776.216639536287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Assumption'!F27*ENA_Assumptions!$D$9*12</f>
        <v>35899.195851846322</v>
      </c>
      <c r="F15" s="295">
        <f>'ENA_Power Price Assumption'!G27*ENA_Assumptions!$D$9*12</f>
        <v>37679.306973852152</v>
      </c>
      <c r="G15" s="295">
        <f>'ENA_Power Price Assumption'!H27*ENA_Assumptions!$D$9*12</f>
        <v>38162.495338976369</v>
      </c>
      <c r="H15" s="295">
        <f>'ENA_Power Price Assumption'!I27*ENA_Assumptions!$D$9*12</f>
        <v>38651.879969768488</v>
      </c>
      <c r="I15" s="295">
        <f>'ENA_Power Price Assumption'!J27*ENA_Assumptions!$D$9*12</f>
        <v>39147.540325319365</v>
      </c>
      <c r="J15" s="295">
        <f>'ENA_Power Price Assumption'!K27*ENA_Assumptions!$D$9*12</f>
        <v>39649.556883679979</v>
      </c>
      <c r="K15" s="295">
        <f>'ENA_Power Price Assumption'!L27*ENA_Assumptions!$D$9*12</f>
        <v>40158.011154928136</v>
      </c>
      <c r="L15" s="295">
        <f>'ENA_Power Price Assumption'!M27*ENA_Assumptions!$D$9*12</f>
        <v>40917.887274189954</v>
      </c>
      <c r="M15" s="295">
        <f>'ENA_Power Price Assumption'!N27*ENA_Assumptions!$D$9*12</f>
        <v>41692.141887306876</v>
      </c>
      <c r="N15" s="295">
        <f>'ENA_Power Price Assumption'!O27*ENA_Assumptions!$D$9*12</f>
        <v>42481.047066371051</v>
      </c>
      <c r="O15" s="295">
        <f>'ENA_Power Price Assumption'!P27*ENA_Assumptions!$D$9*12</f>
        <v>43284.880031664965</v>
      </c>
      <c r="P15" s="295">
        <f>'ENA_Power Price Assumption'!Q27*ENA_Assumptions!$D$9*12</f>
        <v>44103.923249076368</v>
      </c>
      <c r="Q15" s="295">
        <f>'ENA_Power Price Assumption'!R27*ENA_Assumptions!$D$9*12</f>
        <v>44733.17225805152</v>
      </c>
      <c r="R15" s="295">
        <f>'ENA_Power Price Assumption'!S27*ENA_Assumptions!$D$9*12</f>
        <v>45371.399024244776</v>
      </c>
      <c r="S15" s="295">
        <f>'ENA_Power Price Assumption'!T27*ENA_Assumptions!$D$9*12</f>
        <v>46018.731637050834</v>
      </c>
      <c r="T15" s="295">
        <f>'ENA_Power Price Assumption'!U27*ENA_Assumptions!$D$9*12</f>
        <v>46675.300013369</v>
      </c>
      <c r="U15" s="295">
        <f>'ENA_Power Price Assumption'!V27*ENA_Assumptions!$D$9*12</f>
        <v>47341.235923677086</v>
      </c>
      <c r="W15" s="55">
        <f>SUM(B15:U15)</f>
        <v>711967.70486337319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1/3*ENA_Assumptions!$D$19*ENA_Assumptions!$D$11*ENA_Assumptions!$D$8/1000*(1+ENA_Assumptions!$D$26)^(E5-2000)+ENA_Assumptions!$D$20*ENA_Assumptions!$D$18*(1+ENA_Assumptions!$D$26)^(E5-2000)/1000</f>
        <v>781.26031592587947</v>
      </c>
      <c r="F16" s="90">
        <f>1/3*ENA_Assumptions!$D$19*ENA_Assumptions!$D$11*ENA_Assumptions!$D$8/1000*(1+ENA_Assumptions!$D$26)^(F5-2000)+ENA_Assumptions!$D$20*ENA_Assumptions!$D$18*(1+ENA_Assumptions!$D$26)^(F5-2000)/1000</f>
        <v>804.69812540365581</v>
      </c>
      <c r="G16" s="90">
        <f>1/3*ENA_Assumptions!$D$19*ENA_Assumptions!$D$11*ENA_Assumptions!$D$8/1000*(1+ENA_Assumptions!$D$26)^(G5-2000)+ENA_Assumptions!$D$20*ENA_Assumptions!$D$18*(1+ENA_Assumptions!$D$26)^(G5-2000)/1000</f>
        <v>828.83906916576552</v>
      </c>
      <c r="H16" s="90">
        <f>1/3*ENA_Assumptions!$D$19*ENA_Assumptions!$D$11*ENA_Assumptions!$D$8/1000*(1+ENA_Assumptions!$D$26)^(H5-2000)+ENA_Assumptions!$D$20*ENA_Assumptions!$D$18*(1+ENA_Assumptions!$D$26)^(H5-2000)/1000</f>
        <v>853.70424124073861</v>
      </c>
      <c r="I16" s="90">
        <f>1/3*ENA_Assumptions!$D$19*ENA_Assumptions!$D$11*ENA_Assumptions!$D$8/1000*(1+ENA_Assumptions!$D$26)^(I5-2000)+ENA_Assumptions!$D$20*ENA_Assumptions!$D$18*(1+ENA_Assumptions!$D$26)^(I5-2000)/1000</f>
        <v>879.31536847796065</v>
      </c>
      <c r="J16" s="90">
        <f>1/3*ENA_Assumptions!$D$19*ENA_Assumptions!$D$11*ENA_Assumptions!$D$8/1000*(1+ENA_Assumptions!$D$26)^(J5-2000)+ENA_Assumptions!$D$20*ENA_Assumptions!$D$18*(1+ENA_Assumptions!$D$26)^(J5-2000)/1000</f>
        <v>905.69482953229942</v>
      </c>
      <c r="K16" s="90">
        <f>1/3*ENA_Assumptions!$D$19*ENA_Assumptions!$D$11*ENA_Assumptions!$D$8/1000*(1+ENA_Assumptions!$D$26)^(K5-2000)+ENA_Assumptions!$D$20*ENA_Assumptions!$D$18*(1+ENA_Assumptions!$D$26)^(K5-2000)/1000</f>
        <v>932.86567441826844</v>
      </c>
      <c r="L16" s="90">
        <f>1/3*ENA_Assumptions!$D$19*ENA_Assumptions!$D$11*ENA_Assumptions!$D$8/1000*(1+ENA_Assumptions!$D$26)^(L5-2000)+ENA_Assumptions!$D$20*ENA_Assumptions!$D$18*(1+ENA_Assumptions!$D$26)^(L5-2000)/1000</f>
        <v>960.85164465081652</v>
      </c>
      <c r="M16" s="90">
        <f>1/3*ENA_Assumptions!$D$19*ENA_Assumptions!$D$11*ENA_Assumptions!$D$8/1000*(1+ENA_Assumptions!$D$26)^(M5-2000)+ENA_Assumptions!$D$20*ENA_Assumptions!$D$18*(1+ENA_Assumptions!$D$26)^(M5-2000)/1000</f>
        <v>989.67719399034092</v>
      </c>
      <c r="N16" s="90">
        <f>1/3*ENA_Assumptions!$D$19*ENA_Assumptions!$D$11*ENA_Assumptions!$D$8/1000*(1+ENA_Assumptions!$D$26)^(N5-2000)+ENA_Assumptions!$D$20*ENA_Assumptions!$D$18*(1+ENA_Assumptions!$D$26)^(N5-2000)/1000</f>
        <v>1019.3675098100509</v>
      </c>
      <c r="O16" s="90">
        <f>1/3*ENA_Assumptions!$D$19*ENA_Assumptions!$D$11*ENA_Assumptions!$D$8/1000*(1+ENA_Assumptions!$D$26)^(O5-2000)+ENA_Assumptions!$D$20*ENA_Assumptions!$D$18*(1+ENA_Assumptions!$D$26)^(O5-2000)/1000</f>
        <v>1049.9485351043527</v>
      </c>
      <c r="P16" s="90">
        <f>1/3*ENA_Assumptions!$D$19*ENA_Assumptions!$D$11*ENA_Assumptions!$D$8/1000*(1+ENA_Assumptions!$D$26)^(P5-2000)+ENA_Assumptions!$D$20*ENA_Assumptions!$D$18*(1+ENA_Assumptions!$D$26)^(P5-2000)/1000</f>
        <v>1081.4469911574834</v>
      </c>
      <c r="Q16" s="90">
        <f>1/3*ENA_Assumptions!$D$19*ENA_Assumptions!$D$11*ENA_Assumptions!$D$8/1000*(1+ENA_Assumptions!$D$26)^(Q5-2000)+ENA_Assumptions!$D$20*ENA_Assumptions!$D$18*(1+ENA_Assumptions!$D$26)^(Q5-2000)/1000</f>
        <v>1113.8904008922077</v>
      </c>
      <c r="R16" s="90">
        <f>1/3*ENA_Assumptions!$D$19*ENA_Assumptions!$D$11*ENA_Assumptions!$D$8/1000*(1+ENA_Assumptions!$D$26)^(R5-2000)+ENA_Assumptions!$D$20*ENA_Assumptions!$D$18*(1+ENA_Assumptions!$D$26)^(R5-2000)/1000</f>
        <v>1147.3071129189739</v>
      </c>
      <c r="S16" s="90">
        <f>1/3*ENA_Assumptions!$D$19*ENA_Assumptions!$D$11*ENA_Assumptions!$D$8/1000*(1+ENA_Assumptions!$D$26)^(S5-2000)+ENA_Assumptions!$D$20*ENA_Assumptions!$D$18*(1+ENA_Assumptions!$D$26)^(S5-2000)/1000</f>
        <v>1181.7263263065431</v>
      </c>
      <c r="T16" s="90">
        <f>1/3*ENA_Assumptions!$D$19*ENA_Assumptions!$D$11*ENA_Assumptions!$D$8/1000*(1+ENA_Assumptions!$D$26)^(T5-2000)+ENA_Assumptions!$D$20*ENA_Assumptions!$D$18*(1+ENA_Assumptions!$D$26)^(T5-2000)/1000</f>
        <v>1217.1781160957394</v>
      </c>
      <c r="U16" s="90">
        <f>1/3*ENA_Assumptions!$D$19*ENA_Assumptions!$D$11*ENA_Assumptions!$D$8/1000*(1+ENA_Assumptions!$D$26)^(U5-2000)+ENA_Assumptions!$D$20*ENA_Assumptions!$D$18*(1+ENA_Assumptions!$D$26)^(U5-2000)/1000</f>
        <v>1253.6934595786115</v>
      </c>
      <c r="W16" s="55">
        <f>SUM(B16:U16)</f>
        <v>17001.46491466969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238.74900338291783</v>
      </c>
      <c r="C18" s="297">
        <f>(SUM(C9:C11)-SUM(C22:C27))*'ENA_Summary Output'!$B$29/4</f>
        <v>238.14968365299202</v>
      </c>
      <c r="D18" s="297">
        <f>(SUM(D9:D11)-SUM(D22:D27))*'ENA_Summary Output'!$B$29/4</f>
        <v>237.52696894300735</v>
      </c>
      <c r="E18" s="297">
        <f>(SUM(E9:E16)-SUM(E22:E27))*'ENA_Summary Output'!$B$29/4</f>
        <v>402.02049133924362</v>
      </c>
      <c r="F18" s="297">
        <f>(SUM(F9:F16)-SUM(F22:F27))*'ENA_Summary Output'!$B$29/4</f>
        <v>423.71743270860929</v>
      </c>
      <c r="G18" s="297">
        <f>(SUM(G9:G16)-SUM(G22:G27))*'ENA_Summary Output'!$B$29/4</f>
        <v>429.18063940357735</v>
      </c>
      <c r="H18" s="297">
        <f>(SUM(H9:H16)-SUM(H22:H27))*'ENA_Summary Output'!$B$29/4</f>
        <v>434.71393130681213</v>
      </c>
      <c r="I18" s="297">
        <f>(SUM(I9:I16)-SUM(I22:I27))*'ENA_Summary Output'!$B$29/4</f>
        <v>440.25984653613216</v>
      </c>
      <c r="J18" s="297">
        <f>(SUM(J9:J16)-SUM(J22:J27))*'ENA_Summary Output'!$B$29/4</f>
        <v>445.97546838392623</v>
      </c>
      <c r="K18" s="297">
        <f>(SUM(K9:K16)-SUM(K22:K27))*'ENA_Summary Output'!$B$29/4</f>
        <v>446.60881257484789</v>
      </c>
      <c r="L18" s="297">
        <f>(SUM(L9:L16)-SUM(L22:L27))*'ENA_Summary Output'!$B$29/4</f>
        <v>457.43337223631181</v>
      </c>
      <c r="M18" s="297">
        <f>(SUM(M9:M16)-SUM(M22:M27))*'ENA_Summary Output'!$B$29/4</f>
        <v>468.63010401441744</v>
      </c>
      <c r="N18" s="297">
        <f>(SUM(N9:N16)-SUM(N22:N27))*'ENA_Summary Output'!$B$29/4</f>
        <v>479.06247978608718</v>
      </c>
      <c r="O18" s="297">
        <f>(SUM(O9:O16)-SUM(O22:O27))*'ENA_Summary Output'!$B$29/4</f>
        <v>488.0472943321401</v>
      </c>
      <c r="P18" s="297">
        <f>(SUM(P9:P16)-SUM(P22:P27))*'ENA_Summary Output'!$B$29/4</f>
        <v>497.18322956778013</v>
      </c>
      <c r="Q18" s="297">
        <f>(SUM(Q9:Q16)-SUM(Q22:Q27))*'ENA_Summary Output'!$B$29/4</f>
        <v>503.83311487279008</v>
      </c>
      <c r="R18" s="297">
        <f>(SUM(R9:R16)-SUM(R22:R27))*'ENA_Summary Output'!$B$29/4</f>
        <v>510.48125437039403</v>
      </c>
      <c r="S18" s="297">
        <f>(SUM(S9:S16)-SUM(S22:S27))*'ENA_Summary Output'!$B$29/4</f>
        <v>517.19927221427429</v>
      </c>
      <c r="T18" s="297">
        <f>(SUM(T9:T16)-SUM(T22:T27))*'ENA_Summary Output'!$B$29/4</f>
        <v>523.98744907967409</v>
      </c>
      <c r="U18" s="297">
        <f>(SUM(U9:U16)-SUM(U22:U27))*'ENA_Summary Output'!$B$29/4</f>
        <v>530.84605156890939</v>
      </c>
      <c r="W18" s="55">
        <f>SUM(B18:U18)</f>
        <v>8713.6059002748443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31889.451745131526</v>
      </c>
      <c r="C19" s="20">
        <f t="shared" ref="C19:U19" si="3">SUM(C9:C18)</f>
        <v>31919.571341258699</v>
      </c>
      <c r="D19" s="20">
        <f t="shared" si="3"/>
        <v>31950.589109881519</v>
      </c>
      <c r="E19" s="20">
        <f t="shared" si="3"/>
        <v>37082.476659111446</v>
      </c>
      <c r="F19" s="20">
        <f t="shared" si="3"/>
        <v>38907.72253196442</v>
      </c>
      <c r="G19" s="20">
        <f t="shared" si="3"/>
        <v>39420.515047545705</v>
      </c>
      <c r="H19" s="20">
        <f t="shared" si="3"/>
        <v>39940.298142316038</v>
      </c>
      <c r="I19" s="20">
        <f t="shared" si="3"/>
        <v>40467.115540333456</v>
      </c>
      <c r="J19" s="20">
        <f t="shared" si="3"/>
        <v>41001.227181596209</v>
      </c>
      <c r="K19" s="20">
        <f t="shared" si="3"/>
        <v>41537.485641921252</v>
      </c>
      <c r="L19" s="20">
        <f t="shared" si="3"/>
        <v>42336.172291077084</v>
      </c>
      <c r="M19" s="20">
        <f t="shared" si="3"/>
        <v>43150.449185311634</v>
      </c>
      <c r="N19" s="20">
        <f t="shared" si="3"/>
        <v>43979.477055967189</v>
      </c>
      <c r="O19" s="20">
        <f t="shared" si="3"/>
        <v>44822.875861101456</v>
      </c>
      <c r="P19" s="20">
        <f t="shared" si="3"/>
        <v>45682.553469801634</v>
      </c>
      <c r="Q19" s="20">
        <f t="shared" si="3"/>
        <v>46350.895773816519</v>
      </c>
      <c r="R19" s="20">
        <f t="shared" si="3"/>
        <v>47029.187391534149</v>
      </c>
      <c r="S19" s="20">
        <f t="shared" si="3"/>
        <v>47717.657235571649</v>
      </c>
      <c r="T19" s="20">
        <f t="shared" si="3"/>
        <v>48416.465578544412</v>
      </c>
      <c r="U19" s="20">
        <f t="shared" si="3"/>
        <v>49125.775434824609</v>
      </c>
      <c r="W19" s="55">
        <f>SUM(B19:U19)</f>
        <v>832727.96221861057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ENA_Assumptions!D29*(1+ENA_Assumptions!$D$26)</f>
        <v>1772.9410188000002</v>
      </c>
      <c r="C22" s="90">
        <f>B22*(1+ENA_Assumptions!$D$26)</f>
        <v>1826.1292493640003</v>
      </c>
      <c r="D22" s="90">
        <f>C22*(1+ENA_Assumptions!$D$26)</f>
        <v>1880.9131268449203</v>
      </c>
      <c r="E22" s="90">
        <f>D22*(1+ENA_Assumptions!$D$26)</f>
        <v>1937.340520650268</v>
      </c>
      <c r="F22" s="90">
        <f>E22*(1+ENA_Assumptions!$D$26)</f>
        <v>1995.4607362697761</v>
      </c>
      <c r="G22" s="90">
        <f>F22*(1+ENA_Assumptions!$D$26)</f>
        <v>2055.3245583578696</v>
      </c>
      <c r="H22" s="90">
        <f>G22*(1+ENA_Assumptions!$D$26)</f>
        <v>2116.9842951086057</v>
      </c>
      <c r="I22" s="90">
        <f>H22*(1+ENA_Assumptions!$D$26)</f>
        <v>2180.4938239618641</v>
      </c>
      <c r="J22" s="90">
        <f>I22*(1+ENA_Assumptions!$D$26)</f>
        <v>2245.9086386807203</v>
      </c>
      <c r="K22" s="90">
        <f>J22*(1+ENA_Assumptions!$D$26)</f>
        <v>2313.2858978411418</v>
      </c>
      <c r="L22" s="90">
        <f>K22*(1+ENA_Assumptions!$D$26)</f>
        <v>2382.6844747763762</v>
      </c>
      <c r="M22" s="90">
        <f>L22*(1+ENA_Assumptions!$D$26)</f>
        <v>2454.1650090196677</v>
      </c>
      <c r="N22" s="90">
        <f>M22*(1+ENA_Assumptions!$D$26)</f>
        <v>2527.7899592902577</v>
      </c>
      <c r="O22" s="90">
        <f>N22*(1+ENA_Assumptions!$D$26)</f>
        <v>2603.6236580689656</v>
      </c>
      <c r="P22" s="90">
        <f>O22*(1+ENA_Assumptions!$D$26)</f>
        <v>2681.7323678110347</v>
      </c>
      <c r="Q22" s="90">
        <f>P22*(1+ENA_Assumptions!$D$26)</f>
        <v>2762.1843388453658</v>
      </c>
      <c r="R22" s="90">
        <f>Q22*(1+ENA_Assumptions!$D$26)</f>
        <v>2845.049869010727</v>
      </c>
      <c r="S22" s="90">
        <f>R22*(1+ENA_Assumptions!$D$26)</f>
        <v>2930.4013650810489</v>
      </c>
      <c r="T22" s="90">
        <f>S22*(1+ENA_Assumptions!$D$26)</f>
        <v>3018.3134060334805</v>
      </c>
      <c r="U22" s="90">
        <f>T22*(1+ENA_Assumptions!$D$26)</f>
        <v>3108.8628082144851</v>
      </c>
      <c r="W22" s="55">
        <f t="shared" ref="W22:W28" si="4">SUM(B22:U22)</f>
        <v>47639.589122030571</v>
      </c>
    </row>
    <row r="23" spans="1:55">
      <c r="A23" s="4" t="s">
        <v>428</v>
      </c>
      <c r="B23" s="90">
        <f>ENA_Assumptions!$D$30*(1+ENA_Assumptions!$D$26)</f>
        <v>560.4638619031831</v>
      </c>
      <c r="C23" s="90">
        <f>B23*(1+ENA_Assumptions!$D$26)</f>
        <v>577.27777776027858</v>
      </c>
      <c r="D23" s="90">
        <f>C23*(1+ENA_Assumptions!$D$26)</f>
        <v>594.59611109308696</v>
      </c>
      <c r="E23" s="90">
        <f>ENA_Assumptions!$D$20*ENA_Assumptions!$D$24*(1+ENA_Assumptions!$D$26)^(E5-2000)/1000</f>
        <v>612.43399442587952</v>
      </c>
      <c r="F23" s="90">
        <f>ENA_Assumptions!$D$20*ENA_Assumptions!$D$24*(1+ENA_Assumptions!$D$26)^(F5-2000)/1000</f>
        <v>630.80701425865584</v>
      </c>
      <c r="G23" s="90">
        <f>ENA_Assumptions!$D$20*ENA_Assumptions!$D$24*(1+ENA_Assumptions!$D$26)^(G5-2000)/1000</f>
        <v>649.73122468641554</v>
      </c>
      <c r="H23" s="90">
        <f>ENA_Assumptions!$D$20*ENA_Assumptions!$D$24*(1+ENA_Assumptions!$D$26)^(H5-2000)/1000</f>
        <v>669.22316142700811</v>
      </c>
      <c r="I23" s="90">
        <f>ENA_Assumptions!$D$20*ENA_Assumptions!$D$24*(1+ENA_Assumptions!$D$26)^(I5-2000)/1000</f>
        <v>689.29985626981829</v>
      </c>
      <c r="J23" s="90">
        <f>ENA_Assumptions!$D$20*ENA_Assumptions!$D$24*(1+ENA_Assumptions!$D$26)^(J5-2000)/1000</f>
        <v>709.97885195791275</v>
      </c>
      <c r="K23" s="90">
        <f>ENA_Assumptions!$D$20*ENA_Assumptions!$D$24*(1+ENA_Assumptions!$D$26)^(K5-2000)/1000</f>
        <v>731.27821751665022</v>
      </c>
      <c r="L23" s="90">
        <f>ENA_Assumptions!$D$20*ENA_Assumptions!$D$24*(1+ENA_Assumptions!$D$26)^(L5-2000)/1000</f>
        <v>753.21656404214968</v>
      </c>
      <c r="M23" s="90">
        <f>ENA_Assumptions!$D$20*ENA_Assumptions!$D$24*(1+ENA_Assumptions!$D$26)^(M5-2000)/1000</f>
        <v>775.81306096341416</v>
      </c>
      <c r="N23" s="90">
        <f>ENA_Assumptions!$D$20*ENA_Assumptions!$D$24*(1+ENA_Assumptions!$D$26)^(N5-2000)/1000</f>
        <v>799.08745279231641</v>
      </c>
      <c r="O23" s="90">
        <f>ENA_Assumptions!$D$20*ENA_Assumptions!$D$24*(1+ENA_Assumptions!$D$26)^(O5-2000)/1000</f>
        <v>823.06007637608604</v>
      </c>
      <c r="P23" s="90">
        <f>ENA_Assumptions!$D$20*ENA_Assumptions!$D$24*(1+ENA_Assumptions!$D$26)^(P5-2000)/1000</f>
        <v>847.75187866736871</v>
      </c>
      <c r="Q23" s="90">
        <f>ENA_Assumptions!$D$20*ENA_Assumptions!$D$24*(1+ENA_Assumptions!$D$26)^(Q5-2000)/1000</f>
        <v>873.18443502738955</v>
      </c>
      <c r="R23" s="90">
        <f>ENA_Assumptions!$D$20*ENA_Assumptions!$D$24*(1+ENA_Assumptions!$D$26)^(R5-2000)/1000</f>
        <v>899.37996807821128</v>
      </c>
      <c r="S23" s="90">
        <f>ENA_Assumptions!$D$20*ENA_Assumptions!$D$24*(1+ENA_Assumptions!$D$26)^(S5-2000)/1000</f>
        <v>926.3613671205577</v>
      </c>
      <c r="T23" s="90">
        <f>ENA_Assumptions!$D$20*ENA_Assumptions!$D$24*(1+ENA_Assumptions!$D$26)^(T5-2000)/1000</f>
        <v>954.15220813417432</v>
      </c>
      <c r="U23" s="90">
        <f>ENA_Assumptions!$D$20*ENA_Assumptions!$D$24*(1+ENA_Assumptions!$D$26)^(U5-2000)/1000</f>
        <v>982.77677437819955</v>
      </c>
      <c r="W23" s="55">
        <f t="shared" si="4"/>
        <v>15059.873856878756</v>
      </c>
    </row>
    <row r="24" spans="1:55">
      <c r="A24" s="4" t="s">
        <v>461</v>
      </c>
      <c r="B24" s="90">
        <f>ENA_Assumptions!$D$25*ENA_Assumptions!$D$11*ENA_Assumptions!$D$8/1000*(1+ENA_Assumptions!$D$26)</f>
        <v>463.5</v>
      </c>
      <c r="C24" s="55">
        <f>B24*(1+ENA_Assumptions!$D$26)</f>
        <v>477.40500000000003</v>
      </c>
      <c r="D24" s="55">
        <f>C24*(1+ENA_Assumptions!$D$26)</f>
        <v>491.72715000000005</v>
      </c>
      <c r="E24" s="55">
        <f>D24*(1+ENA_Assumptions!$D$26)</f>
        <v>506.47896450000007</v>
      </c>
      <c r="F24" s="55">
        <f>E24*(1+ENA_Assumptions!$D$26)</f>
        <v>521.67333343500013</v>
      </c>
      <c r="G24" s="55">
        <f>F24*(1+ENA_Assumptions!$D$26)</f>
        <v>537.32353343805016</v>
      </c>
      <c r="H24" s="55">
        <f>G24*(1+ENA_Assumptions!$D$26)</f>
        <v>553.44323944119174</v>
      </c>
      <c r="I24" s="55">
        <f>H24*(1+ENA_Assumptions!$D$26)</f>
        <v>570.04653662442752</v>
      </c>
      <c r="J24" s="55">
        <f>I24*(1+ENA_Assumptions!$D$26)</f>
        <v>587.14793272316035</v>
      </c>
      <c r="K24" s="55">
        <f>J24*(1+ENA_Assumptions!$D$26)</f>
        <v>604.76237070485513</v>
      </c>
      <c r="L24" s="55">
        <f>K24*(1+ENA_Assumptions!$D$26)</f>
        <v>622.90524182600075</v>
      </c>
      <c r="M24" s="55">
        <f>L24*(1+ENA_Assumptions!$D$26)</f>
        <v>641.59239908078075</v>
      </c>
      <c r="N24" s="55">
        <f>M24*(1+ENA_Assumptions!$D$26)</f>
        <v>660.84017105320424</v>
      </c>
      <c r="O24" s="55">
        <f>N24*(1+ENA_Assumptions!$D$26)</f>
        <v>680.66537618480038</v>
      </c>
      <c r="P24" s="55">
        <f>O24*(1+ENA_Assumptions!$D$26)</f>
        <v>701.08533747034437</v>
      </c>
      <c r="Q24" s="55">
        <f>P24*(1+ENA_Assumptions!$D$26)</f>
        <v>722.11789759445469</v>
      </c>
      <c r="R24" s="55">
        <f>Q24*(1+ENA_Assumptions!$D$26)</f>
        <v>743.78143452228835</v>
      </c>
      <c r="S24" s="55">
        <f>R24*(1+ENA_Assumptions!$D$26)</f>
        <v>766.09487755795703</v>
      </c>
      <c r="T24" s="55">
        <f>S24*(1+ENA_Assumptions!$D$26)</f>
        <v>789.07772388469573</v>
      </c>
      <c r="U24" s="55">
        <f>T24*(1+ENA_Assumptions!$D$26)</f>
        <v>812.75005560123657</v>
      </c>
      <c r="W24" s="55">
        <f t="shared" si="4"/>
        <v>12454.418575642445</v>
      </c>
    </row>
    <row r="25" spans="1:55">
      <c r="A25" s="4" t="s">
        <v>430</v>
      </c>
      <c r="B25" s="90">
        <f>ENA_Assumptions!D32*(1+ENA_Assumptions!$D$26)</f>
        <v>423.2585866666667</v>
      </c>
      <c r="C25" s="90">
        <f>B25*(1+ENA_Assumptions!$D$26)</f>
        <v>435.95634426666669</v>
      </c>
      <c r="D25" s="90">
        <f>C25*(1+ENA_Assumptions!$D$26)</f>
        <v>449.03503459466668</v>
      </c>
      <c r="E25" s="90">
        <f>D25*(1+ENA_Assumptions!$D$26)</f>
        <v>462.50608563250671</v>
      </c>
      <c r="F25" s="90">
        <f>E25*(1+ENA_Assumptions!$D$26)</f>
        <v>476.38126820148193</v>
      </c>
      <c r="G25" s="90">
        <f>F25*(1+ENA_Assumptions!$D$26)</f>
        <v>490.67270624752638</v>
      </c>
      <c r="H25" s="90">
        <f>G25*(1+ENA_Assumptions!$D$26)</f>
        <v>505.39288743495217</v>
      </c>
      <c r="I25" s="90">
        <f>H25*(1+ENA_Assumptions!$D$26)</f>
        <v>520.55467405800073</v>
      </c>
      <c r="J25" s="90">
        <f>I25*(1+ENA_Assumptions!$D$26)</f>
        <v>536.17131427974073</v>
      </c>
      <c r="K25" s="90">
        <f>J25*(1+ENA_Assumptions!$D$26)</f>
        <v>552.25645370813299</v>
      </c>
      <c r="L25" s="90">
        <f>K25*(1+ENA_Assumptions!$D$26)</f>
        <v>568.82414731937695</v>
      </c>
      <c r="M25" s="90">
        <f>L25*(1+ENA_Assumptions!$D$26)</f>
        <v>585.8888717389583</v>
      </c>
      <c r="N25" s="90">
        <f>M25*(1+ENA_Assumptions!$D$26)</f>
        <v>603.46553789112704</v>
      </c>
      <c r="O25" s="90">
        <f>N25*(1+ENA_Assumptions!$D$26)</f>
        <v>621.56950402786083</v>
      </c>
      <c r="P25" s="90">
        <f>O25*(1+ENA_Assumptions!$D$26)</f>
        <v>640.2165891486967</v>
      </c>
      <c r="Q25" s="90">
        <f>P25*(1+ENA_Assumptions!$D$26)</f>
        <v>659.42308682315763</v>
      </c>
      <c r="R25" s="90">
        <f>Q25*(1+ENA_Assumptions!$D$26)</f>
        <v>679.20577942785235</v>
      </c>
      <c r="S25" s="90">
        <f>R25*(1+ENA_Assumptions!$D$26)</f>
        <v>699.58195281068788</v>
      </c>
      <c r="T25" s="90">
        <f>S25*(1+ENA_Assumptions!$D$26)</f>
        <v>720.5694113950085</v>
      </c>
      <c r="U25" s="90">
        <f>T25*(1+ENA_Assumptions!$D$26)</f>
        <v>742.18649373685878</v>
      </c>
      <c r="W25" s="55">
        <f t="shared" si="4"/>
        <v>11373.116729409925</v>
      </c>
    </row>
    <row r="26" spans="1:55">
      <c r="A26" s="4" t="s">
        <v>506</v>
      </c>
      <c r="B26" s="336">
        <v>579.4</v>
      </c>
      <c r="C26" s="336">
        <v>573.6</v>
      </c>
      <c r="D26" s="336">
        <v>567.9</v>
      </c>
      <c r="E26" s="336">
        <v>562.20000000000005</v>
      </c>
      <c r="F26" s="336">
        <v>556.6</v>
      </c>
      <c r="G26" s="336">
        <v>551</v>
      </c>
      <c r="H26" s="336">
        <v>534.5</v>
      </c>
      <c r="I26" s="336">
        <v>518.5</v>
      </c>
      <c r="J26" s="336">
        <v>492.6</v>
      </c>
      <c r="K26" s="336">
        <v>877.7</v>
      </c>
      <c r="L26" s="336">
        <v>694.8</v>
      </c>
      <c r="M26" s="336">
        <v>493.7</v>
      </c>
      <c r="N26" s="336">
        <v>365.7</v>
      </c>
      <c r="O26" s="336">
        <v>365.7</v>
      </c>
      <c r="P26" s="336">
        <v>365.7</v>
      </c>
      <c r="Q26" s="336">
        <v>365.7</v>
      </c>
      <c r="R26" s="336">
        <v>365.7</v>
      </c>
      <c r="S26" s="336">
        <v>365.7</v>
      </c>
      <c r="T26" s="336">
        <v>365.7</v>
      </c>
      <c r="U26" s="336">
        <f>T26</f>
        <v>365.7</v>
      </c>
      <c r="W26" s="55">
        <f t="shared" si="4"/>
        <v>9928.100000000004</v>
      </c>
    </row>
    <row r="27" spans="1:55" s="271" customFormat="1">
      <c r="A27" s="4" t="s">
        <v>507</v>
      </c>
      <c r="B27" s="600">
        <f>B81</f>
        <v>492.48012389990953</v>
      </c>
      <c r="C27" s="600">
        <f t="shared" ref="C27:U27" si="5">C81</f>
        <v>480.3397141299701</v>
      </c>
      <c r="D27" s="600">
        <f t="shared" si="5"/>
        <v>467.99432311982281</v>
      </c>
      <c r="E27" s="600">
        <f t="shared" si="5"/>
        <v>437.85729542405795</v>
      </c>
      <c r="F27" s="600">
        <f t="shared" si="5"/>
        <v>405.68813040215747</v>
      </c>
      <c r="G27" s="600">
        <f t="shared" si="5"/>
        <v>372.83123312608302</v>
      </c>
      <c r="H27" s="600">
        <f t="shared" si="5"/>
        <v>348.9261230525002</v>
      </c>
      <c r="I27" s="600">
        <f t="shared" si="5"/>
        <v>327.17307999264557</v>
      </c>
      <c r="J27" s="600">
        <f t="shared" si="5"/>
        <v>305.40750485665325</v>
      </c>
      <c r="K27" s="600">
        <f t="shared" si="5"/>
        <v>282.88888358778951</v>
      </c>
      <c r="L27" s="600">
        <f t="shared" si="5"/>
        <v>261.63871197191889</v>
      </c>
      <c r="M27" s="600">
        <f t="shared" si="5"/>
        <v>240.25141934100481</v>
      </c>
      <c r="N27" s="600">
        <f t="shared" si="5"/>
        <v>218.53307226722612</v>
      </c>
      <c r="O27" s="600">
        <f t="shared" si="5"/>
        <v>196.42640554040241</v>
      </c>
      <c r="P27" s="600">
        <f t="shared" si="5"/>
        <v>174.22570171400204</v>
      </c>
      <c r="Q27" s="600">
        <f t="shared" si="5"/>
        <v>157.80371083015464</v>
      </c>
      <c r="R27" s="600">
        <f t="shared" si="5"/>
        <v>147.08873649315333</v>
      </c>
      <c r="S27" s="600">
        <f t="shared" si="5"/>
        <v>136.37662364518297</v>
      </c>
      <c r="T27" s="600">
        <f t="shared" si="5"/>
        <v>125.66945364345278</v>
      </c>
      <c r="U27" s="600">
        <f t="shared" si="5"/>
        <v>114.96912581217008</v>
      </c>
      <c r="V27" s="55"/>
      <c r="W27" s="55">
        <f t="shared" si="4"/>
        <v>5694.5693728502583</v>
      </c>
    </row>
    <row r="28" spans="1:55">
      <c r="A28" s="4" t="s">
        <v>22</v>
      </c>
      <c r="B28" s="90">
        <f t="shared" ref="B28:U28" si="6">SUM(B22:B27)</f>
        <v>4292.0435912697594</v>
      </c>
      <c r="C28" s="90">
        <f t="shared" si="6"/>
        <v>4370.708085520916</v>
      </c>
      <c r="D28" s="90">
        <f t="shared" si="6"/>
        <v>4452.1657456524972</v>
      </c>
      <c r="E28" s="90">
        <f t="shared" si="6"/>
        <v>4518.8168606327126</v>
      </c>
      <c r="F28" s="90">
        <f t="shared" si="6"/>
        <v>4586.6104825670709</v>
      </c>
      <c r="G28" s="90">
        <f t="shared" si="6"/>
        <v>4656.8832558559452</v>
      </c>
      <c r="H28" s="90">
        <f t="shared" si="6"/>
        <v>4728.4697064642578</v>
      </c>
      <c r="I28" s="90">
        <f t="shared" si="6"/>
        <v>4806.0679709067563</v>
      </c>
      <c r="J28" s="90">
        <f t="shared" si="6"/>
        <v>4877.2142424981876</v>
      </c>
      <c r="K28" s="90">
        <f t="shared" si="6"/>
        <v>5362.1718233585698</v>
      </c>
      <c r="L28" s="90">
        <f t="shared" si="6"/>
        <v>5284.0691399358229</v>
      </c>
      <c r="M28" s="90">
        <f t="shared" si="6"/>
        <v>5191.4107601438254</v>
      </c>
      <c r="N28" s="90">
        <f t="shared" si="6"/>
        <v>5175.4161932941315</v>
      </c>
      <c r="O28" s="90">
        <f t="shared" si="6"/>
        <v>5291.0450201981148</v>
      </c>
      <c r="P28" s="90">
        <f t="shared" si="6"/>
        <v>5410.7118748114463</v>
      </c>
      <c r="Q28" s="90">
        <f t="shared" si="6"/>
        <v>5540.4134691205227</v>
      </c>
      <c r="R28" s="90">
        <f t="shared" si="6"/>
        <v>5680.2057875322325</v>
      </c>
      <c r="S28" s="90">
        <f t="shared" si="6"/>
        <v>5824.5161862154337</v>
      </c>
      <c r="T28" s="90">
        <f t="shared" si="6"/>
        <v>5973.4822030908117</v>
      </c>
      <c r="U28" s="90">
        <f t="shared" si="6"/>
        <v>6127.2452577429503</v>
      </c>
      <c r="W28" s="55">
        <f t="shared" si="4"/>
        <v>102149.66765681197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93">
        <f t="shared" ref="B31:U31" si="7">B19-B28</f>
        <v>27597.408153861768</v>
      </c>
      <c r="C31" s="93">
        <f t="shared" si="7"/>
        <v>27548.863255737782</v>
      </c>
      <c r="D31" s="93">
        <f t="shared" si="7"/>
        <v>27498.42336422902</v>
      </c>
      <c r="E31" s="93">
        <f t="shared" si="7"/>
        <v>32563.659798478733</v>
      </c>
      <c r="F31" s="93">
        <f t="shared" si="7"/>
        <v>34321.11204939735</v>
      </c>
      <c r="G31" s="93">
        <f t="shared" si="7"/>
        <v>34763.631791689761</v>
      </c>
      <c r="H31" s="93">
        <f t="shared" si="7"/>
        <v>35211.828435851778</v>
      </c>
      <c r="I31" s="93">
        <f t="shared" si="7"/>
        <v>35661.047569426701</v>
      </c>
      <c r="J31" s="93">
        <f t="shared" si="7"/>
        <v>36124.012939098022</v>
      </c>
      <c r="K31" s="93">
        <f t="shared" si="7"/>
        <v>36175.313818562681</v>
      </c>
      <c r="L31" s="93">
        <f t="shared" si="7"/>
        <v>37052.103151141258</v>
      </c>
      <c r="M31" s="93">
        <f t="shared" si="7"/>
        <v>37959.038425167812</v>
      </c>
      <c r="N31" s="93">
        <f t="shared" si="7"/>
        <v>38804.060862673054</v>
      </c>
      <c r="O31" s="93">
        <f t="shared" si="7"/>
        <v>39531.830840903342</v>
      </c>
      <c r="P31" s="93">
        <f t="shared" si="7"/>
        <v>40271.84159499019</v>
      </c>
      <c r="Q31" s="93">
        <f t="shared" si="7"/>
        <v>40810.482304695994</v>
      </c>
      <c r="R31" s="93">
        <f t="shared" si="7"/>
        <v>41348.981604001914</v>
      </c>
      <c r="S31" s="93">
        <f t="shared" si="7"/>
        <v>41893.141049356214</v>
      </c>
      <c r="T31" s="93">
        <f t="shared" si="7"/>
        <v>42442.983375453601</v>
      </c>
      <c r="U31" s="93">
        <f t="shared" si="7"/>
        <v>42998.530177081659</v>
      </c>
      <c r="W31" s="55">
        <f>SUM(B31:U31)</f>
        <v>730578.29456179868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ENA_Depreciation!C21</f>
        <v>6693.8699436026827</v>
      </c>
      <c r="C33" s="90">
        <f>ENA_Depreciation!D21</f>
        <v>6693.8699436026827</v>
      </c>
      <c r="D33" s="90">
        <f>ENA_Depreciation!E21</f>
        <v>6693.8699436026827</v>
      </c>
      <c r="E33" s="90">
        <f>ENA_Depreciation!F21</f>
        <v>6693.8699436026827</v>
      </c>
      <c r="F33" s="90">
        <f>ENA_Depreciation!G21</f>
        <v>6693.8699436026827</v>
      </c>
      <c r="G33" s="90">
        <f>ENA_Depreciation!H21</f>
        <v>6693.8699436026827</v>
      </c>
      <c r="H33" s="90">
        <f>ENA_Depreciation!I21</f>
        <v>6693.8699436026827</v>
      </c>
      <c r="I33" s="90">
        <f>ENA_Depreciation!J21</f>
        <v>6693.8699436026827</v>
      </c>
      <c r="J33" s="90">
        <f>ENA_Depreciation!K21</f>
        <v>6693.8699436026827</v>
      </c>
      <c r="K33" s="90">
        <f>ENA_Depreciation!L21</f>
        <v>6693.8699436026827</v>
      </c>
      <c r="L33" s="90">
        <f>ENA_Depreciation!M21</f>
        <v>6693.8699436026827</v>
      </c>
      <c r="M33" s="90">
        <f>ENA_Depreciation!N21</f>
        <v>6693.8699436026827</v>
      </c>
      <c r="N33" s="90">
        <f>ENA_Depreciation!O21</f>
        <v>6693.8699436026827</v>
      </c>
      <c r="O33" s="90">
        <f>ENA_Depreciation!P21</f>
        <v>6693.8699436026827</v>
      </c>
      <c r="P33" s="90">
        <f>ENA_Depreciation!Q21</f>
        <v>6693.8699436026827</v>
      </c>
      <c r="Q33" s="90">
        <f>ENA_Depreciation!R21</f>
        <v>6693.8699436026827</v>
      </c>
      <c r="R33" s="90">
        <f>ENA_Depreciation!S21</f>
        <v>6693.8699436026827</v>
      </c>
      <c r="S33" s="90">
        <f>ENA_Depreciation!T21</f>
        <v>6693.8699436026827</v>
      </c>
      <c r="T33" s="90">
        <f>ENA_Depreciation!U21</f>
        <v>6693.8699436026827</v>
      </c>
      <c r="U33" s="90">
        <f>ENA_Depreciation!V21</f>
        <v>6693.8699436026827</v>
      </c>
      <c r="W33" s="55">
        <f>SUM(B33:U33)</f>
        <v>133877.39887205363</v>
      </c>
    </row>
    <row r="34" spans="1:23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20903.538210259085</v>
      </c>
      <c r="C35" s="93">
        <f t="shared" si="8"/>
        <v>20854.993312135099</v>
      </c>
      <c r="D35" s="93">
        <f t="shared" si="8"/>
        <v>20804.553420626336</v>
      </c>
      <c r="E35" s="93">
        <f t="shared" si="8"/>
        <v>25869.78985487605</v>
      </c>
      <c r="F35" s="93">
        <f t="shared" si="8"/>
        <v>27627.242105794667</v>
      </c>
      <c r="G35" s="93">
        <f t="shared" si="8"/>
        <v>28069.761848087077</v>
      </c>
      <c r="H35" s="93">
        <f t="shared" si="8"/>
        <v>28517.958492249094</v>
      </c>
      <c r="I35" s="93">
        <f t="shared" si="8"/>
        <v>28967.177625824017</v>
      </c>
      <c r="J35" s="93">
        <f t="shared" si="8"/>
        <v>29430.142995495338</v>
      </c>
      <c r="K35" s="93">
        <f t="shared" si="8"/>
        <v>29481.443874959998</v>
      </c>
      <c r="L35" s="93">
        <f t="shared" si="8"/>
        <v>30358.233207538575</v>
      </c>
      <c r="M35" s="93">
        <f t="shared" si="8"/>
        <v>31265.168481565128</v>
      </c>
      <c r="N35" s="93">
        <f t="shared" si="8"/>
        <v>32110.19091907037</v>
      </c>
      <c r="O35" s="93">
        <f t="shared" si="8"/>
        <v>32837.960897300662</v>
      </c>
      <c r="P35" s="93">
        <f t="shared" si="8"/>
        <v>33577.97165138751</v>
      </c>
      <c r="Q35" s="93">
        <f t="shared" si="8"/>
        <v>34116.612361093314</v>
      </c>
      <c r="R35" s="93">
        <f t="shared" si="8"/>
        <v>34655.111660399234</v>
      </c>
      <c r="S35" s="93">
        <f t="shared" si="8"/>
        <v>35199.271105753534</v>
      </c>
      <c r="T35" s="93">
        <f t="shared" si="8"/>
        <v>35749.113431850921</v>
      </c>
      <c r="U35" s="93">
        <f t="shared" si="8"/>
        <v>36304.660233478979</v>
      </c>
      <c r="W35" s="55">
        <f>SUM(B35:U35)</f>
        <v>596700.89568974508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ENA_IS!B38*ENA_Allocation!$E$8</f>
        <v>12499.099364782833</v>
      </c>
      <c r="C37" s="90">
        <f>ENA_IS!C38*ENA_Allocation!$E$8</f>
        <v>12311.554821474587</v>
      </c>
      <c r="D37" s="90">
        <f>ENA_IS!D38*ENA_Allocation!$E$8</f>
        <v>12047.016900990198</v>
      </c>
      <c r="E37" s="90">
        <f>ENA_IS!E38*ENA_Allocation!$E$8</f>
        <v>11839.355515782559</v>
      </c>
      <c r="F37" s="90">
        <f>ENA_IS!F38*ENA_Allocation!$E$8</f>
        <v>11471.958275317575</v>
      </c>
      <c r="G37" s="90">
        <f>ENA_IS!G38*ENA_Allocation!$E$8</f>
        <v>11036.497481793214</v>
      </c>
      <c r="H37" s="90">
        <f>ENA_IS!H38*ENA_Allocation!$E$8</f>
        <v>10547.098180399027</v>
      </c>
      <c r="I37" s="90">
        <f>ENA_IS!I38*ENA_Allocation!$E$8</f>
        <v>10035.096656043352</v>
      </c>
      <c r="J37" s="90">
        <f>ENA_IS!J38*ENA_Allocation!$E$8</f>
        <v>9399.1108807762794</v>
      </c>
      <c r="K37" s="90">
        <f>ENA_IS!K38*ENA_Allocation!$E$8</f>
        <v>8694.3912639748396</v>
      </c>
      <c r="L37" s="90">
        <f>ENA_IS!L38*ENA_Allocation!$E$8</f>
        <v>7952.8652228521869</v>
      </c>
      <c r="M37" s="90">
        <f>ENA_IS!M38*ENA_Allocation!$E$8</f>
        <v>7144.3551396098246</v>
      </c>
      <c r="N37" s="90">
        <f>ENA_IS!N38*ENA_Allocation!$E$8</f>
        <v>6295.663592171506</v>
      </c>
      <c r="O37" s="90">
        <f>ENA_IS!O38*ENA_Allocation!$E$8</f>
        <v>5467.0627768311651</v>
      </c>
      <c r="P37" s="90">
        <f>ENA_IS!P38*ENA_Allocation!$E$8</f>
        <v>4628.0193210783164</v>
      </c>
      <c r="Q37" s="90">
        <f>ENA_IS!Q38*ENA_Allocation!$E$8</f>
        <v>3758.4424928149806</v>
      </c>
      <c r="R37" s="90">
        <f>ENA_IS!R38*ENA_Allocation!$E$8</f>
        <v>2836.0849276840759</v>
      </c>
      <c r="S37" s="90">
        <f>ENA_IS!S38*ENA_Allocation!$E$8</f>
        <v>1966.3945924597347</v>
      </c>
      <c r="T37" s="90">
        <f>ENA_IS!T38*ENA_Allocation!$E$8</f>
        <v>1220.653858653428</v>
      </c>
      <c r="U37" s="90">
        <f>ENA_IS!U38*ENA_Allocation!$E$8</f>
        <v>476.72923622320968</v>
      </c>
      <c r="W37" s="55">
        <f>SUM(B37:U37)</f>
        <v>151627.45050171282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8404.438845476252</v>
      </c>
      <c r="C39" s="93">
        <f t="shared" si="9"/>
        <v>8543.4384906605119</v>
      </c>
      <c r="D39" s="93">
        <f t="shared" si="9"/>
        <v>8757.5365196361381</v>
      </c>
      <c r="E39" s="93">
        <f t="shared" si="9"/>
        <v>14030.43433909349</v>
      </c>
      <c r="F39" s="93">
        <f t="shared" si="9"/>
        <v>16155.283830477092</v>
      </c>
      <c r="G39" s="93">
        <f t="shared" si="9"/>
        <v>17033.264366293864</v>
      </c>
      <c r="H39" s="93">
        <f t="shared" si="9"/>
        <v>17970.860311850069</v>
      </c>
      <c r="I39" s="93">
        <f t="shared" si="9"/>
        <v>18932.080969780665</v>
      </c>
      <c r="J39" s="93">
        <f t="shared" si="9"/>
        <v>20031.032114719059</v>
      </c>
      <c r="K39" s="93">
        <f t="shared" si="9"/>
        <v>20787.052610985156</v>
      </c>
      <c r="L39" s="93">
        <f t="shared" si="9"/>
        <v>22405.367984686389</v>
      </c>
      <c r="M39" s="93">
        <f t="shared" si="9"/>
        <v>24120.813341955305</v>
      </c>
      <c r="N39" s="93">
        <f t="shared" si="9"/>
        <v>25814.527326898864</v>
      </c>
      <c r="O39" s="93">
        <f t="shared" si="9"/>
        <v>27370.898120469497</v>
      </c>
      <c r="P39" s="93">
        <f t="shared" si="9"/>
        <v>28949.952330309192</v>
      </c>
      <c r="Q39" s="93">
        <f t="shared" si="9"/>
        <v>30358.169868278332</v>
      </c>
      <c r="R39" s="93">
        <f t="shared" si="9"/>
        <v>31819.02673271516</v>
      </c>
      <c r="S39" s="93">
        <f t="shared" si="9"/>
        <v>33232.876513293799</v>
      </c>
      <c r="T39" s="93">
        <f t="shared" si="9"/>
        <v>34528.459573197491</v>
      </c>
      <c r="U39" s="93">
        <f t="shared" si="9"/>
        <v>35827.930997255768</v>
      </c>
      <c r="W39" s="55">
        <f>SUM(B39:U39)</f>
        <v>445073.445188032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B39*-ENA_Assumptions!$D$39</f>
        <v>-420.2219422738126</v>
      </c>
      <c r="C41" s="90">
        <f>C39*-ENA_Assumptions!$D$39</f>
        <v>-427.17192453302562</v>
      </c>
      <c r="D41" s="90">
        <f>D39*-ENA_Assumptions!$D$39</f>
        <v>-437.87682598180692</v>
      </c>
      <c r="E41" s="90">
        <f>E39*-ENA_Assumptions!$D$39</f>
        <v>-701.5217169546745</v>
      </c>
      <c r="F41" s="90">
        <f>F39*-ENA_Assumptions!$D$39</f>
        <v>-807.76419152385461</v>
      </c>
      <c r="G41" s="90">
        <f>G39*-ENA_Assumptions!$D$39</f>
        <v>-851.66321831469327</v>
      </c>
      <c r="H41" s="90">
        <f>H39*-ENA_Assumptions!$D$39</f>
        <v>-898.54301559250348</v>
      </c>
      <c r="I41" s="90">
        <f>I39*-ENA_Assumptions!$D$39</f>
        <v>-946.60404848903329</v>
      </c>
      <c r="J41" s="90">
        <f>J39*-ENA_Assumptions!$D$39</f>
        <v>-1001.551605735953</v>
      </c>
      <c r="K41" s="90">
        <f>K39*-ENA_Assumptions!$D$39</f>
        <v>-1039.3526305492578</v>
      </c>
      <c r="L41" s="90">
        <f>L39*-ENA_Assumptions!$D$39</f>
        <v>-1120.2683992343195</v>
      </c>
      <c r="M41" s="90">
        <f>M39*-ENA_Assumptions!$D$39</f>
        <v>-1206.0406670977652</v>
      </c>
      <c r="N41" s="90">
        <f>N39*-ENA_Assumptions!$D$39</f>
        <v>-1290.7263663449432</v>
      </c>
      <c r="O41" s="90">
        <f>O39*-ENA_Assumptions!$D$39</f>
        <v>-1368.5449060234751</v>
      </c>
      <c r="P41" s="90">
        <f>P39*-ENA_Assumptions!$D$39</f>
        <v>-1447.4976165154596</v>
      </c>
      <c r="Q41" s="90">
        <f>Q39*-ENA_Assumptions!$D$39</f>
        <v>-1517.9084934139166</v>
      </c>
      <c r="R41" s="90">
        <f>R39*-ENA_Assumptions!$D$39</f>
        <v>-1590.951336635758</v>
      </c>
      <c r="S41" s="90">
        <f>S39*-ENA_Assumptions!$D$39</f>
        <v>-1661.64382566469</v>
      </c>
      <c r="T41" s="90">
        <f>T39*-ENA_Assumptions!$D$39</f>
        <v>-1726.4229786598746</v>
      </c>
      <c r="U41" s="90">
        <f>U39*-ENA_Assumptions!$D$39</f>
        <v>-1791.3965498627886</v>
      </c>
      <c r="W41" s="55">
        <f>SUM(B41:U41)</f>
        <v>-22253.672259401603</v>
      </c>
    </row>
    <row r="42" spans="1:23">
      <c r="A42" s="4" t="s">
        <v>29</v>
      </c>
      <c r="B42" s="89">
        <f>(B39+B41)*-ENA_Assumptions!$D$38</f>
        <v>-2794.4759161208535</v>
      </c>
      <c r="C42" s="89">
        <f>(C39+C41)*-ENA_Assumptions!$D$38</f>
        <v>-2840.6932981446198</v>
      </c>
      <c r="D42" s="89">
        <f>(D39+D41)*-ENA_Assumptions!$D$38</f>
        <v>-2911.880892779016</v>
      </c>
      <c r="E42" s="89">
        <f>(E39+E41)*-ENA_Assumptions!$D$38</f>
        <v>-4665.119417748585</v>
      </c>
      <c r="F42" s="89">
        <f>(F39+F41)*-ENA_Assumptions!$D$38</f>
        <v>-5371.6318736336325</v>
      </c>
      <c r="G42" s="89">
        <f>(G39+G41)*-ENA_Assumptions!$D$38</f>
        <v>-5663.5604017927089</v>
      </c>
      <c r="H42" s="89">
        <f>(H39+H41)*-ENA_Assumptions!$D$38</f>
        <v>-5975.3110536901477</v>
      </c>
      <c r="I42" s="89">
        <f>(I39+I41)*-ENA_Assumptions!$D$38</f>
        <v>-6294.916922452071</v>
      </c>
      <c r="J42" s="89">
        <f>(J39+J41)*-ENA_Assumptions!$D$38</f>
        <v>-6660.3181781440871</v>
      </c>
      <c r="K42" s="89">
        <f>(K39+K41)*-ENA_Assumptions!$D$38</f>
        <v>-6911.6949931525651</v>
      </c>
      <c r="L42" s="89">
        <f>(L39+L41)*-ENA_Assumptions!$D$38</f>
        <v>-7449.7848549082237</v>
      </c>
      <c r="M42" s="89">
        <f>(M39+M41)*-ENA_Assumptions!$D$38</f>
        <v>-8020.1704362001383</v>
      </c>
      <c r="N42" s="89">
        <f>(N39+N41)*-ENA_Assumptions!$D$38</f>
        <v>-8583.3303361938706</v>
      </c>
      <c r="O42" s="89">
        <f>(O39+O41)*-ENA_Assumptions!$D$38</f>
        <v>-9100.8236250561076</v>
      </c>
      <c r="P42" s="89">
        <f>(P39+P41)*-ENA_Assumptions!$D$38</f>
        <v>-9625.8591498278056</v>
      </c>
      <c r="Q42" s="89">
        <f>(Q39+Q41)*-ENA_Assumptions!$D$38</f>
        <v>-10094.091481202544</v>
      </c>
      <c r="R42" s="89">
        <f>(R39+R41)*-ENA_Assumptions!$D$38</f>
        <v>-10579.826388627791</v>
      </c>
      <c r="S42" s="89">
        <f>(S39+S41)*-ENA_Assumptions!$D$38</f>
        <v>-11049.931440670187</v>
      </c>
      <c r="T42" s="89">
        <f>(T39+T41)*-ENA_Assumptions!$D$38</f>
        <v>-11480.712808088165</v>
      </c>
      <c r="U42" s="89">
        <f>(U39+U41)*-ENA_Assumptions!$D$38</f>
        <v>-11912.787056587542</v>
      </c>
      <c r="W42" s="55">
        <f>SUM(B42:U42)</f>
        <v>-147986.92052502066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5189.7409870815864</v>
      </c>
      <c r="C44" s="239">
        <f t="shared" si="10"/>
        <v>5275.5732679828661</v>
      </c>
      <c r="D44" s="239">
        <f t="shared" si="10"/>
        <v>5407.7788008753159</v>
      </c>
      <c r="E44" s="239">
        <f t="shared" si="10"/>
        <v>8663.793204390231</v>
      </c>
      <c r="F44" s="239">
        <f t="shared" si="10"/>
        <v>9975.887765319605</v>
      </c>
      <c r="G44" s="239">
        <f t="shared" si="10"/>
        <v>10518.040746186462</v>
      </c>
      <c r="H44" s="239">
        <f t="shared" si="10"/>
        <v>11097.006242567419</v>
      </c>
      <c r="I44" s="239">
        <f t="shared" si="10"/>
        <v>11690.559998839562</v>
      </c>
      <c r="J44" s="239">
        <f t="shared" si="10"/>
        <v>12369.162330839019</v>
      </c>
      <c r="K44" s="239">
        <f t="shared" si="10"/>
        <v>12836.004987283335</v>
      </c>
      <c r="L44" s="239">
        <f t="shared" si="10"/>
        <v>13835.314730543847</v>
      </c>
      <c r="M44" s="239">
        <f t="shared" si="10"/>
        <v>14894.602238657402</v>
      </c>
      <c r="N44" s="239">
        <f t="shared" si="10"/>
        <v>15940.470624360049</v>
      </c>
      <c r="O44" s="239">
        <f t="shared" si="10"/>
        <v>16901.529589389917</v>
      </c>
      <c r="P44" s="239">
        <f t="shared" si="10"/>
        <v>17876.59556396593</v>
      </c>
      <c r="Q44" s="239">
        <f t="shared" si="10"/>
        <v>18746.16989366187</v>
      </c>
      <c r="R44" s="239">
        <f t="shared" si="10"/>
        <v>19648.24900745161</v>
      </c>
      <c r="S44" s="239">
        <f t="shared" si="10"/>
        <v>20521.301246958923</v>
      </c>
      <c r="T44" s="239">
        <f t="shared" si="10"/>
        <v>21321.323786449451</v>
      </c>
      <c r="U44" s="239">
        <f t="shared" si="10"/>
        <v>22123.747390805438</v>
      </c>
      <c r="W44" s="55">
        <f>SUM(B44:U44)</f>
        <v>274832.85240360984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526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 t="shared" si="11"/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 t="shared" si="11"/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19338.669274016342</v>
      </c>
      <c r="C54" s="29">
        <f>C31-C12</f>
        <v>19290.124375892352</v>
      </c>
      <c r="D54" s="29">
        <f>D31-D12</f>
        <v>19239.684484383593</v>
      </c>
      <c r="E54" s="29">
        <f t="shared" ref="E54:U54" si="12">E31</f>
        <v>32563.659798478733</v>
      </c>
      <c r="F54" s="29">
        <f t="shared" si="12"/>
        <v>34321.11204939735</v>
      </c>
      <c r="G54" s="29">
        <f t="shared" si="12"/>
        <v>34763.631791689761</v>
      </c>
      <c r="H54" s="29">
        <f t="shared" si="12"/>
        <v>35211.828435851778</v>
      </c>
      <c r="I54" s="29">
        <f t="shared" si="12"/>
        <v>35661.047569426701</v>
      </c>
      <c r="J54" s="29">
        <f t="shared" si="12"/>
        <v>36124.012939098022</v>
      </c>
      <c r="K54" s="29">
        <f t="shared" si="12"/>
        <v>36175.313818562681</v>
      </c>
      <c r="L54" s="29">
        <f t="shared" si="12"/>
        <v>37052.103151141258</v>
      </c>
      <c r="M54" s="29">
        <f t="shared" si="12"/>
        <v>37959.038425167812</v>
      </c>
      <c r="N54" s="29">
        <f t="shared" si="12"/>
        <v>38804.060862673054</v>
      </c>
      <c r="O54" s="29">
        <f t="shared" si="12"/>
        <v>39531.830840903342</v>
      </c>
      <c r="P54" s="29">
        <f t="shared" si="12"/>
        <v>40271.84159499019</v>
      </c>
      <c r="Q54" s="29">
        <f t="shared" si="12"/>
        <v>40810.482304695994</v>
      </c>
      <c r="R54" s="29">
        <f t="shared" si="12"/>
        <v>41348.981604001914</v>
      </c>
      <c r="S54" s="29">
        <f t="shared" si="12"/>
        <v>41893.141049356214</v>
      </c>
      <c r="T54" s="29">
        <f t="shared" si="12"/>
        <v>42442.983375453601</v>
      </c>
      <c r="U54" s="29">
        <f t="shared" si="12"/>
        <v>42998.530177081659</v>
      </c>
      <c r="W54" s="954">
        <f>SUM(B54:U54)</f>
        <v>705802.07792226237</v>
      </c>
    </row>
    <row r="55" spans="1:55">
      <c r="A55" s="15" t="s">
        <v>481</v>
      </c>
      <c r="B55" s="29">
        <f>B26</f>
        <v>579.4</v>
      </c>
      <c r="C55" s="29">
        <f t="shared" ref="C55:T55" si="13">C26</f>
        <v>573.6</v>
      </c>
      <c r="D55" s="29">
        <f t="shared" si="13"/>
        <v>567.9</v>
      </c>
      <c r="E55" s="29">
        <f t="shared" si="13"/>
        <v>562.20000000000005</v>
      </c>
      <c r="F55" s="29">
        <f t="shared" si="13"/>
        <v>556.6</v>
      </c>
      <c r="G55" s="29">
        <f t="shared" si="13"/>
        <v>551</v>
      </c>
      <c r="H55" s="29">
        <f t="shared" si="13"/>
        <v>534.5</v>
      </c>
      <c r="I55" s="29">
        <f t="shared" si="13"/>
        <v>518.5</v>
      </c>
      <c r="J55" s="29">
        <f t="shared" si="13"/>
        <v>492.6</v>
      </c>
      <c r="K55" s="29">
        <f t="shared" si="13"/>
        <v>877.7</v>
      </c>
      <c r="L55" s="29">
        <f t="shared" si="13"/>
        <v>694.8</v>
      </c>
      <c r="M55" s="29">
        <f t="shared" si="13"/>
        <v>493.7</v>
      </c>
      <c r="N55" s="29">
        <f t="shared" si="13"/>
        <v>365.7</v>
      </c>
      <c r="O55" s="29">
        <f t="shared" si="13"/>
        <v>365.7</v>
      </c>
      <c r="P55" s="29">
        <f t="shared" si="13"/>
        <v>365.7</v>
      </c>
      <c r="Q55" s="29">
        <f t="shared" si="13"/>
        <v>365.7</v>
      </c>
      <c r="R55" s="29">
        <f t="shared" si="13"/>
        <v>365.7</v>
      </c>
      <c r="S55" s="29">
        <f t="shared" si="13"/>
        <v>365.7</v>
      </c>
      <c r="T55" s="29">
        <f t="shared" si="13"/>
        <v>365.7</v>
      </c>
      <c r="U55" s="29">
        <f>T55</f>
        <v>365.7</v>
      </c>
      <c r="W55" s="954">
        <f>SUM(B55:U55)</f>
        <v>9928.100000000004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-591.20000000000005</v>
      </c>
      <c r="C56" s="29">
        <f>-B55</f>
        <v>-579.4</v>
      </c>
      <c r="D56" s="29">
        <f t="shared" ref="D56:U56" si="14">-C55</f>
        <v>-573.6</v>
      </c>
      <c r="E56" s="29">
        <f t="shared" si="14"/>
        <v>-567.9</v>
      </c>
      <c r="F56" s="29">
        <f t="shared" si="14"/>
        <v>-562.20000000000005</v>
      </c>
      <c r="G56" s="29">
        <f t="shared" si="14"/>
        <v>-556.6</v>
      </c>
      <c r="H56" s="29">
        <f t="shared" si="14"/>
        <v>-551</v>
      </c>
      <c r="I56" s="29">
        <f t="shared" si="14"/>
        <v>-534.5</v>
      </c>
      <c r="J56" s="29">
        <f t="shared" si="14"/>
        <v>-518.5</v>
      </c>
      <c r="K56" s="29">
        <f t="shared" si="14"/>
        <v>-492.6</v>
      </c>
      <c r="L56" s="29">
        <f t="shared" si="14"/>
        <v>-877.7</v>
      </c>
      <c r="M56" s="29">
        <f t="shared" si="14"/>
        <v>-694.8</v>
      </c>
      <c r="N56" s="29">
        <f t="shared" si="14"/>
        <v>-493.7</v>
      </c>
      <c r="O56" s="29">
        <f t="shared" si="14"/>
        <v>-365.7</v>
      </c>
      <c r="P56" s="29">
        <f t="shared" si="14"/>
        <v>-365.7</v>
      </c>
      <c r="Q56" s="29">
        <f t="shared" si="14"/>
        <v>-365.7</v>
      </c>
      <c r="R56" s="29">
        <f t="shared" si="14"/>
        <v>-365.7</v>
      </c>
      <c r="S56" s="29">
        <f t="shared" si="14"/>
        <v>-365.7</v>
      </c>
      <c r="T56" s="29">
        <f t="shared" si="14"/>
        <v>-365.7</v>
      </c>
      <c r="U56" s="29">
        <f t="shared" si="14"/>
        <v>-365.7</v>
      </c>
      <c r="W56" s="954">
        <f>SUM(B56:U56)</f>
        <v>-10153.600000000004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-ENA_Debt!B77*ENA_Allocation!$E$8</f>
        <v>-14914.909407499601</v>
      </c>
      <c r="C57" s="1050">
        <f>-ENA_Debt!C77*ENA_Allocation!$E$8</f>
        <v>-14902.705915678864</v>
      </c>
      <c r="D57" s="1050">
        <f>-ENA_Debt!D77*ENA_Allocation!$E$8</f>
        <v>-14832.99138573615</v>
      </c>
      <c r="E57" s="1050">
        <f>-ENA_Debt!E77*ENA_Allocation!$E$8</f>
        <v>-14621.433532717676</v>
      </c>
      <c r="F57" s="1050">
        <f>-ENA_Debt!F77*ENA_Allocation!$E$8</f>
        <v>-15301.406839804737</v>
      </c>
      <c r="G57" s="1050">
        <f>-ENA_Debt!G77*ENA_Allocation!$E$8</f>
        <v>-15389.631320056398</v>
      </c>
      <c r="H57" s="1050">
        <f>-ENA_Debt!H77*ENA_Allocation!$E$8</f>
        <v>-15292.995973994228</v>
      </c>
      <c r="I57" s="1050">
        <f>-ENA_Debt!I77*ENA_Allocation!$E$8</f>
        <v>-15435.601041858577</v>
      </c>
      <c r="J57" s="1050">
        <f>-ENA_Debt!J77*ENA_Allocation!$E$8</f>
        <v>-15323.300540367529</v>
      </c>
      <c r="K57" s="1050">
        <f>-ENA_Debt!K77*ENA_Allocation!$E$8</f>
        <v>-15499.961942376625</v>
      </c>
      <c r="L57" s="1050">
        <f>-ENA_Debt!L77*ENA_Allocation!$E$8</f>
        <v>-15356.154063435832</v>
      </c>
      <c r="M57" s="1050">
        <f>-ENA_Debt!M77*ENA_Allocation!$E$8</f>
        <v>-14547.64398019347</v>
      </c>
      <c r="N57" s="1050">
        <f>-ENA_Debt!N77*ENA_Allocation!$E$8</f>
        <v>-13698.952432755152</v>
      </c>
      <c r="O57" s="1050">
        <f>-ENA_Debt!O77*ENA_Allocation!$E$8</f>
        <v>-12870.35161741481</v>
      </c>
      <c r="P57" s="1050">
        <f>-ENA_Debt!P77*ENA_Allocation!$E$8</f>
        <v>-12401.472603691143</v>
      </c>
      <c r="Q57" s="1050">
        <f>-ENA_Debt!Q77*ENA_Allocation!$E$8</f>
        <v>-11902.06021745699</v>
      </c>
      <c r="R57" s="1050">
        <f>-ENA_Debt!R77*ENA_Allocation!$E$8</f>
        <v>-10979.702652326087</v>
      </c>
      <c r="S57" s="1050">
        <f>-ENA_Debt!S77*ENA_Allocation!$E$8</f>
        <v>-8629.3545489850148</v>
      </c>
      <c r="T57" s="1050">
        <f>-ENA_Debt!T77*ENA_Allocation!$E$8</f>
        <v>-7883.613815178709</v>
      </c>
      <c r="U57" s="1050">
        <f>-ENA_Debt!U77*ENA_Allocation!$E$8</f>
        <v>-6399.360308690133</v>
      </c>
      <c r="W57" s="954">
        <f>SUM(B57:U57)</f>
        <v>-266183.60414021771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5">SUM(B54:B57)</f>
        <v>4411.9598665167414</v>
      </c>
      <c r="C59" s="95">
        <f t="shared" si="15"/>
        <v>4381.6184602134854</v>
      </c>
      <c r="D59" s="95">
        <f t="shared" si="15"/>
        <v>4400.9930986474465</v>
      </c>
      <c r="E59" s="95">
        <f t="shared" si="15"/>
        <v>17936.526265761058</v>
      </c>
      <c r="F59" s="95">
        <f t="shared" si="15"/>
        <v>19014.105209592613</v>
      </c>
      <c r="G59" s="95">
        <f t="shared" si="15"/>
        <v>19368.400471633366</v>
      </c>
      <c r="H59" s="95">
        <f t="shared" si="15"/>
        <v>19902.33246185755</v>
      </c>
      <c r="I59" s="95">
        <f t="shared" si="15"/>
        <v>20209.446527568121</v>
      </c>
      <c r="J59" s="95">
        <f t="shared" si="15"/>
        <v>20774.812398730493</v>
      </c>
      <c r="K59" s="95">
        <f t="shared" si="15"/>
        <v>21060.451876186053</v>
      </c>
      <c r="L59" s="95">
        <f t="shared" si="15"/>
        <v>21513.049087705433</v>
      </c>
      <c r="M59" s="95">
        <f t="shared" si="15"/>
        <v>23210.294444974337</v>
      </c>
      <c r="N59" s="95">
        <f t="shared" si="15"/>
        <v>24977.108429917902</v>
      </c>
      <c r="O59" s="95">
        <f t="shared" si="15"/>
        <v>26661.479223488532</v>
      </c>
      <c r="P59" s="95">
        <f t="shared" si="15"/>
        <v>27870.368991299045</v>
      </c>
      <c r="Q59" s="95">
        <f t="shared" si="15"/>
        <v>28908.422087239003</v>
      </c>
      <c r="R59" s="95">
        <f t="shared" si="15"/>
        <v>30369.278951675828</v>
      </c>
      <c r="S59" s="95">
        <f t="shared" si="15"/>
        <v>33263.7865003712</v>
      </c>
      <c r="T59" s="95">
        <f t="shared" si="15"/>
        <v>34559.369560274892</v>
      </c>
      <c r="U59" s="95">
        <f t="shared" si="15"/>
        <v>36599.169868391524</v>
      </c>
      <c r="W59" s="954">
        <f>SUM(B59:U59)</f>
        <v>439392.9737820446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outlineLevel="1">
      <c r="A61" s="15" t="s">
        <v>511</v>
      </c>
      <c r="B61" s="89">
        <f>-B100</f>
        <v>0</v>
      </c>
      <c r="C61" s="89">
        <f t="shared" ref="C61:U61" si="16">-C100</f>
        <v>0</v>
      </c>
      <c r="D61" s="89">
        <f t="shared" si="16"/>
        <v>0</v>
      </c>
      <c r="E61" s="89">
        <f t="shared" si="16"/>
        <v>0</v>
      </c>
      <c r="F61" s="89">
        <f t="shared" si="16"/>
        <v>0</v>
      </c>
      <c r="G61" s="89">
        <f t="shared" si="16"/>
        <v>-60.734653280313978</v>
      </c>
      <c r="H61" s="89">
        <f t="shared" si="16"/>
        <v>-648.09580740500598</v>
      </c>
      <c r="I61" s="89">
        <f t="shared" si="16"/>
        <v>-695.16507639413294</v>
      </c>
      <c r="J61" s="89">
        <f t="shared" si="16"/>
        <v>-751.10439754845549</v>
      </c>
      <c r="K61" s="89">
        <f t="shared" si="16"/>
        <v>-787.91365845435757</v>
      </c>
      <c r="L61" s="89">
        <f t="shared" si="16"/>
        <v>-869.82119104682215</v>
      </c>
      <c r="M61" s="89">
        <f t="shared" si="16"/>
        <v>-954.60169500286509</v>
      </c>
      <c r="N61" s="89">
        <f t="shared" si="16"/>
        <v>-1040.2791581574456</v>
      </c>
      <c r="O61" s="89">
        <f t="shared" si="16"/>
        <v>-1117.1059339285746</v>
      </c>
      <c r="P61" s="89">
        <f t="shared" si="16"/>
        <v>-1197.0504083279618</v>
      </c>
      <c r="Q61" s="89">
        <f t="shared" si="16"/>
        <v>-1560.0316379102348</v>
      </c>
      <c r="R61" s="89">
        <f t="shared" si="16"/>
        <v>-1925.6448338158921</v>
      </c>
      <c r="S61" s="89">
        <f t="shared" si="16"/>
        <v>-1996.337322844824</v>
      </c>
      <c r="T61" s="89">
        <f t="shared" si="16"/>
        <v>-2061.1164758400087</v>
      </c>
      <c r="U61" s="89">
        <f t="shared" si="16"/>
        <v>-2126.0900470429224</v>
      </c>
      <c r="W61" s="954">
        <f>SUM(B61:U61)</f>
        <v>-17791.092296999814</v>
      </c>
    </row>
    <row r="62" spans="1:55" outlineLevel="1">
      <c r="A62" s="15" t="s">
        <v>512</v>
      </c>
      <c r="B62" s="91">
        <f>-ENA_Allocation!$E$8*ENA_Tax!B24</f>
        <v>0</v>
      </c>
      <c r="C62" s="91">
        <f>-ENA_Allocation!$E$8*ENA_Tax!C24</f>
        <v>0</v>
      </c>
      <c r="D62" s="91">
        <f>-ENA_Allocation!$E$8*ENA_Tax!D24</f>
        <v>0</v>
      </c>
      <c r="E62" s="91">
        <f>-ENA_Allocation!$E$8*ENA_Tax!E24</f>
        <v>0</v>
      </c>
      <c r="F62" s="91">
        <f>-ENA_Allocation!$E$8*ENA_Tax!F24</f>
        <v>0</v>
      </c>
      <c r="G62" s="91">
        <f>-ENA_Allocation!$E$8*ENA_Tax!G24</f>
        <v>0</v>
      </c>
      <c r="H62" s="91">
        <f>-ENA_Allocation!$E$8*ENA_Tax!H24</f>
        <v>-3341.3489023226471</v>
      </c>
      <c r="I62" s="91">
        <f>-ENA_Allocation!$E$8*ENA_Tax!I24</f>
        <v>-4523.0323834785868</v>
      </c>
      <c r="J62" s="91">
        <f>-ENA_Allocation!$E$8*ENA_Tax!J24</f>
        <v>-4872.5341282611244</v>
      </c>
      <c r="K62" s="91">
        <f>-ENA_Allocation!$E$8*ENA_Tax!K24</f>
        <v>-5234.6829240654233</v>
      </c>
      <c r="L62" s="91">
        <f>-ENA_Allocation!$E$8*ENA_Tax!L24</f>
        <v>-5711.1595514765249</v>
      </c>
      <c r="M62" s="91">
        <f>-ENA_Allocation!$E$8*ENA_Tax!M24</f>
        <v>-6209.4871561240816</v>
      </c>
      <c r="N62" s="91">
        <f>-ENA_Allocation!$E$8*ENA_Tax!N24</f>
        <v>-6712.3321788565663</v>
      </c>
      <c r="O62" s="91">
        <f>-ENA_Allocation!$E$8*ENA_Tax!O24</f>
        <v>-7203.4880312980176</v>
      </c>
      <c r="P62" s="91">
        <f>-ENA_Allocation!$E$8*ENA_Tax!P24</f>
        <v>-7689.9156115455817</v>
      </c>
      <c r="Q62" s="91">
        <f>-ENA_Allocation!$E$8*ENA_Tax!Q24</f>
        <v>-10177.061605268102</v>
      </c>
      <c r="R62" s="91">
        <f>-ENA_Allocation!$E$8*ENA_Tax!R24</f>
        <v>-12653.031795664736</v>
      </c>
      <c r="S62" s="91">
        <f>-ENA_Allocation!$E$8*ENA_Tax!S24</f>
        <v>-13124.280458164734</v>
      </c>
      <c r="T62" s="91">
        <f>-ENA_Allocation!$E$8*ENA_Tax!T24</f>
        <v>-13557.037976852471</v>
      </c>
      <c r="U62" s="91">
        <f>-ENA_Allocation!$E$8*ENA_Tax!U24</f>
        <v>-13991.848106315878</v>
      </c>
      <c r="W62" s="954">
        <f>SUM(B62:U62)</f>
        <v>-115001.24080969449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4411.9598665167414</v>
      </c>
      <c r="C64" s="246">
        <f t="shared" si="17"/>
        <v>4381.6184602134854</v>
      </c>
      <c r="D64" s="246">
        <f t="shared" si="17"/>
        <v>4400.9930986474465</v>
      </c>
      <c r="E64" s="246">
        <f t="shared" si="17"/>
        <v>17936.526265761058</v>
      </c>
      <c r="F64" s="246">
        <f t="shared" si="17"/>
        <v>19014.105209592613</v>
      </c>
      <c r="G64" s="246">
        <f t="shared" si="17"/>
        <v>19307.665818353053</v>
      </c>
      <c r="H64" s="246">
        <f t="shared" si="17"/>
        <v>15912.887752129896</v>
      </c>
      <c r="I64" s="246">
        <f t="shared" si="17"/>
        <v>14991.249067695402</v>
      </c>
      <c r="J64" s="246">
        <f t="shared" si="17"/>
        <v>15151.173872920914</v>
      </c>
      <c r="K64" s="246">
        <f t="shared" si="17"/>
        <v>15037.855293666273</v>
      </c>
      <c r="L64" s="246">
        <f t="shared" si="17"/>
        <v>14932.068345182086</v>
      </c>
      <c r="M64" s="246">
        <f t="shared" si="17"/>
        <v>16046.205593847393</v>
      </c>
      <c r="N64" s="246">
        <f t="shared" si="17"/>
        <v>17224.49709290389</v>
      </c>
      <c r="O64" s="246">
        <f t="shared" si="17"/>
        <v>18340.88525826194</v>
      </c>
      <c r="P64" s="246">
        <f t="shared" si="17"/>
        <v>18983.402971425501</v>
      </c>
      <c r="Q64" s="246">
        <f t="shared" si="17"/>
        <v>17171.328844060667</v>
      </c>
      <c r="R64" s="246">
        <f t="shared" si="17"/>
        <v>15790.602322195202</v>
      </c>
      <c r="S64" s="246">
        <f t="shared" si="17"/>
        <v>18143.168719361638</v>
      </c>
      <c r="T64" s="246">
        <f t="shared" si="17"/>
        <v>18941.215107582411</v>
      </c>
      <c r="U64" s="246">
        <f t="shared" si="17"/>
        <v>20481.231715032725</v>
      </c>
      <c r="W64" s="954">
        <f>SUM(B64:U64)</f>
        <v>306600.64067535027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527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ENA_Allocation!$C$8*'ENA_Summary Output'!$C$8</f>
        <v>87232.892465151803</v>
      </c>
      <c r="C76" s="1053">
        <f>ENA_Allocation!$C$8*'ENA_Summary Output'!$C$8</f>
        <v>87232.892465151803</v>
      </c>
      <c r="D76" s="1053">
        <f>ENA_Allocation!$C$8*'ENA_Summary Output'!$C$8</f>
        <v>87232.892465151803</v>
      </c>
      <c r="E76" s="1053">
        <f>ENA_Allocation!$C$8*'ENA_Summary Output'!$C$8</f>
        <v>87232.892465151803</v>
      </c>
      <c r="F76" s="1053">
        <f>ENA_Allocation!$C$8*'ENA_Summary Output'!$C$8</f>
        <v>87232.892465151803</v>
      </c>
      <c r="G76" s="1053">
        <f>ENA_Allocation!$C$8*'ENA_Summary Output'!$C$8</f>
        <v>87232.892465151803</v>
      </c>
      <c r="H76" s="1053">
        <f>ENA_Allocation!$C$8*'ENA_Summary Output'!$C$8</f>
        <v>87232.892465151803</v>
      </c>
      <c r="I76" s="1053">
        <f>ENA_Allocation!$C$8*'ENA_Summary Output'!$C$8</f>
        <v>87232.892465151803</v>
      </c>
      <c r="J76" s="1053">
        <f>ENA_Allocation!$C$8*'ENA_Summary Output'!$C$8</f>
        <v>87232.892465151803</v>
      </c>
      <c r="K76" s="1053">
        <f>ENA_Allocation!$C$8*'ENA_Summary Output'!$C$8</f>
        <v>87232.892465151803</v>
      </c>
      <c r="L76" s="1053">
        <f>ENA_Allocation!$C$8*'ENA_Summary Output'!$C$8</f>
        <v>87232.892465151803</v>
      </c>
      <c r="M76" s="1053">
        <f>ENA_Allocation!$C$8*'ENA_Summary Output'!$C$8</f>
        <v>87232.892465151803</v>
      </c>
      <c r="N76" s="1053">
        <f>ENA_Allocation!$C$8*'ENA_Summary Output'!$C$8</f>
        <v>87232.892465151803</v>
      </c>
      <c r="O76" s="1053">
        <f>ENA_Allocation!$C$8*'ENA_Summary Output'!$C$8</f>
        <v>87232.892465151803</v>
      </c>
      <c r="P76" s="1053">
        <f>ENA_Allocation!$C$8*'ENA_Summary Output'!$C$8</f>
        <v>87232.892465151803</v>
      </c>
      <c r="Q76" s="1053">
        <f>ENA_Allocation!$C$8*'ENA_Summary Output'!$C$8</f>
        <v>87232.892465151803</v>
      </c>
      <c r="R76" s="1053">
        <f>ENA_Allocation!$C$8*'ENA_Summary Output'!$C$8</f>
        <v>87232.892465151803</v>
      </c>
      <c r="S76" s="1053">
        <f>ENA_Allocation!$C$8*'ENA_Summary Output'!$C$8</f>
        <v>87232.892465151803</v>
      </c>
      <c r="T76" s="1053">
        <f>ENA_Allocation!$C$8*'ENA_Summary Output'!$C$8</f>
        <v>87232.892465151803</v>
      </c>
      <c r="U76" s="1053">
        <f>ENA_Allocation!$C$8*'ENA_Summary Output'!$C$8</f>
        <v>87232.892465151803</v>
      </c>
    </row>
    <row r="77" spans="1:44" outlineLevel="1">
      <c r="A77" s="1055" t="s">
        <v>517</v>
      </c>
      <c r="B77" s="1056">
        <f>B44-B64-B12*(ENA_Assumptions!$D$39+(1-ENA_Assumptions!$D$39)*ENA_Assumptions!$D$38)</f>
        <v>-2381.1865009760309</v>
      </c>
      <c r="C77" s="1056">
        <f>C44-C64-C12*(ENA_Assumptions!$D$39+(1-ENA_Assumptions!$D$39)*ENA_Assumptions!$D$38)+B77</f>
        <v>-4646.1993147475259</v>
      </c>
      <c r="D77" s="1056">
        <f>D44-D64-D12*(ENA_Assumptions!$D$39+(1-ENA_Assumptions!$D$39)*ENA_Assumptions!$D$38)+C77</f>
        <v>-6798.3812340605327</v>
      </c>
      <c r="E77" s="1056">
        <f t="shared" ref="E77:U77" si="18">E44-E64+D77</f>
        <v>-16071.11429543136</v>
      </c>
      <c r="F77" s="1056">
        <f t="shared" si="18"/>
        <v>-25109.331739704368</v>
      </c>
      <c r="G77" s="1056">
        <f t="shared" si="18"/>
        <v>-33898.956811870958</v>
      </c>
      <c r="H77" s="1056">
        <f t="shared" si="18"/>
        <v>-38714.838321433432</v>
      </c>
      <c r="I77" s="1056">
        <f t="shared" si="18"/>
        <v>-42015.527390289273</v>
      </c>
      <c r="J77" s="1056">
        <f t="shared" si="18"/>
        <v>-44797.538932371172</v>
      </c>
      <c r="K77" s="1056">
        <f t="shared" si="18"/>
        <v>-46999.389238754113</v>
      </c>
      <c r="L77" s="1056">
        <f t="shared" si="18"/>
        <v>-48096.142853392354</v>
      </c>
      <c r="M77" s="1056">
        <f t="shared" si="18"/>
        <v>-49247.746208582343</v>
      </c>
      <c r="N77" s="1056">
        <f t="shared" si="18"/>
        <v>-50531.77267712618</v>
      </c>
      <c r="O77" s="1056">
        <f t="shared" si="18"/>
        <v>-51971.128345998208</v>
      </c>
      <c r="P77" s="1056">
        <f t="shared" si="18"/>
        <v>-53077.935753457779</v>
      </c>
      <c r="Q77" s="1056">
        <f t="shared" si="18"/>
        <v>-51503.094703856579</v>
      </c>
      <c r="R77" s="1056">
        <f t="shared" si="18"/>
        <v>-47645.448018600175</v>
      </c>
      <c r="S77" s="1056">
        <f t="shared" si="18"/>
        <v>-45267.31549100289</v>
      </c>
      <c r="T77" s="1056">
        <f t="shared" si="18"/>
        <v>-42887.206812135846</v>
      </c>
      <c r="U77" s="1056">
        <f t="shared" si="18"/>
        <v>-41244.691136363137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ENA_Debt!B73*ENA_Allocation!$E$8</f>
        <v>112140.34359578806</v>
      </c>
      <c r="C78" s="1057">
        <f>ENA_Debt!C73*ENA_Allocation!$E$8</f>
        <v>109549.19250158378</v>
      </c>
      <c r="D78" s="1057">
        <f>ENA_Debt!D73*ENA_Allocation!$E$8</f>
        <v>106763.21801683784</v>
      </c>
      <c r="E78" s="1057">
        <f>ENA_Debt!E73*ENA_Allocation!$E$8</f>
        <v>103981.13999990272</v>
      </c>
      <c r="F78" s="1057">
        <f>ENA_Debt!F73*ENA_Allocation!$E$8</f>
        <v>100151.69143541556</v>
      </c>
      <c r="G78" s="1057">
        <f>ENA_Debt!G73*ENA_Allocation!$E$8</f>
        <v>95798.557597152365</v>
      </c>
      <c r="H78" s="1057">
        <f>ENA_Debt!H73*ENA_Allocation!$E$8</f>
        <v>91052.659803557166</v>
      </c>
      <c r="I78" s="1057">
        <f>ENA_Debt!I73*ENA_Allocation!$E$8</f>
        <v>85652.155417741946</v>
      </c>
      <c r="J78" s="1057">
        <f>ENA_Debt!J73*ENA_Allocation!$E$8</f>
        <v>79727.965758150691</v>
      </c>
      <c r="K78" s="1057">
        <f>ENA_Debt!K73*ENA_Allocation!$E$8</f>
        <v>72922.395079748909</v>
      </c>
      <c r="L78" s="1057">
        <f>ENA_Debt!L73*ENA_Allocation!$E$8</f>
        <v>65519.106239165259</v>
      </c>
      <c r="M78" s="1057">
        <f>ENA_Debt!M73*ENA_Allocation!$E$8</f>
        <v>58115.817398581617</v>
      </c>
      <c r="N78" s="1057">
        <f>ENA_Debt!N73*ENA_Allocation!$E$8</f>
        <v>50712.528557997968</v>
      </c>
      <c r="O78" s="1057">
        <f>ENA_Debt!O73*ENA_Allocation!$E$8</f>
        <v>43309.239717414326</v>
      </c>
      <c r="P78" s="1057">
        <f>ENA_Debt!P73*ENA_Allocation!$E$8</f>
        <v>35535.786434801499</v>
      </c>
      <c r="Q78" s="1057">
        <f>ENA_Debt!Q73*ENA_Allocation!$E$8</f>
        <v>27392.168710159487</v>
      </c>
      <c r="R78" s="1057">
        <f>ENA_Debt!R73*ENA_Allocation!$E$8</f>
        <v>19248.550985517479</v>
      </c>
      <c r="S78" s="1057">
        <f>ENA_Debt!S73*ENA_Allocation!$E$8</f>
        <v>12585.591028992198</v>
      </c>
      <c r="T78" s="1057">
        <f>ENA_Debt!T73*ENA_Allocation!$E$8</f>
        <v>5922.6310724669165</v>
      </c>
      <c r="U78" s="1057">
        <f>ENA_Debt!U73*ENA_Allocation!$E$8</f>
        <v>-6.2371176200640148E-12</v>
      </c>
    </row>
    <row r="79" spans="1:44" outlineLevel="1">
      <c r="A79" s="291" t="s">
        <v>528</v>
      </c>
      <c r="B79" s="1058">
        <f>SUM(B76:B78)</f>
        <v>196992.04955996381</v>
      </c>
      <c r="C79" s="1058">
        <f t="shared" ref="C79:U79" si="19">SUM(C76:C78)</f>
        <v>192135.88565198804</v>
      </c>
      <c r="D79" s="1058">
        <f t="shared" si="19"/>
        <v>187197.72924792912</v>
      </c>
      <c r="E79" s="1058">
        <f t="shared" si="19"/>
        <v>175142.91816962318</v>
      </c>
      <c r="F79" s="1058">
        <f t="shared" si="19"/>
        <v>162275.25216086299</v>
      </c>
      <c r="G79" s="1058">
        <f t="shared" si="19"/>
        <v>149132.49325043321</v>
      </c>
      <c r="H79" s="1058">
        <f t="shared" si="19"/>
        <v>139570.71394727554</v>
      </c>
      <c r="I79" s="1058">
        <f t="shared" si="19"/>
        <v>130869.52049260447</v>
      </c>
      <c r="J79" s="1058">
        <f t="shared" si="19"/>
        <v>122163.31929093132</v>
      </c>
      <c r="K79" s="1058">
        <f t="shared" si="19"/>
        <v>113155.8983061466</v>
      </c>
      <c r="L79" s="1058">
        <f t="shared" si="19"/>
        <v>104655.85585092471</v>
      </c>
      <c r="M79" s="1058">
        <f t="shared" si="19"/>
        <v>96100.963655151078</v>
      </c>
      <c r="N79" s="1058">
        <f t="shared" si="19"/>
        <v>87413.64834602359</v>
      </c>
      <c r="O79" s="1058">
        <f t="shared" si="19"/>
        <v>78571.003836567921</v>
      </c>
      <c r="P79" s="1058">
        <f t="shared" si="19"/>
        <v>69690.743146495515</v>
      </c>
      <c r="Q79" s="1058">
        <f t="shared" si="19"/>
        <v>63121.966471454711</v>
      </c>
      <c r="R79" s="1058">
        <f t="shared" si="19"/>
        <v>58835.995432069103</v>
      </c>
      <c r="S79" s="1058">
        <f t="shared" si="19"/>
        <v>54551.168003141109</v>
      </c>
      <c r="T79" s="1058">
        <f t="shared" si="19"/>
        <v>50268.316725482873</v>
      </c>
      <c r="U79" s="1058">
        <f t="shared" si="19"/>
        <v>45988.201328788658</v>
      </c>
    </row>
    <row r="80" spans="1:44" outlineLevel="1">
      <c r="A80" s="1055" t="s">
        <v>521</v>
      </c>
      <c r="B80" s="1059">
        <f>ENA_Assumptions!$D$42</f>
        <v>2.5000000000000001E-3</v>
      </c>
      <c r="C80" s="1059">
        <f>ENA_Assumptions!$D$43</f>
        <v>2.5000000000000001E-3</v>
      </c>
      <c r="D80" s="1059">
        <f>ENA_Assumptions!$D$43</f>
        <v>2.5000000000000001E-3</v>
      </c>
      <c r="E80" s="1059">
        <f>ENA_Assumptions!$D$43</f>
        <v>2.5000000000000001E-3</v>
      </c>
      <c r="F80" s="1059">
        <f>ENA_Assumptions!$D$43</f>
        <v>2.5000000000000001E-3</v>
      </c>
      <c r="G80" s="1059">
        <f>ENA_Assumptions!$D$43</f>
        <v>2.5000000000000001E-3</v>
      </c>
      <c r="H80" s="1059">
        <f>ENA_Assumptions!$D$43</f>
        <v>2.5000000000000001E-3</v>
      </c>
      <c r="I80" s="1059">
        <f>ENA_Assumptions!$D$43</f>
        <v>2.5000000000000001E-3</v>
      </c>
      <c r="J80" s="1059">
        <f>ENA_Assumptions!$D$43</f>
        <v>2.5000000000000001E-3</v>
      </c>
      <c r="K80" s="1059">
        <f>ENA_Assumptions!$D$43</f>
        <v>2.5000000000000001E-3</v>
      </c>
      <c r="L80" s="1059">
        <f>ENA_Assumptions!$D$43</f>
        <v>2.5000000000000001E-3</v>
      </c>
      <c r="M80" s="1059">
        <f>ENA_Assumptions!$D$43</f>
        <v>2.5000000000000001E-3</v>
      </c>
      <c r="N80" s="1059">
        <f>ENA_Assumptions!$D$43</f>
        <v>2.5000000000000001E-3</v>
      </c>
      <c r="O80" s="1059">
        <f>ENA_Assumptions!$D$43</f>
        <v>2.5000000000000001E-3</v>
      </c>
      <c r="P80" s="1059">
        <f>ENA_Assumptions!$D$43</f>
        <v>2.5000000000000001E-3</v>
      </c>
      <c r="Q80" s="1059">
        <f>ENA_Assumptions!$D$43</f>
        <v>2.5000000000000001E-3</v>
      </c>
      <c r="R80" s="1059">
        <f>ENA_Assumptions!$D$43</f>
        <v>2.5000000000000001E-3</v>
      </c>
      <c r="S80" s="1059">
        <f>ENA_Assumptions!$D$43</f>
        <v>2.5000000000000001E-3</v>
      </c>
      <c r="T80" s="1059">
        <f>ENA_Assumptions!$D$43</f>
        <v>2.5000000000000001E-3</v>
      </c>
      <c r="U80" s="1059">
        <f>ENA_Assumptions!$D$43</f>
        <v>2.5000000000000001E-3</v>
      </c>
    </row>
    <row r="81" spans="1:44" outlineLevel="1">
      <c r="A81" s="291" t="s">
        <v>522</v>
      </c>
      <c r="B81" s="1060">
        <v>492.48012389990953</v>
      </c>
      <c r="C81" s="1060">
        <v>480.3397141299701</v>
      </c>
      <c r="D81" s="1060">
        <v>467.99432311982281</v>
      </c>
      <c r="E81" s="1060">
        <v>437.85729542405795</v>
      </c>
      <c r="F81" s="1060">
        <v>405.68813040215747</v>
      </c>
      <c r="G81" s="1060">
        <v>372.83123312608302</v>
      </c>
      <c r="H81" s="1060">
        <v>348.9261230525002</v>
      </c>
      <c r="I81" s="1060">
        <v>327.17307999264557</v>
      </c>
      <c r="J81" s="1060">
        <v>305.40750485665325</v>
      </c>
      <c r="K81" s="1060">
        <v>282.88888358778951</v>
      </c>
      <c r="L81" s="1060">
        <v>261.63871197191889</v>
      </c>
      <c r="M81" s="1060">
        <v>240.25141934100481</v>
      </c>
      <c r="N81" s="1060">
        <v>218.53307226722612</v>
      </c>
      <c r="O81" s="1060">
        <v>196.42640554040241</v>
      </c>
      <c r="P81" s="1060">
        <v>174.22570171400204</v>
      </c>
      <c r="Q81" s="1060">
        <v>157.80371083015464</v>
      </c>
      <c r="R81" s="1060">
        <v>147.08873649315333</v>
      </c>
      <c r="S81" s="1060">
        <v>136.37662364518297</v>
      </c>
      <c r="T81" s="1060">
        <v>125.66945364345278</v>
      </c>
      <c r="U81" s="1060">
        <v>114.96912581217008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3"/>
      <c r="C84" s="313"/>
      <c r="D84" s="313"/>
      <c r="E84" s="313"/>
      <c r="F84" s="313"/>
      <c r="G84" s="313"/>
      <c r="H84" s="313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13"/>
      <c r="T84" s="313"/>
      <c r="U84" s="313"/>
    </row>
    <row r="85" spans="1:44">
      <c r="A85" s="633"/>
      <c r="B85" s="313"/>
      <c r="C85" s="313"/>
      <c r="D85" s="313"/>
      <c r="E85" s="313"/>
      <c r="F85" s="313"/>
      <c r="G85" s="313"/>
      <c r="H85" s="313"/>
      <c r="I85" s="313"/>
      <c r="J85" s="313"/>
      <c r="K85" s="313"/>
      <c r="L85" s="313"/>
      <c r="M85" s="313"/>
      <c r="N85" s="313"/>
      <c r="O85" s="313"/>
      <c r="P85" s="313"/>
      <c r="Q85" s="313"/>
      <c r="R85" s="313"/>
      <c r="S85" s="313"/>
      <c r="T85" s="313"/>
      <c r="U85" s="313"/>
    </row>
    <row r="86" spans="1:44" outlineLevel="1">
      <c r="A86" s="598" t="s">
        <v>523</v>
      </c>
      <c r="B86" s="316">
        <f>B39-B12</f>
        <v>145.6999656308235</v>
      </c>
      <c r="C86" s="316">
        <f>C39-C12</f>
        <v>284.69961081508336</v>
      </c>
      <c r="D86" s="316">
        <f>D39-D12</f>
        <v>498.79763979070958</v>
      </c>
      <c r="E86" s="316">
        <f t="shared" ref="E86:U86" si="20">E39</f>
        <v>14030.43433909349</v>
      </c>
      <c r="F86" s="316">
        <f t="shared" si="20"/>
        <v>16155.283830477092</v>
      </c>
      <c r="G86" s="316">
        <f t="shared" si="20"/>
        <v>17033.264366293864</v>
      </c>
      <c r="H86" s="316">
        <f t="shared" si="20"/>
        <v>17970.860311850069</v>
      </c>
      <c r="I86" s="316">
        <f t="shared" si="20"/>
        <v>18932.080969780665</v>
      </c>
      <c r="J86" s="316">
        <f t="shared" si="20"/>
        <v>20031.032114719059</v>
      </c>
      <c r="K86" s="316">
        <f t="shared" si="20"/>
        <v>20787.052610985156</v>
      </c>
      <c r="L86" s="316">
        <f t="shared" si="20"/>
        <v>22405.367984686389</v>
      </c>
      <c r="M86" s="316">
        <f t="shared" si="20"/>
        <v>24120.813341955305</v>
      </c>
      <c r="N86" s="316">
        <f t="shared" si="20"/>
        <v>25814.527326898864</v>
      </c>
      <c r="O86" s="316">
        <f t="shared" si="20"/>
        <v>27370.898120469497</v>
      </c>
      <c r="P86" s="316">
        <f t="shared" si="20"/>
        <v>28949.952330309192</v>
      </c>
      <c r="Q86" s="316">
        <f t="shared" si="20"/>
        <v>30358.169868278332</v>
      </c>
      <c r="R86" s="316">
        <f t="shared" si="20"/>
        <v>31819.02673271516</v>
      </c>
      <c r="S86" s="316">
        <f t="shared" si="20"/>
        <v>33232.876513293799</v>
      </c>
      <c r="T86" s="316">
        <f t="shared" si="20"/>
        <v>34528.459573197491</v>
      </c>
      <c r="U86" s="316">
        <f t="shared" si="20"/>
        <v>35827.930997255768</v>
      </c>
      <c r="W86" s="1054">
        <f>SUM(B86:U86)</f>
        <v>420297.2285484958</v>
      </c>
    </row>
    <row r="87" spans="1:44" outlineLevel="1">
      <c r="A87" s="598" t="s">
        <v>502</v>
      </c>
      <c r="B87" s="316">
        <f>B33</f>
        <v>6693.8699436026827</v>
      </c>
      <c r="C87" s="316">
        <f t="shared" ref="C87:U87" si="21">C33</f>
        <v>6693.8699436026827</v>
      </c>
      <c r="D87" s="316">
        <f t="shared" si="21"/>
        <v>6693.8699436026827</v>
      </c>
      <c r="E87" s="316">
        <f t="shared" si="21"/>
        <v>6693.8699436026827</v>
      </c>
      <c r="F87" s="316">
        <f t="shared" si="21"/>
        <v>6693.8699436026827</v>
      </c>
      <c r="G87" s="316">
        <f t="shared" si="21"/>
        <v>6693.8699436026827</v>
      </c>
      <c r="H87" s="316">
        <f t="shared" si="21"/>
        <v>6693.8699436026827</v>
      </c>
      <c r="I87" s="316">
        <f t="shared" si="21"/>
        <v>6693.8699436026827</v>
      </c>
      <c r="J87" s="316">
        <f t="shared" si="21"/>
        <v>6693.8699436026827</v>
      </c>
      <c r="K87" s="316">
        <f t="shared" si="21"/>
        <v>6693.8699436026827</v>
      </c>
      <c r="L87" s="316">
        <f t="shared" si="21"/>
        <v>6693.8699436026827</v>
      </c>
      <c r="M87" s="316">
        <f t="shared" si="21"/>
        <v>6693.8699436026827</v>
      </c>
      <c r="N87" s="316">
        <f t="shared" si="21"/>
        <v>6693.8699436026827</v>
      </c>
      <c r="O87" s="316">
        <f t="shared" si="21"/>
        <v>6693.8699436026827</v>
      </c>
      <c r="P87" s="316">
        <f t="shared" si="21"/>
        <v>6693.8699436026827</v>
      </c>
      <c r="Q87" s="316">
        <f t="shared" si="21"/>
        <v>6693.8699436026827</v>
      </c>
      <c r="R87" s="316">
        <f t="shared" si="21"/>
        <v>6693.8699436026827</v>
      </c>
      <c r="S87" s="316">
        <f t="shared" si="21"/>
        <v>6693.8699436026827</v>
      </c>
      <c r="T87" s="316">
        <f t="shared" si="21"/>
        <v>6693.8699436026827</v>
      </c>
      <c r="U87" s="316">
        <f t="shared" si="21"/>
        <v>6693.8699436026827</v>
      </c>
      <c r="W87" s="1054">
        <f>SUM(B87:U87)</f>
        <v>133877.39887205363</v>
      </c>
    </row>
    <row r="88" spans="1:44" ht="15" outlineLevel="1">
      <c r="A88" s="598" t="s">
        <v>352</v>
      </c>
      <c r="B88" s="1062">
        <f>-ENA_Depreciation!C75</f>
        <v>-9917.6390740276565</v>
      </c>
      <c r="C88" s="1062">
        <f>-ENA_Depreciation!D75</f>
        <v>-18843.514240652548</v>
      </c>
      <c r="D88" s="1062">
        <f>-ENA_Depreciation!E75</f>
        <v>-16959.162816587293</v>
      </c>
      <c r="E88" s="1062">
        <f>-ENA_Depreciation!F75</f>
        <v>-15273.16417400259</v>
      </c>
      <c r="F88" s="1062">
        <f>-ENA_Depreciation!G75</f>
        <v>-13745.847756602332</v>
      </c>
      <c r="G88" s="1062">
        <f>-ENA_Depreciation!H75</f>
        <v>-12357.37828623846</v>
      </c>
      <c r="H88" s="1062">
        <f>-ENA_Depreciation!I75</f>
        <v>-11702.814107352633</v>
      </c>
      <c r="I88" s="1062">
        <f>-ENA_Depreciation!J75</f>
        <v>-11722.64938550069</v>
      </c>
      <c r="J88" s="1062">
        <f>-ENA_Depreciation!K75</f>
        <v>-11702.814107352633</v>
      </c>
      <c r="K88" s="1062">
        <f>-ENA_Depreciation!L75</f>
        <v>-11722.64938550069</v>
      </c>
      <c r="L88" s="1062">
        <f>-ENA_Depreciation!M75</f>
        <v>-11702.814107352633</v>
      </c>
      <c r="M88" s="1062">
        <f>-ENA_Depreciation!N75</f>
        <v>-11722.64938550069</v>
      </c>
      <c r="N88" s="1062">
        <f>-ENA_Depreciation!O75</f>
        <v>-11702.814107352633</v>
      </c>
      <c r="O88" s="1062">
        <f>-ENA_Depreciation!P75</f>
        <v>-11722.64938550069</v>
      </c>
      <c r="P88" s="1062">
        <f>-ENA_Depreciation!Q75</f>
        <v>-11702.814107352633</v>
      </c>
      <c r="Q88" s="1062">
        <f>-ENA_Depreciation!R75</f>
        <v>-5851.4070536763165</v>
      </c>
      <c r="R88" s="1062">
        <f>-ENA_Depreciation!S75</f>
        <v>0</v>
      </c>
      <c r="S88" s="1062">
        <f>-ENA_Depreciation!T75</f>
        <v>0</v>
      </c>
      <c r="T88" s="1062">
        <f>-ENA_Depreciation!U75</f>
        <v>0</v>
      </c>
      <c r="U88" s="1062">
        <f>-ENA_Depreciation!V75</f>
        <v>0</v>
      </c>
      <c r="W88" s="1063">
        <f>SUM(B88:U88)</f>
        <v>-198352.78148055312</v>
      </c>
    </row>
    <row r="89" spans="1:44" outlineLevel="1">
      <c r="A89" s="318" t="s">
        <v>524</v>
      </c>
      <c r="B89" s="296">
        <f t="shared" ref="B89:U89" si="22">SUM(B86:B88)</f>
        <v>-3078.0691647941503</v>
      </c>
      <c r="C89" s="296">
        <f t="shared" si="22"/>
        <v>-11864.944686234783</v>
      </c>
      <c r="D89" s="296">
        <f t="shared" si="22"/>
        <v>-9766.4952331939021</v>
      </c>
      <c r="E89" s="296">
        <f t="shared" si="22"/>
        <v>5451.1401086935821</v>
      </c>
      <c r="F89" s="296">
        <f t="shared" si="22"/>
        <v>9103.3060174774437</v>
      </c>
      <c r="G89" s="296">
        <f t="shared" si="22"/>
        <v>11369.756023658088</v>
      </c>
      <c r="H89" s="296">
        <f t="shared" si="22"/>
        <v>12961.916148100119</v>
      </c>
      <c r="I89" s="296">
        <f t="shared" si="22"/>
        <v>13903.301527882659</v>
      </c>
      <c r="J89" s="296">
        <f t="shared" si="22"/>
        <v>15022.087950969109</v>
      </c>
      <c r="K89" s="296">
        <f t="shared" si="22"/>
        <v>15758.27316908715</v>
      </c>
      <c r="L89" s="296">
        <f t="shared" si="22"/>
        <v>17396.423820936441</v>
      </c>
      <c r="M89" s="296">
        <f t="shared" si="22"/>
        <v>19092.0339000573</v>
      </c>
      <c r="N89" s="296">
        <f t="shared" si="22"/>
        <v>20805.583163148913</v>
      </c>
      <c r="O89" s="296">
        <f t="shared" si="22"/>
        <v>22342.118678571489</v>
      </c>
      <c r="P89" s="296">
        <f t="shared" si="22"/>
        <v>23941.008166559237</v>
      </c>
      <c r="Q89" s="296">
        <f t="shared" si="22"/>
        <v>31200.632758204694</v>
      </c>
      <c r="R89" s="296">
        <f t="shared" si="22"/>
        <v>38512.89667631784</v>
      </c>
      <c r="S89" s="296">
        <f t="shared" si="22"/>
        <v>39926.746456896479</v>
      </c>
      <c r="T89" s="296">
        <f t="shared" si="22"/>
        <v>41222.329516800171</v>
      </c>
      <c r="U89" s="296">
        <f t="shared" si="22"/>
        <v>42521.800940858448</v>
      </c>
      <c r="W89" s="1054">
        <f>SUM(B89:U89)</f>
        <v>355821.84593999636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ENA_Assumptions!$D$39</f>
        <v>0.05</v>
      </c>
      <c r="C91" s="1064">
        <f>ENA_Assumptions!$D$39</f>
        <v>0.05</v>
      </c>
      <c r="D91" s="1064">
        <f>ENA_Assumptions!$D$39</f>
        <v>0.05</v>
      </c>
      <c r="E91" s="1064">
        <f>ENA_Assumptions!$D$39</f>
        <v>0.05</v>
      </c>
      <c r="F91" s="1064">
        <f>ENA_Assumptions!$D$39</f>
        <v>0.05</v>
      </c>
      <c r="G91" s="1064">
        <f>ENA_Assumptions!$D$39</f>
        <v>0.05</v>
      </c>
      <c r="H91" s="1064">
        <f>ENA_Assumptions!$D$39</f>
        <v>0.05</v>
      </c>
      <c r="I91" s="1064">
        <f>ENA_Assumptions!$D$39</f>
        <v>0.05</v>
      </c>
      <c r="J91" s="1064">
        <f>ENA_Assumptions!$D$39</f>
        <v>0.05</v>
      </c>
      <c r="K91" s="1064">
        <f>ENA_Assumptions!$D$39</f>
        <v>0.05</v>
      </c>
      <c r="L91" s="1064">
        <f>ENA_Assumptions!$D$39</f>
        <v>0.05</v>
      </c>
      <c r="M91" s="1064">
        <f>ENA_Assumptions!$D$39</f>
        <v>0.05</v>
      </c>
      <c r="N91" s="1064">
        <f>ENA_Assumptions!$D$39</f>
        <v>0.05</v>
      </c>
      <c r="O91" s="1064">
        <f>ENA_Assumptions!$D$39</f>
        <v>0.05</v>
      </c>
      <c r="P91" s="1064">
        <f>ENA_Assumptions!$D$39</f>
        <v>0.05</v>
      </c>
      <c r="Q91" s="1064">
        <f>ENA_Assumptions!$D$39</f>
        <v>0.05</v>
      </c>
      <c r="R91" s="1064">
        <f>ENA_Assumptions!$D$39</f>
        <v>0.05</v>
      </c>
      <c r="S91" s="1064">
        <f>ENA_Assumptions!$D$39</f>
        <v>0.05</v>
      </c>
      <c r="T91" s="1064">
        <f>ENA_Assumptions!$D$39</f>
        <v>0.05</v>
      </c>
      <c r="U91" s="1064">
        <f>ENA_Assumptions!$D$39</f>
        <v>0.05</v>
      </c>
    </row>
    <row r="92" spans="1:44" outlineLevel="1">
      <c r="A92" s="598" t="s">
        <v>262</v>
      </c>
      <c r="B92" s="316">
        <f>B89*B91</f>
        <v>-153.90345823970753</v>
      </c>
      <c r="C92" s="316">
        <f t="shared" ref="C92:U92" si="23">C89*C91</f>
        <v>-593.24723431173913</v>
      </c>
      <c r="D92" s="316">
        <f t="shared" si="23"/>
        <v>-488.32476165969513</v>
      </c>
      <c r="E92" s="316">
        <f t="shared" si="23"/>
        <v>272.55700543467913</v>
      </c>
      <c r="F92" s="316">
        <f t="shared" si="23"/>
        <v>455.16530087387218</v>
      </c>
      <c r="G92" s="316">
        <f t="shared" si="23"/>
        <v>568.48780118290449</v>
      </c>
      <c r="H92" s="316">
        <f t="shared" si="23"/>
        <v>648.09580740500598</v>
      </c>
      <c r="I92" s="316">
        <f t="shared" si="23"/>
        <v>695.16507639413294</v>
      </c>
      <c r="J92" s="316">
        <f t="shared" si="23"/>
        <v>751.10439754845549</v>
      </c>
      <c r="K92" s="316">
        <f t="shared" si="23"/>
        <v>787.91365845435757</v>
      </c>
      <c r="L92" s="316">
        <f t="shared" si="23"/>
        <v>869.82119104682215</v>
      </c>
      <c r="M92" s="316">
        <f t="shared" si="23"/>
        <v>954.60169500286509</v>
      </c>
      <c r="N92" s="316">
        <f t="shared" si="23"/>
        <v>1040.2791581574456</v>
      </c>
      <c r="O92" s="316">
        <f t="shared" si="23"/>
        <v>1117.1059339285746</v>
      </c>
      <c r="P92" s="316">
        <f t="shared" si="23"/>
        <v>1197.0504083279618</v>
      </c>
      <c r="Q92" s="316">
        <f t="shared" si="23"/>
        <v>1560.0316379102348</v>
      </c>
      <c r="R92" s="316">
        <f t="shared" si="23"/>
        <v>1925.6448338158921</v>
      </c>
      <c r="S92" s="316">
        <f t="shared" si="23"/>
        <v>1996.337322844824</v>
      </c>
      <c r="T92" s="316">
        <f t="shared" si="23"/>
        <v>2061.1164758400087</v>
      </c>
      <c r="U92" s="316">
        <f t="shared" si="23"/>
        <v>2126.0900470429224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4">B98</f>
        <v>153.90345823970753</v>
      </c>
      <c r="D94" s="316">
        <f t="shared" si="24"/>
        <v>747.1506925514467</v>
      </c>
      <c r="E94" s="316">
        <f t="shared" si="24"/>
        <v>1235.4754542111418</v>
      </c>
      <c r="F94" s="316">
        <f t="shared" si="24"/>
        <v>962.9184487764627</v>
      </c>
      <c r="G94" s="316">
        <f t="shared" si="24"/>
        <v>507.75314790259051</v>
      </c>
      <c r="H94" s="316">
        <f t="shared" si="24"/>
        <v>0</v>
      </c>
      <c r="I94" s="316">
        <f t="shared" si="24"/>
        <v>0</v>
      </c>
      <c r="J94" s="316">
        <f t="shared" si="24"/>
        <v>0</v>
      </c>
      <c r="K94" s="316">
        <f t="shared" si="24"/>
        <v>0</v>
      </c>
      <c r="L94" s="316">
        <f t="shared" si="24"/>
        <v>0</v>
      </c>
      <c r="M94" s="316">
        <f t="shared" si="24"/>
        <v>0</v>
      </c>
      <c r="N94" s="316">
        <f>M98</f>
        <v>0</v>
      </c>
      <c r="O94" s="316">
        <f t="shared" si="24"/>
        <v>0</v>
      </c>
      <c r="P94" s="316">
        <f t="shared" si="24"/>
        <v>0</v>
      </c>
      <c r="Q94" s="316">
        <f t="shared" si="24"/>
        <v>0</v>
      </c>
      <c r="R94" s="316">
        <v>0</v>
      </c>
      <c r="S94" s="316">
        <f t="shared" si="24"/>
        <v>0</v>
      </c>
      <c r="T94" s="316">
        <f t="shared" si="24"/>
        <v>0</v>
      </c>
      <c r="U94" s="316">
        <f t="shared" si="24"/>
        <v>0</v>
      </c>
    </row>
    <row r="95" spans="1:44" outlineLevel="1">
      <c r="A95" s="598" t="s">
        <v>259</v>
      </c>
      <c r="B95" s="319">
        <f t="shared" ref="B95:U95" si="25">IF(B68&gt;2020,0,IF(B92&lt;0,-B92,0))</f>
        <v>153.90345823970753</v>
      </c>
      <c r="C95" s="319">
        <f t="shared" si="25"/>
        <v>593.24723431173913</v>
      </c>
      <c r="D95" s="319">
        <f t="shared" si="25"/>
        <v>488.32476165969513</v>
      </c>
      <c r="E95" s="319">
        <f t="shared" si="25"/>
        <v>0</v>
      </c>
      <c r="F95" s="319">
        <f t="shared" si="25"/>
        <v>0</v>
      </c>
      <c r="G95" s="319">
        <f t="shared" si="25"/>
        <v>0</v>
      </c>
      <c r="H95" s="319">
        <f t="shared" si="25"/>
        <v>0</v>
      </c>
      <c r="I95" s="319">
        <f t="shared" si="25"/>
        <v>0</v>
      </c>
      <c r="J95" s="319">
        <f t="shared" si="25"/>
        <v>0</v>
      </c>
      <c r="K95" s="319">
        <f t="shared" si="25"/>
        <v>0</v>
      </c>
      <c r="L95" s="319">
        <f t="shared" si="25"/>
        <v>0</v>
      </c>
      <c r="M95" s="319">
        <f t="shared" si="25"/>
        <v>0</v>
      </c>
      <c r="N95" s="319">
        <f t="shared" si="25"/>
        <v>0</v>
      </c>
      <c r="O95" s="319">
        <f t="shared" si="25"/>
        <v>0</v>
      </c>
      <c r="P95" s="319">
        <f t="shared" si="25"/>
        <v>0</v>
      </c>
      <c r="Q95" s="319">
        <f t="shared" si="25"/>
        <v>0</v>
      </c>
      <c r="R95" s="319">
        <f t="shared" si="25"/>
        <v>0</v>
      </c>
      <c r="S95" s="319">
        <f t="shared" si="25"/>
        <v>0</v>
      </c>
      <c r="T95" s="319">
        <f t="shared" si="25"/>
        <v>0</v>
      </c>
      <c r="U95" s="319">
        <f t="shared" si="25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6">IF(B92&lt;0,0,IF(B94&gt;B92,-B92,-B94))</f>
        <v>0</v>
      </c>
      <c r="C97" s="330">
        <f t="shared" si="26"/>
        <v>0</v>
      </c>
      <c r="D97" s="330">
        <f t="shared" si="26"/>
        <v>0</v>
      </c>
      <c r="E97" s="330">
        <f t="shared" si="26"/>
        <v>-272.55700543467913</v>
      </c>
      <c r="F97" s="330">
        <f t="shared" si="26"/>
        <v>-455.16530087387218</v>
      </c>
      <c r="G97" s="330">
        <f t="shared" si="26"/>
        <v>-507.75314790259051</v>
      </c>
      <c r="H97" s="330">
        <f t="shared" si="26"/>
        <v>0</v>
      </c>
      <c r="I97" s="330">
        <f t="shared" si="26"/>
        <v>0</v>
      </c>
      <c r="J97" s="330">
        <f t="shared" si="26"/>
        <v>0</v>
      </c>
      <c r="K97" s="330">
        <f t="shared" si="26"/>
        <v>0</v>
      </c>
      <c r="L97" s="330">
        <f t="shared" si="26"/>
        <v>0</v>
      </c>
      <c r="M97" s="330">
        <f t="shared" si="26"/>
        <v>0</v>
      </c>
      <c r="N97" s="330">
        <f t="shared" si="26"/>
        <v>0</v>
      </c>
      <c r="O97" s="330">
        <f t="shared" si="26"/>
        <v>0</v>
      </c>
      <c r="P97" s="330">
        <f t="shared" si="26"/>
        <v>0</v>
      </c>
      <c r="Q97" s="330">
        <f t="shared" si="26"/>
        <v>0</v>
      </c>
      <c r="R97" s="330">
        <f t="shared" si="26"/>
        <v>0</v>
      </c>
      <c r="S97" s="330">
        <f t="shared" si="26"/>
        <v>0</v>
      </c>
      <c r="T97" s="330">
        <f t="shared" si="26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7">SUM(B94:B97)</f>
        <v>153.90345823970753</v>
      </c>
      <c r="C98" s="330">
        <f t="shared" si="27"/>
        <v>747.1506925514467</v>
      </c>
      <c r="D98" s="330">
        <f t="shared" si="27"/>
        <v>1235.4754542111418</v>
      </c>
      <c r="E98" s="330">
        <f t="shared" si="27"/>
        <v>962.9184487764627</v>
      </c>
      <c r="F98" s="330">
        <f t="shared" si="27"/>
        <v>507.75314790259051</v>
      </c>
      <c r="G98" s="330">
        <f t="shared" si="27"/>
        <v>0</v>
      </c>
      <c r="H98" s="330">
        <f t="shared" si="27"/>
        <v>0</v>
      </c>
      <c r="I98" s="330">
        <f t="shared" si="27"/>
        <v>0</v>
      </c>
      <c r="J98" s="330">
        <f t="shared" si="27"/>
        <v>0</v>
      </c>
      <c r="K98" s="330">
        <f t="shared" si="27"/>
        <v>0</v>
      </c>
      <c r="L98" s="330">
        <f t="shared" si="27"/>
        <v>0</v>
      </c>
      <c r="M98" s="330">
        <f t="shared" si="27"/>
        <v>0</v>
      </c>
      <c r="N98" s="330">
        <f t="shared" si="27"/>
        <v>0</v>
      </c>
      <c r="O98" s="330">
        <f t="shared" si="27"/>
        <v>0</v>
      </c>
      <c r="P98" s="330">
        <f t="shared" si="27"/>
        <v>0</v>
      </c>
      <c r="Q98" s="330">
        <f t="shared" si="27"/>
        <v>0</v>
      </c>
      <c r="R98" s="330">
        <f t="shared" si="27"/>
        <v>0</v>
      </c>
      <c r="S98" s="330">
        <f t="shared" si="27"/>
        <v>0</v>
      </c>
      <c r="T98" s="330">
        <f t="shared" si="27"/>
        <v>0</v>
      </c>
      <c r="U98" s="330">
        <f t="shared" si="27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60.734653280313978</v>
      </c>
      <c r="H100" s="635">
        <f>IF('NewCo_Summary Output'!$P$8=1,IF(H92&lt;0,0,H92+H97),H92)</f>
        <v>648.09580740500598</v>
      </c>
      <c r="I100" s="635">
        <f>IF('NewCo_Summary Output'!$P$8=1,IF(I92&lt;0,0,I92+I97),I92)</f>
        <v>695.16507639413294</v>
      </c>
      <c r="J100" s="635">
        <f>IF('NewCo_Summary Output'!$P$8=1,IF(J92&lt;0,0,J92+J97),J92)</f>
        <v>751.10439754845549</v>
      </c>
      <c r="K100" s="635">
        <f>IF('NewCo_Summary Output'!$P$8=1,IF(K92&lt;0,0,K92+K97),K92)</f>
        <v>787.91365845435757</v>
      </c>
      <c r="L100" s="635">
        <f>IF('NewCo_Summary Output'!$P$8=1,IF(L92&lt;0,0,L92+L97),L92)</f>
        <v>869.82119104682215</v>
      </c>
      <c r="M100" s="635">
        <f>IF('NewCo_Summary Output'!$P$8=1,IF(M92&lt;0,0,M92+M97),M92)</f>
        <v>954.60169500286509</v>
      </c>
      <c r="N100" s="635">
        <f>IF('NewCo_Summary Output'!$P$8=1,IF(N92&lt;0,0,N92+N97),N92)</f>
        <v>1040.2791581574456</v>
      </c>
      <c r="O100" s="635">
        <f>IF('NewCo_Summary Output'!$P$8=1,IF(O92&lt;0,0,O92+O97),O92)</f>
        <v>1117.1059339285746</v>
      </c>
      <c r="P100" s="635">
        <f>IF('NewCo_Summary Output'!$P$8=1,IF(P92&lt;0,0,P92+P97),P92)</f>
        <v>1197.0504083279618</v>
      </c>
      <c r="Q100" s="635">
        <f>IF('NewCo_Summary Output'!$P$8=1,IF(Q92&lt;0,0,Q92+Q97),Q92)</f>
        <v>1560.0316379102348</v>
      </c>
      <c r="R100" s="635">
        <f>IF('NewCo_Summary Output'!$P$8=1,IF(R92&lt;0,0,R92+R97),R92)</f>
        <v>1925.6448338158921</v>
      </c>
      <c r="S100" s="635">
        <f>IF('NewCo_Summary Output'!$P$8=1,IF(S92&lt;0,0,S92+S97),S92)</f>
        <v>1996.337322844824</v>
      </c>
      <c r="T100" s="635">
        <f>IF('NewCo_Summary Output'!$P$8=1,IF(T92&lt;0,0,T92+T97),T92)</f>
        <v>2061.1164758400087</v>
      </c>
      <c r="U100" s="635">
        <f>IF('NewCo_Summary Output'!$P$8=1,IF(U92&lt;0,0,U92+U97),U92)</f>
        <v>2126.0900470429224</v>
      </c>
      <c r="W100" s="1054">
        <f>SUM(B100:U100)</f>
        <v>17791.092296999814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-3078.0691647941503</v>
      </c>
      <c r="C108" s="296">
        <f t="shared" ref="C108:U108" si="28">C89</f>
        <v>-11864.944686234783</v>
      </c>
      <c r="D108" s="296">
        <f t="shared" si="28"/>
        <v>-9766.4952331939021</v>
      </c>
      <c r="E108" s="296">
        <f t="shared" si="28"/>
        <v>5451.1401086935821</v>
      </c>
      <c r="F108" s="296">
        <f t="shared" si="28"/>
        <v>9103.3060174774437</v>
      </c>
      <c r="G108" s="296">
        <f t="shared" si="28"/>
        <v>11369.756023658088</v>
      </c>
      <c r="H108" s="296">
        <f t="shared" si="28"/>
        <v>12961.916148100119</v>
      </c>
      <c r="I108" s="296">
        <f t="shared" si="28"/>
        <v>13903.301527882659</v>
      </c>
      <c r="J108" s="296">
        <f t="shared" si="28"/>
        <v>15022.087950969109</v>
      </c>
      <c r="K108" s="296">
        <f t="shared" si="28"/>
        <v>15758.27316908715</v>
      </c>
      <c r="L108" s="296">
        <f t="shared" si="28"/>
        <v>17396.423820936441</v>
      </c>
      <c r="M108" s="296">
        <f t="shared" si="28"/>
        <v>19092.0339000573</v>
      </c>
      <c r="N108" s="296">
        <f t="shared" si="28"/>
        <v>20805.583163148913</v>
      </c>
      <c r="O108" s="296">
        <f t="shared" si="28"/>
        <v>22342.118678571489</v>
      </c>
      <c r="P108" s="296">
        <f t="shared" si="28"/>
        <v>23941.008166559237</v>
      </c>
      <c r="Q108" s="296">
        <f t="shared" si="28"/>
        <v>31200.632758204694</v>
      </c>
      <c r="R108" s="296">
        <f t="shared" si="28"/>
        <v>38512.89667631784</v>
      </c>
      <c r="S108" s="296">
        <f t="shared" si="28"/>
        <v>39926.746456896479</v>
      </c>
      <c r="T108" s="296">
        <f t="shared" si="28"/>
        <v>41222.329516800171</v>
      </c>
      <c r="U108" s="296">
        <f t="shared" si="28"/>
        <v>42521.800940858448</v>
      </c>
      <c r="W108" s="1054">
        <f>SUM(B108:U108)</f>
        <v>355821.84593999636</v>
      </c>
      <c r="X108" s="1054">
        <f>W89</f>
        <v>355821.84593999636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Output'!$C$11*ENA_Allocation!$E$8*NewCo_IS!B13</f>
        <v>1612.9934408400463</v>
      </c>
      <c r="C110" s="296">
        <f>'NewCo_Summary Output'!$C$11*ENA_Allocation!$E$8*NewCo_IS!C13</f>
        <v>1661.3832440652477</v>
      </c>
      <c r="D110" s="296">
        <f>'NewCo_Summary Output'!$C$11*ENA_Allocation!$E$8*NewCo_IS!D13</f>
        <v>1711.2247413872053</v>
      </c>
      <c r="E110" s="296">
        <f>'NewCo_Summary Output'!$C$11*ENA_Allocation!$E$8*NewCo_IS!E13</f>
        <v>1762.5614836288214</v>
      </c>
      <c r="F110" s="296">
        <f>'NewCo_Summary Output'!$C$11*ENA_Allocation!$E$8*NewCo_IS!F13</f>
        <v>1815.4383281376861</v>
      </c>
      <c r="G110" s="296">
        <f>'NewCo_Summary Output'!$C$11*ENA_Allocation!$E$8*NewCo_IS!G13</f>
        <v>1869.9014779818169</v>
      </c>
      <c r="H110" s="296">
        <f>'NewCo_Summary Output'!$C$11*ENA_Allocation!$E$8*NewCo_IS!H13</f>
        <v>1925.9985223212714</v>
      </c>
      <c r="I110" s="296">
        <f>'NewCo_Summary Output'!$C$11*ENA_Allocation!$E$8*NewCo_IS!I13</f>
        <v>1983.7784779909098</v>
      </c>
      <c r="J110" s="296">
        <f>'NewCo_Summary Output'!$C$11*ENA_Allocation!$E$8*NewCo_IS!J13</f>
        <v>2043.2918323306371</v>
      </c>
      <c r="K110" s="296">
        <f>'NewCo_Summary Output'!$C$11*ENA_Allocation!$E$8*NewCo_IS!K13</f>
        <v>2104.5905873005563</v>
      </c>
      <c r="L110" s="296">
        <f>'NewCo_Summary Output'!$C$11*ENA_Allocation!$E$8*NewCo_IS!L13</f>
        <v>2167.728304919573</v>
      </c>
      <c r="M110" s="296">
        <f>'NewCo_Summary Output'!$C$11*ENA_Allocation!$E$8*NewCo_IS!M13</f>
        <v>2232.7601540671603</v>
      </c>
      <c r="N110" s="296">
        <f>'NewCo_Summary Output'!$C$11*ENA_Allocation!$E$8*NewCo_IS!N13</f>
        <v>2299.7429586891753</v>
      </c>
      <c r="O110" s="296">
        <f>'NewCo_Summary Output'!$C$11*ENA_Allocation!$E$8*NewCo_IS!O13</f>
        <v>2368.7352474498507</v>
      </c>
      <c r="P110" s="296">
        <f>'NewCo_Summary Output'!$C$11*ENA_Allocation!$E$8*NewCo_IS!P13</f>
        <v>2439.7973048733461</v>
      </c>
      <c r="Q110" s="296">
        <f>'NewCo_Summary Output'!$C$11*ENA_Allocation!$E$8*NewCo_IS!Q13</f>
        <v>2512.9912240195467</v>
      </c>
      <c r="R110" s="296">
        <f>'NewCo_Summary Output'!$C$11*ENA_Allocation!$E$8*NewCo_IS!R13</f>
        <v>2588.3809607401331</v>
      </c>
      <c r="S110" s="296">
        <f>'NewCo_Summary Output'!$C$11*ENA_Allocation!$E$8*NewCo_IS!S13</f>
        <v>2666.0323895623374</v>
      </c>
      <c r="T110" s="296">
        <f>'NewCo_Summary Output'!$C$11*ENA_Allocation!$E$8*NewCo_IS!T13</f>
        <v>2746.0133612492073</v>
      </c>
      <c r="U110" s="296">
        <f>'NewCo_Summary Output'!$C$11*ENA_Allocation!$E$8*NewCo_IS!U13</f>
        <v>2828.3937620866836</v>
      </c>
      <c r="W110" s="1054">
        <f>SUM(B110:U110)</f>
        <v>43341.737803641212</v>
      </c>
      <c r="X110" s="1054">
        <f>NewCo_IS!X13*'NewCo_Summary Output'!C11*ENA_Allocation!E8</f>
        <v>43341.737803641219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-4691.0626056341971</v>
      </c>
      <c r="C112" s="296">
        <f t="shared" ref="C112:U112" si="29">C108-C110</f>
        <v>-13526.327930300031</v>
      </c>
      <c r="D112" s="296">
        <f t="shared" si="29"/>
        <v>-11477.719974581107</v>
      </c>
      <c r="E112" s="296">
        <f t="shared" si="29"/>
        <v>3688.5786250647607</v>
      </c>
      <c r="F112" s="296">
        <f t="shared" si="29"/>
        <v>7287.8676893397578</v>
      </c>
      <c r="G112" s="296">
        <f t="shared" si="29"/>
        <v>9499.8545456762713</v>
      </c>
      <c r="H112" s="296">
        <f t="shared" si="29"/>
        <v>11035.917625778848</v>
      </c>
      <c r="I112" s="296">
        <f t="shared" si="29"/>
        <v>11919.523049891748</v>
      </c>
      <c r="J112" s="296">
        <f t="shared" si="29"/>
        <v>12978.796118638473</v>
      </c>
      <c r="K112" s="296">
        <f t="shared" si="29"/>
        <v>13653.682581786594</v>
      </c>
      <c r="L112" s="296">
        <f t="shared" si="29"/>
        <v>15228.695516016869</v>
      </c>
      <c r="M112" s="296">
        <f t="shared" si="29"/>
        <v>16859.27374599014</v>
      </c>
      <c r="N112" s="296">
        <f t="shared" si="29"/>
        <v>18505.840204459739</v>
      </c>
      <c r="O112" s="296">
        <f t="shared" si="29"/>
        <v>19973.383431121638</v>
      </c>
      <c r="P112" s="296">
        <f t="shared" si="29"/>
        <v>21501.21086168589</v>
      </c>
      <c r="Q112" s="296">
        <f t="shared" si="29"/>
        <v>28687.641534185146</v>
      </c>
      <c r="R112" s="296">
        <f t="shared" si="29"/>
        <v>35924.515715577705</v>
      </c>
      <c r="S112" s="296">
        <f t="shared" si="29"/>
        <v>37260.714067334142</v>
      </c>
      <c r="T112" s="296">
        <f t="shared" si="29"/>
        <v>38476.316155550965</v>
      </c>
      <c r="U112" s="296">
        <f t="shared" si="29"/>
        <v>39693.407178771762</v>
      </c>
      <c r="W112" s="1054">
        <f>SUM(B112:U112)</f>
        <v>312480.10813635506</v>
      </c>
      <c r="X112" s="1054">
        <f>X108-X110</f>
        <v>312480.10813635512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0">C91</f>
        <v>0.05</v>
      </c>
      <c r="D114" s="1064">
        <f t="shared" si="30"/>
        <v>0.05</v>
      </c>
      <c r="E114" s="1064">
        <f t="shared" si="30"/>
        <v>0.05</v>
      </c>
      <c r="F114" s="1064">
        <f t="shared" si="30"/>
        <v>0.05</v>
      </c>
      <c r="G114" s="1064">
        <f t="shared" si="30"/>
        <v>0.05</v>
      </c>
      <c r="H114" s="1064">
        <f t="shared" si="30"/>
        <v>0.05</v>
      </c>
      <c r="I114" s="1064">
        <f t="shared" si="30"/>
        <v>0.05</v>
      </c>
      <c r="J114" s="1064">
        <f t="shared" si="30"/>
        <v>0.05</v>
      </c>
      <c r="K114" s="1064">
        <f t="shared" si="30"/>
        <v>0.05</v>
      </c>
      <c r="L114" s="1064">
        <f t="shared" si="30"/>
        <v>0.05</v>
      </c>
      <c r="M114" s="1064">
        <f t="shared" si="30"/>
        <v>0.05</v>
      </c>
      <c r="N114" s="1064">
        <f t="shared" si="30"/>
        <v>0.05</v>
      </c>
      <c r="O114" s="1064">
        <f t="shared" si="30"/>
        <v>0.05</v>
      </c>
      <c r="P114" s="1064">
        <f t="shared" si="30"/>
        <v>0.05</v>
      </c>
      <c r="Q114" s="1064">
        <f t="shared" si="30"/>
        <v>0.05</v>
      </c>
      <c r="R114" s="1064">
        <f t="shared" si="30"/>
        <v>0.05</v>
      </c>
      <c r="S114" s="1064">
        <f t="shared" si="30"/>
        <v>0.05</v>
      </c>
      <c r="T114" s="1064">
        <f t="shared" si="30"/>
        <v>0.05</v>
      </c>
      <c r="U114" s="1064">
        <f t="shared" si="30"/>
        <v>0.05</v>
      </c>
    </row>
    <row r="115" spans="1:55">
      <c r="A115" s="598" t="s">
        <v>262</v>
      </c>
      <c r="B115" s="316">
        <f>B112*B114</f>
        <v>-234.55313028170985</v>
      </c>
      <c r="C115" s="316">
        <f t="shared" ref="C115:U115" si="31">C112*C114</f>
        <v>-676.31639651500154</v>
      </c>
      <c r="D115" s="316">
        <f t="shared" si="31"/>
        <v>-573.88599872905536</v>
      </c>
      <c r="E115" s="316">
        <f t="shared" si="31"/>
        <v>184.42893125323803</v>
      </c>
      <c r="F115" s="316">
        <f t="shared" si="31"/>
        <v>364.39338446698792</v>
      </c>
      <c r="G115" s="316">
        <f t="shared" si="31"/>
        <v>474.99272728381357</v>
      </c>
      <c r="H115" s="316">
        <f t="shared" si="31"/>
        <v>551.79588128894238</v>
      </c>
      <c r="I115" s="316">
        <f t="shared" si="31"/>
        <v>595.97615249458738</v>
      </c>
      <c r="J115" s="316">
        <f t="shared" si="31"/>
        <v>648.93980593192373</v>
      </c>
      <c r="K115" s="316">
        <f t="shared" si="31"/>
        <v>682.68412908932976</v>
      </c>
      <c r="L115" s="316">
        <f t="shared" si="31"/>
        <v>761.43477580084345</v>
      </c>
      <c r="M115" s="316">
        <f t="shared" si="31"/>
        <v>842.963687299507</v>
      </c>
      <c r="N115" s="316">
        <f t="shared" si="31"/>
        <v>925.29201022298696</v>
      </c>
      <c r="O115" s="316">
        <f t="shared" si="31"/>
        <v>998.66917155608189</v>
      </c>
      <c r="P115" s="316">
        <f t="shared" si="31"/>
        <v>1075.0605430842945</v>
      </c>
      <c r="Q115" s="316">
        <f t="shared" si="31"/>
        <v>1434.3820767092575</v>
      </c>
      <c r="R115" s="316">
        <f t="shared" si="31"/>
        <v>1796.2257857788854</v>
      </c>
      <c r="S115" s="316">
        <f t="shared" si="31"/>
        <v>1863.0357033667071</v>
      </c>
      <c r="T115" s="316">
        <f t="shared" si="31"/>
        <v>1923.8158077775483</v>
      </c>
      <c r="U115" s="316">
        <f t="shared" si="31"/>
        <v>1984.6703589385882</v>
      </c>
      <c r="W115" s="1054">
        <f>SUM(B115:U115)</f>
        <v>15624.005406817758</v>
      </c>
      <c r="X115" s="1054">
        <f>X112*U114</f>
        <v>15624.005406817756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2">B121</f>
        <v>234.55313028170985</v>
      </c>
      <c r="D117" s="316">
        <f t="shared" si="32"/>
        <v>910.8695267967114</v>
      </c>
      <c r="E117" s="316">
        <f t="shared" si="32"/>
        <v>1484.7555255257666</v>
      </c>
      <c r="F117" s="316">
        <f t="shared" si="32"/>
        <v>1300.3265942725286</v>
      </c>
      <c r="G117" s="316">
        <f t="shared" si="32"/>
        <v>935.93320980554063</v>
      </c>
      <c r="H117" s="316">
        <f t="shared" si="32"/>
        <v>460.94048252172706</v>
      </c>
      <c r="I117" s="316">
        <f t="shared" si="32"/>
        <v>0</v>
      </c>
      <c r="J117" s="316">
        <f t="shared" si="32"/>
        <v>0</v>
      </c>
      <c r="K117" s="316">
        <f t="shared" si="32"/>
        <v>0</v>
      </c>
      <c r="L117" s="316">
        <f t="shared" si="32"/>
        <v>0</v>
      </c>
      <c r="M117" s="316">
        <f t="shared" si="32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3">IF(B81&gt;2020,0,IF(B115&lt;0,-B115,0))</f>
        <v>234.55313028170985</v>
      </c>
      <c r="C118" s="319">
        <f t="shared" si="33"/>
        <v>676.31639651500154</v>
      </c>
      <c r="D118" s="319">
        <f t="shared" si="33"/>
        <v>573.88599872905536</v>
      </c>
      <c r="E118" s="319">
        <f t="shared" si="33"/>
        <v>0</v>
      </c>
      <c r="F118" s="319">
        <f t="shared" si="33"/>
        <v>0</v>
      </c>
      <c r="G118" s="319">
        <f t="shared" si="33"/>
        <v>0</v>
      </c>
      <c r="H118" s="319">
        <f t="shared" si="33"/>
        <v>0</v>
      </c>
      <c r="I118" s="319">
        <f t="shared" si="33"/>
        <v>0</v>
      </c>
      <c r="J118" s="319">
        <f t="shared" si="33"/>
        <v>0</v>
      </c>
      <c r="K118" s="319">
        <f t="shared" si="33"/>
        <v>0</v>
      </c>
      <c r="L118" s="319">
        <f t="shared" si="33"/>
        <v>0</v>
      </c>
      <c r="M118" s="319">
        <f t="shared" si="33"/>
        <v>0</v>
      </c>
      <c r="N118" s="319">
        <f t="shared" si="33"/>
        <v>0</v>
      </c>
      <c r="O118" s="319">
        <f t="shared" si="33"/>
        <v>0</v>
      </c>
      <c r="P118" s="319">
        <f t="shared" si="33"/>
        <v>0</v>
      </c>
      <c r="Q118" s="319">
        <f t="shared" si="33"/>
        <v>0</v>
      </c>
      <c r="R118" s="319">
        <f t="shared" si="33"/>
        <v>0</v>
      </c>
      <c r="S118" s="319">
        <f t="shared" si="33"/>
        <v>0</v>
      </c>
      <c r="T118" s="319">
        <f t="shared" si="33"/>
        <v>0</v>
      </c>
      <c r="U118" s="319">
        <f t="shared" si="33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4">IF(B115&lt;0,0,IF(B117&gt;B115,-B115,-B117))</f>
        <v>0</v>
      </c>
      <c r="C120" s="330">
        <f t="shared" si="34"/>
        <v>0</v>
      </c>
      <c r="D120" s="330">
        <f t="shared" si="34"/>
        <v>0</v>
      </c>
      <c r="E120" s="330">
        <f t="shared" si="34"/>
        <v>-184.42893125323803</v>
      </c>
      <c r="F120" s="330">
        <f t="shared" si="34"/>
        <v>-364.39338446698792</v>
      </c>
      <c r="G120" s="330">
        <f t="shared" si="34"/>
        <v>-474.99272728381357</v>
      </c>
      <c r="H120" s="330">
        <f t="shared" si="34"/>
        <v>-460.94048252172706</v>
      </c>
      <c r="I120" s="330">
        <f t="shared" si="34"/>
        <v>0</v>
      </c>
      <c r="J120" s="330">
        <f t="shared" si="34"/>
        <v>0</v>
      </c>
      <c r="K120" s="330">
        <f t="shared" si="34"/>
        <v>0</v>
      </c>
      <c r="L120" s="330">
        <f t="shared" si="34"/>
        <v>0</v>
      </c>
      <c r="M120" s="330">
        <f t="shared" si="34"/>
        <v>0</v>
      </c>
      <c r="N120" s="330">
        <f t="shared" si="34"/>
        <v>0</v>
      </c>
      <c r="O120" s="330">
        <f t="shared" si="34"/>
        <v>0</v>
      </c>
      <c r="P120" s="330">
        <f t="shared" si="34"/>
        <v>0</v>
      </c>
      <c r="Q120" s="330">
        <f t="shared" si="34"/>
        <v>0</v>
      </c>
      <c r="R120" s="330">
        <f t="shared" si="34"/>
        <v>0</v>
      </c>
      <c r="S120" s="330">
        <f t="shared" si="34"/>
        <v>0</v>
      </c>
      <c r="T120" s="330">
        <f t="shared" si="34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5">SUM(B117:B120)</f>
        <v>234.55313028170985</v>
      </c>
      <c r="C121" s="330">
        <f t="shared" si="35"/>
        <v>910.8695267967114</v>
      </c>
      <c r="D121" s="330">
        <f t="shared" si="35"/>
        <v>1484.7555255257666</v>
      </c>
      <c r="E121" s="330">
        <f t="shared" si="35"/>
        <v>1300.3265942725286</v>
      </c>
      <c r="F121" s="330">
        <f t="shared" si="35"/>
        <v>935.93320980554063</v>
      </c>
      <c r="G121" s="330">
        <f t="shared" si="35"/>
        <v>460.94048252172706</v>
      </c>
      <c r="H121" s="330">
        <f t="shared" si="35"/>
        <v>0</v>
      </c>
      <c r="I121" s="330">
        <f t="shared" si="35"/>
        <v>0</v>
      </c>
      <c r="J121" s="330">
        <f t="shared" si="35"/>
        <v>0</v>
      </c>
      <c r="K121" s="330">
        <f t="shared" si="35"/>
        <v>0</v>
      </c>
      <c r="L121" s="330">
        <f t="shared" si="35"/>
        <v>0</v>
      </c>
      <c r="M121" s="330">
        <f t="shared" si="35"/>
        <v>0</v>
      </c>
      <c r="N121" s="330">
        <f t="shared" si="35"/>
        <v>0</v>
      </c>
      <c r="O121" s="330">
        <f t="shared" si="35"/>
        <v>0</v>
      </c>
      <c r="P121" s="330">
        <f t="shared" si="35"/>
        <v>0</v>
      </c>
      <c r="Q121" s="330">
        <f t="shared" si="35"/>
        <v>0</v>
      </c>
      <c r="R121" s="330">
        <f t="shared" si="35"/>
        <v>0</v>
      </c>
      <c r="S121" s="330">
        <f t="shared" si="35"/>
        <v>0</v>
      </c>
      <c r="T121" s="330">
        <f t="shared" si="35"/>
        <v>0</v>
      </c>
      <c r="U121" s="330">
        <f t="shared" si="35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90.85539876721532</v>
      </c>
      <c r="I123" s="635">
        <f>IF('NewCo_Summary Output'!$P$8=1,IF(I115&lt;0,0,I115+I120),I115)</f>
        <v>595.97615249458738</v>
      </c>
      <c r="J123" s="635">
        <f>IF('NewCo_Summary Output'!$P$8=1,IF(J115&lt;0,0,J115+J120),J115)</f>
        <v>648.93980593192373</v>
      </c>
      <c r="K123" s="635">
        <f>IF('NewCo_Summary Output'!$P$8=1,IF(K115&lt;0,0,K115+K120),K115)</f>
        <v>682.68412908932976</v>
      </c>
      <c r="L123" s="635">
        <f>IF('NewCo_Summary Output'!$P$8=1,IF(L115&lt;0,0,L115+L120),L115)</f>
        <v>761.43477580084345</v>
      </c>
      <c r="M123" s="635">
        <f>IF('NewCo_Summary Output'!$P$8=1,IF(M115&lt;0,0,M115+M120),M115)</f>
        <v>842.963687299507</v>
      </c>
      <c r="N123" s="635">
        <f>IF('NewCo_Summary Output'!$P$8=1,IF(N115&lt;0,0,N115+N120),N115)</f>
        <v>925.29201022298696</v>
      </c>
      <c r="O123" s="635">
        <f>IF('NewCo_Summary Output'!$P$8=1,IF(O115&lt;0,0,O115+O120),O115)</f>
        <v>998.66917155608189</v>
      </c>
      <c r="P123" s="635">
        <f>IF('NewCo_Summary Output'!$P$8=1,IF(P115&lt;0,0,P115+P120),P115)</f>
        <v>1075.0605430842945</v>
      </c>
      <c r="Q123" s="635">
        <f>IF('NewCo_Summary Output'!$P$8=1,IF(Q115&lt;0,0,Q115+Q120),Q115)</f>
        <v>1434.3820767092575</v>
      </c>
      <c r="R123" s="635">
        <f>IF('NewCo_Summary Output'!$P$8=1,IF(R115&lt;0,0,R115+R120),R115)</f>
        <v>1796.2257857788854</v>
      </c>
      <c r="S123" s="635">
        <f>IF('NewCo_Summary Output'!$P$8=1,IF(S115&lt;0,0,S115+S120),S115)</f>
        <v>1863.0357033667071</v>
      </c>
      <c r="T123" s="635">
        <f>IF('NewCo_Summary Output'!$P$8=1,IF(T115&lt;0,0,T115+T120),T115)</f>
        <v>1923.8158077775483</v>
      </c>
      <c r="U123" s="635">
        <f>IF('NewCo_Summary Output'!$P$8=1,IF(U115&lt;0,0,U115+U120),U115)</f>
        <v>1984.6703589385882</v>
      </c>
      <c r="W123" s="1054">
        <f>SUM(B123:U123)</f>
        <v>15624.005406817758</v>
      </c>
      <c r="X123" s="1054">
        <f>W115</f>
        <v>15624.005406817758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8404.438845476252</v>
      </c>
      <c r="C128" s="93">
        <f t="shared" ref="C128:U128" si="36">C39</f>
        <v>8543.4384906605119</v>
      </c>
      <c r="D128" s="93">
        <f t="shared" si="36"/>
        <v>8757.5365196361381</v>
      </c>
      <c r="E128" s="93">
        <f t="shared" si="36"/>
        <v>14030.43433909349</v>
      </c>
      <c r="F128" s="93">
        <f t="shared" si="36"/>
        <v>16155.283830477092</v>
      </c>
      <c r="G128" s="93">
        <f t="shared" si="36"/>
        <v>17033.264366293864</v>
      </c>
      <c r="H128" s="93">
        <f t="shared" si="36"/>
        <v>17970.860311850069</v>
      </c>
      <c r="I128" s="93">
        <f t="shared" si="36"/>
        <v>18932.080969780665</v>
      </c>
      <c r="J128" s="93">
        <f t="shared" si="36"/>
        <v>20031.032114719059</v>
      </c>
      <c r="K128" s="93">
        <f t="shared" si="36"/>
        <v>20787.052610985156</v>
      </c>
      <c r="L128" s="93">
        <f t="shared" si="36"/>
        <v>22405.367984686389</v>
      </c>
      <c r="M128" s="93">
        <f t="shared" si="36"/>
        <v>24120.813341955305</v>
      </c>
      <c r="N128" s="93">
        <f t="shared" si="36"/>
        <v>25814.527326898864</v>
      </c>
      <c r="O128" s="93">
        <f t="shared" si="36"/>
        <v>27370.898120469497</v>
      </c>
      <c r="P128" s="93">
        <f t="shared" si="36"/>
        <v>28949.952330309192</v>
      </c>
      <c r="Q128" s="93">
        <f t="shared" si="36"/>
        <v>30358.169868278332</v>
      </c>
      <c r="R128" s="93">
        <f t="shared" si="36"/>
        <v>31819.02673271516</v>
      </c>
      <c r="S128" s="93">
        <f t="shared" si="36"/>
        <v>33232.876513293799</v>
      </c>
      <c r="T128" s="93">
        <f t="shared" si="36"/>
        <v>34528.459573197491</v>
      </c>
      <c r="U128" s="93">
        <f t="shared" si="36"/>
        <v>35827.930997255768</v>
      </c>
      <c r="W128" s="1054">
        <f>SUM(B128:U128)</f>
        <v>445073.445188032</v>
      </c>
      <c r="X128" s="1054">
        <f>W39</f>
        <v>445073.445188032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1612.9934408400463</v>
      </c>
      <c r="C130" s="90">
        <f t="shared" ref="C130:U130" si="37">C110</f>
        <v>1661.3832440652477</v>
      </c>
      <c r="D130" s="90">
        <f t="shared" si="37"/>
        <v>1711.2247413872053</v>
      </c>
      <c r="E130" s="90">
        <f t="shared" si="37"/>
        <v>1762.5614836288214</v>
      </c>
      <c r="F130" s="90">
        <f t="shared" si="37"/>
        <v>1815.4383281376861</v>
      </c>
      <c r="G130" s="90">
        <f t="shared" si="37"/>
        <v>1869.9014779818169</v>
      </c>
      <c r="H130" s="90">
        <f t="shared" si="37"/>
        <v>1925.9985223212714</v>
      </c>
      <c r="I130" s="90">
        <f t="shared" si="37"/>
        <v>1983.7784779909098</v>
      </c>
      <c r="J130" s="90">
        <f t="shared" si="37"/>
        <v>2043.2918323306371</v>
      </c>
      <c r="K130" s="90">
        <f t="shared" si="37"/>
        <v>2104.5905873005563</v>
      </c>
      <c r="L130" s="90">
        <f t="shared" si="37"/>
        <v>2167.728304919573</v>
      </c>
      <c r="M130" s="90">
        <f t="shared" si="37"/>
        <v>2232.7601540671603</v>
      </c>
      <c r="N130" s="90">
        <f t="shared" si="37"/>
        <v>2299.7429586891753</v>
      </c>
      <c r="O130" s="90">
        <f t="shared" si="37"/>
        <v>2368.7352474498507</v>
      </c>
      <c r="P130" s="90">
        <f t="shared" si="37"/>
        <v>2439.7973048733461</v>
      </c>
      <c r="Q130" s="90">
        <f t="shared" si="37"/>
        <v>2512.9912240195467</v>
      </c>
      <c r="R130" s="90">
        <f t="shared" si="37"/>
        <v>2588.3809607401331</v>
      </c>
      <c r="S130" s="90">
        <f t="shared" si="37"/>
        <v>2666.0323895623374</v>
      </c>
      <c r="T130" s="90">
        <f t="shared" si="37"/>
        <v>2746.0133612492073</v>
      </c>
      <c r="U130" s="90">
        <f t="shared" si="37"/>
        <v>2828.3937620866836</v>
      </c>
      <c r="W130" s="1054">
        <f>SUM(B130:U130)</f>
        <v>43341.737803641212</v>
      </c>
      <c r="X130" s="1054">
        <f>NewCo_IS!X13*'NewCo_Summary Output'!C11*ENA_Allocation!E8</f>
        <v>43341.737803641219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6791.4454046362061</v>
      </c>
      <c r="C132" s="93">
        <f t="shared" ref="C132:U132" si="38">C128-C130</f>
        <v>6882.0552465952642</v>
      </c>
      <c r="D132" s="93">
        <f t="shared" si="38"/>
        <v>7046.3117782489326</v>
      </c>
      <c r="E132" s="93">
        <f t="shared" si="38"/>
        <v>12267.87285546467</v>
      </c>
      <c r="F132" s="93">
        <f t="shared" si="38"/>
        <v>14339.845502339405</v>
      </c>
      <c r="G132" s="93">
        <f t="shared" si="38"/>
        <v>15163.362888312047</v>
      </c>
      <c r="H132" s="93">
        <f t="shared" si="38"/>
        <v>16044.861789528797</v>
      </c>
      <c r="I132" s="93">
        <f t="shared" si="38"/>
        <v>16948.302491789756</v>
      </c>
      <c r="J132" s="93">
        <f t="shared" si="38"/>
        <v>17987.740282388422</v>
      </c>
      <c r="K132" s="93">
        <f t="shared" si="38"/>
        <v>18682.462023684599</v>
      </c>
      <c r="L132" s="93">
        <f t="shared" si="38"/>
        <v>20237.639679766817</v>
      </c>
      <c r="M132" s="93">
        <f t="shared" si="38"/>
        <v>21888.053187888145</v>
      </c>
      <c r="N132" s="93">
        <f t="shared" si="38"/>
        <v>23514.78436820969</v>
      </c>
      <c r="O132" s="93">
        <f t="shared" si="38"/>
        <v>25002.162873019646</v>
      </c>
      <c r="P132" s="93">
        <f t="shared" si="38"/>
        <v>26510.155025435844</v>
      </c>
      <c r="Q132" s="93">
        <f t="shared" si="38"/>
        <v>27845.178644258784</v>
      </c>
      <c r="R132" s="93">
        <f t="shared" si="38"/>
        <v>29230.645771975025</v>
      </c>
      <c r="S132" s="93">
        <f t="shared" si="38"/>
        <v>30566.844123731462</v>
      </c>
      <c r="T132" s="93">
        <f t="shared" si="38"/>
        <v>31782.446211948285</v>
      </c>
      <c r="U132" s="93">
        <f t="shared" si="38"/>
        <v>32999.537235169082</v>
      </c>
      <c r="W132" s="1054">
        <f>SUM(B132:U132)</f>
        <v>401731.70738439093</v>
      </c>
      <c r="X132" s="1054">
        <f>X128-X130</f>
        <v>401731.70738439076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-339.57227023181031</v>
      </c>
      <c r="C134" s="90">
        <f t="shared" ref="C134:U134" si="39">-C114*C132</f>
        <v>-344.10276232976321</v>
      </c>
      <c r="D134" s="90">
        <f t="shared" si="39"/>
        <v>-352.31558891244663</v>
      </c>
      <c r="E134" s="90">
        <f t="shared" si="39"/>
        <v>-613.39364277323352</v>
      </c>
      <c r="F134" s="90">
        <f t="shared" si="39"/>
        <v>-716.99227511697029</v>
      </c>
      <c r="G134" s="90">
        <f t="shared" si="39"/>
        <v>-758.16814441560246</v>
      </c>
      <c r="H134" s="90">
        <f t="shared" si="39"/>
        <v>-802.24308947643988</v>
      </c>
      <c r="I134" s="90">
        <f t="shared" si="39"/>
        <v>-847.41512458948785</v>
      </c>
      <c r="J134" s="90">
        <f t="shared" si="39"/>
        <v>-899.38701411942111</v>
      </c>
      <c r="K134" s="90">
        <f t="shared" si="39"/>
        <v>-934.12310118422999</v>
      </c>
      <c r="L134" s="90">
        <f t="shared" si="39"/>
        <v>-1011.8819839883408</v>
      </c>
      <c r="M134" s="90">
        <f t="shared" si="39"/>
        <v>-1094.4026593944072</v>
      </c>
      <c r="N134" s="90">
        <f t="shared" si="39"/>
        <v>-1175.7392184104845</v>
      </c>
      <c r="O134" s="90">
        <f t="shared" si="39"/>
        <v>-1250.1081436509824</v>
      </c>
      <c r="P134" s="90">
        <f t="shared" si="39"/>
        <v>-1325.5077512717924</v>
      </c>
      <c r="Q134" s="90">
        <f t="shared" si="39"/>
        <v>-1392.2589322129393</v>
      </c>
      <c r="R134" s="90">
        <f t="shared" si="39"/>
        <v>-1461.5322885987514</v>
      </c>
      <c r="S134" s="90">
        <f t="shared" si="39"/>
        <v>-1528.3422061865731</v>
      </c>
      <c r="T134" s="90">
        <f t="shared" si="39"/>
        <v>-1589.1223105974143</v>
      </c>
      <c r="U134" s="90">
        <f t="shared" si="39"/>
        <v>-1649.9768617584541</v>
      </c>
      <c r="W134" s="1054">
        <f>SUM(B134:U134)</f>
        <v>-20086.585369219545</v>
      </c>
      <c r="X134" s="1054">
        <f>-X132*U114</f>
        <v>-20086.585369219538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7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7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7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7" ht="18.75" hidden="1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7" hidden="1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7" hidden="1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7" hidden="1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7" hidden="1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7" hidden="1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7" hidden="1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7" hidden="1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7" hidden="1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7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7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  <c r="AA318" s="49"/>
    </row>
    <row r="319" spans="1:27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7" hidden="1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2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2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2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2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2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2" outlineLevel="1" collapsed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2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2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2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2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2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2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2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2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2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 spans="1:22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 spans="1:22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 spans="1:22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 spans="1:22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 spans="1:22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 spans="1:22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 spans="1:22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 spans="1:22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 spans="1:22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 spans="1:22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 spans="1:22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 spans="1:22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 spans="1:22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 spans="1:22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 spans="1:22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 spans="1:22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 spans="1:22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 spans="1:22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 spans="1:22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 spans="1:22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 spans="1:22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 spans="1:22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 spans="1:22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 spans="1:22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 spans="1:22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 spans="1:22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 spans="1:22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 spans="1:22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 spans="1:22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 spans="1:22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 spans="1:22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 spans="1:22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 spans="1:22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 spans="1:22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 spans="1:22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 spans="1:22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 spans="1:22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 spans="1:22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 spans="1:22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 spans="1:22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 spans="1:22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 spans="1:22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2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2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2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2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2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2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2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 collapsed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4:12" s="8" customFormat="1">
      <c r="D561" s="49"/>
      <c r="E561" s="49"/>
      <c r="F561" s="49"/>
      <c r="G561" s="49"/>
      <c r="H561" s="49"/>
      <c r="I561" s="49"/>
      <c r="J561" s="49"/>
      <c r="K561" s="49"/>
      <c r="L561" s="49"/>
    </row>
    <row r="562" spans="4:12" s="8" customFormat="1">
      <c r="D562" s="49"/>
      <c r="E562" s="49"/>
      <c r="F562" s="49"/>
      <c r="G562" s="49"/>
      <c r="H562" s="49"/>
      <c r="I562" s="49"/>
      <c r="J562" s="49"/>
      <c r="K562" s="49"/>
      <c r="L562" s="49"/>
    </row>
    <row r="563" spans="4:12" s="8" customFormat="1">
      <c r="D563" s="49"/>
      <c r="E563" s="49"/>
      <c r="F563" s="49"/>
      <c r="G563" s="49"/>
      <c r="H563" s="49"/>
      <c r="I563" s="49"/>
      <c r="J563" s="49"/>
      <c r="K563" s="49"/>
      <c r="L563" s="49"/>
    </row>
    <row r="564" spans="4:12" s="8" customFormat="1">
      <c r="D564" s="49"/>
      <c r="E564" s="49"/>
      <c r="F564" s="49"/>
      <c r="G564" s="49"/>
      <c r="H564" s="49"/>
      <c r="I564" s="49"/>
      <c r="J564" s="49"/>
      <c r="K564" s="49"/>
      <c r="L564" s="49"/>
    </row>
    <row r="565" spans="4:12" s="8" customFormat="1">
      <c r="D565" s="49"/>
      <c r="E565" s="49"/>
      <c r="F565" s="49"/>
      <c r="G565" s="49"/>
      <c r="H565" s="49"/>
      <c r="I565" s="49"/>
      <c r="J565" s="49"/>
      <c r="K565" s="49"/>
      <c r="L565" s="49"/>
    </row>
    <row r="566" spans="4:12" s="8" customFormat="1"/>
    <row r="567" spans="4:12" s="8" customFormat="1"/>
    <row r="568" spans="4:12" s="8" customFormat="1"/>
    <row r="569" spans="4:12" s="8" customFormat="1"/>
    <row r="570" spans="4:12" s="8" customFormat="1"/>
    <row r="571" spans="4:12" s="8" customFormat="1"/>
    <row r="572" spans="4:12" s="8" customFormat="1"/>
    <row r="573" spans="4:12" s="8" customFormat="1"/>
    <row r="574" spans="4:12" s="8" customFormat="1"/>
    <row r="575" spans="4:12" s="8" customFormat="1"/>
    <row r="576" spans="4:12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7.42578125" style="7" customWidth="1"/>
    <col min="2" max="3" width="10.7109375" style="7" customWidth="1" outlineLevel="1"/>
    <col min="4" max="21" width="10.7109375" style="7" customWidth="1"/>
    <col min="22" max="22" width="9.140625" style="8"/>
    <col min="23" max="24" width="10.57031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529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Brownsville!B5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886.07793520000007</v>
      </c>
      <c r="AA7" s="950">
        <f>C10+C11</f>
        <v>912.6602732560001</v>
      </c>
      <c r="AB7" s="950">
        <f>D10+D11</f>
        <v>940.04008145368016</v>
      </c>
      <c r="AC7" s="950">
        <f t="shared" ref="AC7:AS7" si="1">E16</f>
        <v>630.58864089729036</v>
      </c>
      <c r="AD7" s="950">
        <f t="shared" si="1"/>
        <v>649.50630012420902</v>
      </c>
      <c r="AE7" s="950">
        <f t="shared" si="1"/>
        <v>668.99148912793532</v>
      </c>
      <c r="AF7" s="950">
        <f t="shared" si="1"/>
        <v>689.06123380177348</v>
      </c>
      <c r="AG7" s="950">
        <f t="shared" si="1"/>
        <v>709.73307081582652</v>
      </c>
      <c r="AH7" s="950">
        <f t="shared" si="1"/>
        <v>731.02506294030138</v>
      </c>
      <c r="AI7" s="950">
        <f t="shared" si="1"/>
        <v>752.95581482851048</v>
      </c>
      <c r="AJ7" s="950">
        <f t="shared" si="1"/>
        <v>775.5444892733658</v>
      </c>
      <c r="AK7" s="950">
        <f t="shared" si="1"/>
        <v>798.81082395156659</v>
      </c>
      <c r="AL7" s="950">
        <f t="shared" si="1"/>
        <v>822.77514867011359</v>
      </c>
      <c r="AM7" s="950">
        <f t="shared" si="1"/>
        <v>847.45840313021711</v>
      </c>
      <c r="AN7" s="950">
        <f t="shared" si="1"/>
        <v>872.88215522412361</v>
      </c>
      <c r="AO7" s="950">
        <f t="shared" si="1"/>
        <v>899.06861988084722</v>
      </c>
      <c r="AP7" s="950">
        <f t="shared" si="1"/>
        <v>926.04067847727265</v>
      </c>
      <c r="AQ7" s="950">
        <f t="shared" si="1"/>
        <v>953.82189883159094</v>
      </c>
      <c r="AR7" s="950">
        <f t="shared" si="1"/>
        <v>982.43655579653853</v>
      </c>
      <c r="AS7" s="950">
        <f t="shared" si="1"/>
        <v>1011.9096524704347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886.07793520000007</v>
      </c>
      <c r="AA8" s="1048">
        <f>C23+C24</f>
        <v>912.6602732560001</v>
      </c>
      <c r="AB8" s="1048">
        <f>D23+D24</f>
        <v>940.04008145368016</v>
      </c>
      <c r="AC8" s="1048">
        <f t="shared" ref="AC8:AS8" si="2">E23+1/3*E24</f>
        <v>630.58864089729036</v>
      </c>
      <c r="AD8" s="1048">
        <f t="shared" si="2"/>
        <v>649.50630012420902</v>
      </c>
      <c r="AE8" s="1048">
        <f t="shared" si="2"/>
        <v>668.99148912793544</v>
      </c>
      <c r="AF8" s="1048">
        <f t="shared" si="2"/>
        <v>689.0612338017736</v>
      </c>
      <c r="AG8" s="1048">
        <f t="shared" si="2"/>
        <v>709.73307081582664</v>
      </c>
      <c r="AH8" s="1048">
        <f t="shared" si="2"/>
        <v>731.0250629403015</v>
      </c>
      <c r="AI8" s="1048">
        <f t="shared" si="2"/>
        <v>752.9558148285106</v>
      </c>
      <c r="AJ8" s="1048">
        <f t="shared" si="2"/>
        <v>775.5444892733658</v>
      </c>
      <c r="AK8" s="1048">
        <f t="shared" si="2"/>
        <v>798.8108239515667</v>
      </c>
      <c r="AL8" s="1048">
        <f t="shared" si="2"/>
        <v>822.77514867011382</v>
      </c>
      <c r="AM8" s="1048">
        <f t="shared" si="2"/>
        <v>847.45840313021722</v>
      </c>
      <c r="AN8" s="1048">
        <f t="shared" si="2"/>
        <v>872.88215522412372</v>
      </c>
      <c r="AO8" s="1048">
        <f t="shared" si="2"/>
        <v>899.06861988084734</v>
      </c>
      <c r="AP8" s="1048">
        <f t="shared" si="2"/>
        <v>926.04067847727288</v>
      </c>
      <c r="AQ8" s="1048">
        <f t="shared" si="2"/>
        <v>953.82189883159106</v>
      </c>
      <c r="AR8" s="1048">
        <f t="shared" si="2"/>
        <v>982.43655579653864</v>
      </c>
      <c r="AS8" s="1048">
        <f t="shared" si="2"/>
        <v>1011.9096524704349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Assumption'!C27*12*ENA_Assumptions!$E$9</f>
        <v>17808</v>
      </c>
      <c r="C9" s="20">
        <f>'ENA_Power Price Assumption'!D27*12*ENA_Assumptions!$E$9</f>
        <v>17808</v>
      </c>
      <c r="D9" s="20">
        <f>'ENA_Power Price Assumption'!E27*12*ENA_Assumptions!$E$9</f>
        <v>17808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53424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ENA_Assumptions!E20*ENA_Assumptions!E18/1000*(1+ENA_Assumptions!$E$26)</f>
        <v>422.57793520000007</v>
      </c>
      <c r="C10" s="20">
        <f>B10*(1+ENA_Assumptions!$E$26)</f>
        <v>435.25527325600007</v>
      </c>
      <c r="D10" s="20">
        <f>C10*(1+ENA_Assumptions!$E$26)</f>
        <v>448.31293145368011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1306.1461399096802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ENA_Assumptions!$E$19*ENA_Assumptions!$E$11*ENA_Assumptions!$E$8/1000*(1+ENA_Assumptions!$E$26)</f>
        <v>463.5</v>
      </c>
      <c r="C11" s="55">
        <f>B11*(1+ENA_Assumptions!$E$26)</f>
        <v>477.40500000000003</v>
      </c>
      <c r="D11" s="55">
        <f>C11*(1+ENA_Assumptions!$E$26)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Contract'!$C$23/3</f>
        <v>6575.090395756768</v>
      </c>
      <c r="C12" s="90">
        <f>'Amortization of Power Contract'!$C$23/3</f>
        <v>6575.090395756768</v>
      </c>
      <c r="D12" s="90">
        <f>'Amortization of Power Contract'!$C$23/3</f>
        <v>6575.090395756768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19725.271187270304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Assumption'!F27*ENA_Assumptions!$E$9*12</f>
        <v>28580.690259731728</v>
      </c>
      <c r="F15" s="295">
        <f>'ENA_Power Price Assumption'!G27*ENA_Assumptions!$E$9*12</f>
        <v>29997.90319162907</v>
      </c>
      <c r="G15" s="295">
        <f>'ENA_Power Price Assumption'!H27*ENA_Assumptions!$E$9*12</f>
        <v>30382.587490901788</v>
      </c>
      <c r="H15" s="295">
        <f>'ENA_Power Price Assumption'!I27*ENA_Assumptions!$E$9*12</f>
        <v>30772.204868635425</v>
      </c>
      <c r="I15" s="295">
        <f>'ENA_Power Price Assumption'!J27*ENA_Assumptions!$E$9*12</f>
        <v>31166.818585179157</v>
      </c>
      <c r="J15" s="295">
        <f>'ENA_Power Price Assumption'!K27*ENA_Assumptions!$E$9*12</f>
        <v>31566.492712114316</v>
      </c>
      <c r="K15" s="295">
        <f>'ENA_Power Price Assumption'!L27*ENA_Assumptions!$E$9*12</f>
        <v>31971.292142657378</v>
      </c>
      <c r="L15" s="295">
        <f>'ENA_Power Price Assumption'!M27*ENA_Assumptions!$E$9*12</f>
        <v>32576.257894258524</v>
      </c>
      <c r="M15" s="295">
        <f>'ENA_Power Price Assumption'!N27*ENA_Assumptions!$E$9*12</f>
        <v>33192.670901697107</v>
      </c>
      <c r="N15" s="295">
        <f>'ENA_Power Price Assumption'!O27*ENA_Assumptions!$E$9*12</f>
        <v>33820.747771724593</v>
      </c>
      <c r="O15" s="295">
        <f>'ENA_Power Price Assumption'!P27*ENA_Assumptions!$E$9*12</f>
        <v>34460.709209759014</v>
      </c>
      <c r="P15" s="295">
        <f>'ENA_Power Price Assumption'!Q27*ENA_Assumptions!$E$9*12</f>
        <v>35112.780097440627</v>
      </c>
      <c r="Q15" s="295">
        <f>'ENA_Power Price Assumption'!R27*ENA_Assumptions!$E$9*12</f>
        <v>35613.748729049599</v>
      </c>
      <c r="R15" s="295">
        <f>'ENA_Power Price Assumption'!S27*ENA_Assumptions!$E$9*12</f>
        <v>36121.864888400887</v>
      </c>
      <c r="S15" s="295">
        <f>'ENA_Power Price Assumption'!T27*ENA_Assumptions!$E$9*12</f>
        <v>36637.230552244335</v>
      </c>
      <c r="T15" s="295">
        <f>'ENA_Power Price Assumption'!U27*ENA_Assumptions!$E$9*12</f>
        <v>37159.949152274457</v>
      </c>
      <c r="U15" s="295">
        <f>'ENA_Power Price Assumption'!V27*ENA_Assumptions!$E$9*12</f>
        <v>37690.125595888836</v>
      </c>
      <c r="W15" s="55">
        <f>SUM(B15:U15)</f>
        <v>566824.07404358685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1/3*ENA_Assumptions!$E$19*ENA_Assumptions!$E$11*ENA_Assumptions!$E$8/1000*(1+ENA_Assumptions!$E$26)^(E5-2000)+ENA_Assumptions!$E$20*ENA_Assumptions!$E$18*(1+ENA_Assumptions!$E$26)^(E5-2000)/1000</f>
        <v>630.58864089729036</v>
      </c>
      <c r="F16" s="90">
        <f>1/3*ENA_Assumptions!$E$19*ENA_Assumptions!$E$11*ENA_Assumptions!$E$8/1000*(1+ENA_Assumptions!$E$26)^(F5-2000)+ENA_Assumptions!$E$20*ENA_Assumptions!$E$18*(1+ENA_Assumptions!$E$26)^(F5-2000)/1000</f>
        <v>649.50630012420902</v>
      </c>
      <c r="G16" s="90">
        <f>1/3*ENA_Assumptions!$E$19*ENA_Assumptions!$E$11*ENA_Assumptions!$E$8/1000*(1+ENA_Assumptions!$E$26)^(G5-2000)+ENA_Assumptions!$E$20*ENA_Assumptions!$E$18*(1+ENA_Assumptions!$E$26)^(G5-2000)/1000</f>
        <v>668.99148912793532</v>
      </c>
      <c r="H16" s="90">
        <f>1/3*ENA_Assumptions!$E$19*ENA_Assumptions!$E$11*ENA_Assumptions!$E$8/1000*(1+ENA_Assumptions!$E$26)^(H5-2000)+ENA_Assumptions!$E$20*ENA_Assumptions!$E$18*(1+ENA_Assumptions!$E$26)^(H5-2000)/1000</f>
        <v>689.06123380177348</v>
      </c>
      <c r="I16" s="90">
        <f>1/3*ENA_Assumptions!$E$19*ENA_Assumptions!$E$11*ENA_Assumptions!$E$8/1000*(1+ENA_Assumptions!$E$26)^(I5-2000)+ENA_Assumptions!$E$20*ENA_Assumptions!$E$18*(1+ENA_Assumptions!$E$26)^(I5-2000)/1000</f>
        <v>709.73307081582652</v>
      </c>
      <c r="J16" s="90">
        <f>1/3*ENA_Assumptions!$E$19*ENA_Assumptions!$E$11*ENA_Assumptions!$E$8/1000*(1+ENA_Assumptions!$E$26)^(J5-2000)+ENA_Assumptions!$E$20*ENA_Assumptions!$E$18*(1+ENA_Assumptions!$E$26)^(J5-2000)/1000</f>
        <v>731.02506294030138</v>
      </c>
      <c r="K16" s="90">
        <f>1/3*ENA_Assumptions!$E$19*ENA_Assumptions!$E$11*ENA_Assumptions!$E$8/1000*(1+ENA_Assumptions!$E$26)^(K5-2000)+ENA_Assumptions!$E$20*ENA_Assumptions!$E$18*(1+ENA_Assumptions!$E$26)^(K5-2000)/1000</f>
        <v>752.95581482851048</v>
      </c>
      <c r="L16" s="90">
        <f>1/3*ENA_Assumptions!$E$19*ENA_Assumptions!$E$11*ENA_Assumptions!$E$8/1000*(1+ENA_Assumptions!$E$26)^(L5-2000)+ENA_Assumptions!$E$20*ENA_Assumptions!$E$18*(1+ENA_Assumptions!$E$26)^(L5-2000)/1000</f>
        <v>775.5444892733658</v>
      </c>
      <c r="M16" s="90">
        <f>1/3*ENA_Assumptions!$E$19*ENA_Assumptions!$E$11*ENA_Assumptions!$E$8/1000*(1+ENA_Assumptions!$E$26)^(M5-2000)+ENA_Assumptions!$E$20*ENA_Assumptions!$E$18*(1+ENA_Assumptions!$E$26)^(M5-2000)/1000</f>
        <v>798.81082395156659</v>
      </c>
      <c r="N16" s="90">
        <f>1/3*ENA_Assumptions!$E$19*ENA_Assumptions!$E$11*ENA_Assumptions!$E$8/1000*(1+ENA_Assumptions!$E$26)^(N5-2000)+ENA_Assumptions!$E$20*ENA_Assumptions!$E$18*(1+ENA_Assumptions!$E$26)^(N5-2000)/1000</f>
        <v>822.77514867011359</v>
      </c>
      <c r="O16" s="90">
        <f>1/3*ENA_Assumptions!$E$19*ENA_Assumptions!$E$11*ENA_Assumptions!$E$8/1000*(1+ENA_Assumptions!$E$26)^(O5-2000)+ENA_Assumptions!$E$20*ENA_Assumptions!$E$18*(1+ENA_Assumptions!$E$26)^(O5-2000)/1000</f>
        <v>847.45840313021711</v>
      </c>
      <c r="P16" s="90">
        <f>1/3*ENA_Assumptions!$E$19*ENA_Assumptions!$E$11*ENA_Assumptions!$E$8/1000*(1+ENA_Assumptions!$E$26)^(P5-2000)+ENA_Assumptions!$E$20*ENA_Assumptions!$E$18*(1+ENA_Assumptions!$E$26)^(P5-2000)/1000</f>
        <v>872.88215522412361</v>
      </c>
      <c r="Q16" s="90">
        <f>1/3*ENA_Assumptions!$E$19*ENA_Assumptions!$E$11*ENA_Assumptions!$E$8/1000*(1+ENA_Assumptions!$E$26)^(Q5-2000)+ENA_Assumptions!$E$20*ENA_Assumptions!$E$18*(1+ENA_Assumptions!$E$26)^(Q5-2000)/1000</f>
        <v>899.06861988084722</v>
      </c>
      <c r="R16" s="90">
        <f>1/3*ENA_Assumptions!$E$19*ENA_Assumptions!$E$11*ENA_Assumptions!$E$8/1000*(1+ENA_Assumptions!$E$26)^(R5-2000)+ENA_Assumptions!$E$20*ENA_Assumptions!$E$18*(1+ENA_Assumptions!$E$26)^(R5-2000)/1000</f>
        <v>926.04067847727265</v>
      </c>
      <c r="S16" s="90">
        <f>1/3*ENA_Assumptions!$E$19*ENA_Assumptions!$E$11*ENA_Assumptions!$E$8/1000*(1+ENA_Assumptions!$E$26)^(S5-2000)+ENA_Assumptions!$E$20*ENA_Assumptions!$E$18*(1+ENA_Assumptions!$E$26)^(S5-2000)/1000</f>
        <v>953.82189883159094</v>
      </c>
      <c r="T16" s="90">
        <f>1/3*ENA_Assumptions!$E$19*ENA_Assumptions!$E$11*ENA_Assumptions!$E$8/1000*(1+ENA_Assumptions!$E$26)^(T5-2000)+ENA_Assumptions!$E$20*ENA_Assumptions!$E$18*(1+ENA_Assumptions!$E$26)^(T5-2000)/1000</f>
        <v>982.43655579653853</v>
      </c>
      <c r="U16" s="90">
        <f>1/3*ENA_Assumptions!$E$19*ENA_Assumptions!$E$11*ENA_Assumptions!$E$8/1000*(1+ENA_Assumptions!$E$26)^(U5-2000)+ENA_Assumptions!$E$20*ENA_Assumptions!$E$18*(1+ENA_Assumptions!$E$26)^(U5-2000)/1000</f>
        <v>1011.9096524704347</v>
      </c>
      <c r="W16" s="55">
        <f>SUM(B16:U16)</f>
        <v>13722.610038241919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182.41486702980825</v>
      </c>
      <c r="C18" s="297">
        <f>(SUM(C9:C11)-SUM(C22:C27))*'ENA_Summary Output'!$B$29/4</f>
        <v>181.70325336228831</v>
      </c>
      <c r="D18" s="297">
        <f>(SUM(D9:D11)-SUM(D22:D27))*'ENA_Summary Output'!$B$29/4</f>
        <v>180.97488075606495</v>
      </c>
      <c r="E18" s="297">
        <f>(SUM(E9:E16)-SUM(E22:E27))*'ENA_Summary Output'!$B$29/4</f>
        <v>310.9097906582931</v>
      </c>
      <c r="F18" s="297">
        <f>(SUM(F9:F16)-SUM(F22:F27))*'ENA_Summary Output'!$B$29/4</f>
        <v>328.0001163843861</v>
      </c>
      <c r="G18" s="297">
        <f>(SUM(G9:G16)-SUM(G22:G27))*'ENA_Summary Output'!$B$29/4</f>
        <v>332.24580788496871</v>
      </c>
      <c r="H18" s="297">
        <f>(SUM(H9:H16)-SUM(H22:H27))*'ENA_Summary Output'!$B$29/4</f>
        <v>336.54197064328559</v>
      </c>
      <c r="I18" s="297">
        <f>(SUM(I9:I16)-SUM(I22:I27))*'ENA_Summary Output'!$B$29/4</f>
        <v>340.86805289202903</v>
      </c>
      <c r="J18" s="297">
        <f>(SUM(J9:J16)-SUM(J22:J27))*'ENA_Summary Output'!$B$29/4</f>
        <v>345.39512439180288</v>
      </c>
      <c r="K18" s="297">
        <f>(SUM(K9:K16)-SUM(K22:K27))*'ENA_Summary Output'!$B$29/4</f>
        <v>343.01238375031102</v>
      </c>
      <c r="L18" s="297">
        <f>(SUM(L9:L16)-SUM(L22:L27))*'ENA_Summary Output'!$B$29/4</f>
        <v>351.81069133089045</v>
      </c>
      <c r="M18" s="297">
        <f>(SUM(M9:M16)-SUM(M22:M27))*'ENA_Summary Output'!$B$29/4</f>
        <v>360.94406045223815</v>
      </c>
      <c r="N18" s="297">
        <f>(SUM(N9:N16)-SUM(N22:N27))*'ENA_Summary Output'!$B$29/4</f>
        <v>369.27263103288283</v>
      </c>
      <c r="O18" s="297">
        <f>(SUM(O9:O16)-SUM(O22:O27))*'ENA_Summary Output'!$B$29/4</f>
        <v>376.11236735512153</v>
      </c>
      <c r="P18" s="297">
        <f>(SUM(P9:P16)-SUM(P22:P27))*'ENA_Summary Output'!$B$29/4</f>
        <v>383.06233479171567</v>
      </c>
      <c r="Q18" s="297">
        <f>(SUM(Q9:Q16)-SUM(Q22:Q27))*'ENA_Summary Output'!$B$29/4</f>
        <v>388.02289486212726</v>
      </c>
      <c r="R18" s="297">
        <f>(SUM(R9:R16)-SUM(R22:R27))*'ENA_Summary Output'!$B$29/4</f>
        <v>392.97155253108627</v>
      </c>
      <c r="S18" s="297">
        <f>(SUM(S9:S16)-SUM(S22:S27))*'ENA_Summary Output'!$B$29/4</f>
        <v>397.96479181455675</v>
      </c>
      <c r="T18" s="297">
        <f>(SUM(T9:T16)-SUM(T22:T27))*'ENA_Summary Output'!$B$29/4</f>
        <v>403.00250164157535</v>
      </c>
      <c r="U18" s="297">
        <f>(SUM(U9:U16)-SUM(U22:U27))*'ENA_Summary Output'!$B$29/4</f>
        <v>408.08454957082733</v>
      </c>
      <c r="W18" s="55">
        <f>SUM(B18:U18)</f>
        <v>6713.3146231362607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25451.583197986576</v>
      </c>
      <c r="C19" s="20">
        <f t="shared" ref="C19:U19" si="4">SUM(C9:C18)</f>
        <v>25477.453922375054</v>
      </c>
      <c r="D19" s="20">
        <f t="shared" si="4"/>
        <v>25504.105357966513</v>
      </c>
      <c r="E19" s="20">
        <f t="shared" si="4"/>
        <v>29522.188691287312</v>
      </c>
      <c r="F19" s="20">
        <f t="shared" si="4"/>
        <v>30975.409608137663</v>
      </c>
      <c r="G19" s="20">
        <f t="shared" si="4"/>
        <v>31383.824787914695</v>
      </c>
      <c r="H19" s="20">
        <f t="shared" si="4"/>
        <v>31797.808073080483</v>
      </c>
      <c r="I19" s="20">
        <f t="shared" si="4"/>
        <v>32217.419708887013</v>
      </c>
      <c r="J19" s="20">
        <f t="shared" si="4"/>
        <v>32642.912899446419</v>
      </c>
      <c r="K19" s="20">
        <f t="shared" si="4"/>
        <v>33067.2603412362</v>
      </c>
      <c r="L19" s="20">
        <f t="shared" si="4"/>
        <v>33703.613074862777</v>
      </c>
      <c r="M19" s="20">
        <f t="shared" si="4"/>
        <v>34352.42578610091</v>
      </c>
      <c r="N19" s="20">
        <f t="shared" si="4"/>
        <v>35012.795551427589</v>
      </c>
      <c r="O19" s="20">
        <f t="shared" si="4"/>
        <v>35684.279980244348</v>
      </c>
      <c r="P19" s="20">
        <f t="shared" si="4"/>
        <v>36368.724587456461</v>
      </c>
      <c r="Q19" s="20">
        <f t="shared" si="4"/>
        <v>36900.840243792576</v>
      </c>
      <c r="R19" s="20">
        <f t="shared" si="4"/>
        <v>37440.877119409248</v>
      </c>
      <c r="S19" s="20">
        <f t="shared" si="4"/>
        <v>37989.017242890484</v>
      </c>
      <c r="T19" s="20">
        <f t="shared" si="4"/>
        <v>38545.388209712568</v>
      </c>
      <c r="U19" s="20">
        <f t="shared" si="4"/>
        <v>39110.1197979301</v>
      </c>
      <c r="W19" s="55">
        <f>SUM(B19:U19)</f>
        <v>663148.04818214499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ENA_Assumptions!E29*(1+ENA_Assumptions!$E$26)</f>
        <v>1934.4085877000002</v>
      </c>
      <c r="C22" s="90">
        <f>B22*(1+ENA_Assumptions!$E$26)</f>
        <v>1992.4408453310002</v>
      </c>
      <c r="D22" s="90">
        <f>C22*(1+ENA_Assumptions!$E$26)</f>
        <v>2052.2140706909304</v>
      </c>
      <c r="E22" s="90">
        <f>D22*(1+ENA_Assumptions!$E$26)</f>
        <v>2113.7804928116584</v>
      </c>
      <c r="F22" s="90">
        <f>E22*(1+ENA_Assumptions!$E$26)</f>
        <v>2177.1939075960081</v>
      </c>
      <c r="G22" s="90">
        <f>F22*(1+ENA_Assumptions!$E$26)</f>
        <v>2242.5097248238885</v>
      </c>
      <c r="H22" s="90">
        <f>G22*(1+ENA_Assumptions!$E$26)</f>
        <v>2309.7850165686054</v>
      </c>
      <c r="I22" s="90">
        <f>H22*(1+ENA_Assumptions!$E$26)</f>
        <v>2379.0785670656637</v>
      </c>
      <c r="J22" s="90">
        <f>I22*(1+ENA_Assumptions!$E$26)</f>
        <v>2450.4509240776338</v>
      </c>
      <c r="K22" s="90">
        <f>J22*(1+ENA_Assumptions!$E$26)</f>
        <v>2523.9644517999627</v>
      </c>
      <c r="L22" s="90">
        <f>K22*(1+ENA_Assumptions!$E$26)</f>
        <v>2599.6833853539615</v>
      </c>
      <c r="M22" s="90">
        <f>L22*(1+ENA_Assumptions!$E$26)</f>
        <v>2677.6738869145806</v>
      </c>
      <c r="N22" s="90">
        <f>M22*(1+ENA_Assumptions!$E$26)</f>
        <v>2758.0041035220183</v>
      </c>
      <c r="O22" s="90">
        <f>N22*(1+ENA_Assumptions!$E$26)</f>
        <v>2840.7442266276789</v>
      </c>
      <c r="P22" s="90">
        <f>O22*(1+ENA_Assumptions!$E$26)</f>
        <v>2925.9665534265096</v>
      </c>
      <c r="Q22" s="90">
        <f>P22*(1+ENA_Assumptions!$E$26)</f>
        <v>3013.7455500293049</v>
      </c>
      <c r="R22" s="90">
        <f>Q22*(1+ENA_Assumptions!$E$26)</f>
        <v>3104.1579165301841</v>
      </c>
      <c r="S22" s="90">
        <f>R22*(1+ENA_Assumptions!$E$26)</f>
        <v>3197.2826540260899</v>
      </c>
      <c r="T22" s="90">
        <f>S22*(1+ENA_Assumptions!$E$26)</f>
        <v>3293.2011336468727</v>
      </c>
      <c r="U22" s="90">
        <f>T22*(1+ENA_Assumptions!$E$26)</f>
        <v>3391.9971676562791</v>
      </c>
      <c r="W22" s="55">
        <f t="shared" ref="W22:W28" si="5">SUM(B22:U22)</f>
        <v>51978.283166198824</v>
      </c>
    </row>
    <row r="23" spans="1:55">
      <c r="A23" s="4" t="s">
        <v>428</v>
      </c>
      <c r="B23" s="90">
        <f>ENA_Assumptions!$E$30*(1+ENA_Assumptions!$E$26)</f>
        <v>422.57793520000007</v>
      </c>
      <c r="C23" s="90">
        <f>B23*(1+ENA_Assumptions!$E$26)</f>
        <v>435.25527325600007</v>
      </c>
      <c r="D23" s="90">
        <f>C23*(1+ENA_Assumptions!$E$26)</f>
        <v>448.31293145368011</v>
      </c>
      <c r="E23" s="90">
        <f>ENA_Assumptions!$E$20*ENA_Assumptions!$E$24*(1+ENA_Assumptions!$E$26)^(E5-2000)/1000</f>
        <v>461.76231939729041</v>
      </c>
      <c r="F23" s="90">
        <f>ENA_Assumptions!$E$20*ENA_Assumptions!$E$24*(1+ENA_Assumptions!$E$26)^(F5-2000)/1000</f>
        <v>475.61518897920905</v>
      </c>
      <c r="G23" s="90">
        <f>ENA_Assumptions!$E$20*ENA_Assumptions!$E$24*(1+ENA_Assumptions!$E$26)^(G5-2000)/1000</f>
        <v>489.88364464858535</v>
      </c>
      <c r="H23" s="90">
        <f>ENA_Assumptions!$E$20*ENA_Assumptions!$E$24*(1+ENA_Assumptions!$E$26)^(H5-2000)/1000</f>
        <v>504.58015398804298</v>
      </c>
      <c r="I23" s="90">
        <f>ENA_Assumptions!$E$20*ENA_Assumptions!$E$24*(1+ENA_Assumptions!$E$26)^(I5-2000)/1000</f>
        <v>519.71755860768417</v>
      </c>
      <c r="J23" s="90">
        <f>ENA_Assumptions!$E$20*ENA_Assumptions!$E$24*(1+ENA_Assumptions!$E$26)^(J5-2000)/1000</f>
        <v>535.30908536591471</v>
      </c>
      <c r="K23" s="90">
        <f>ENA_Assumptions!$E$20*ENA_Assumptions!$E$24*(1+ENA_Assumptions!$E$26)^(K5-2000)/1000</f>
        <v>551.36835792689226</v>
      </c>
      <c r="L23" s="90">
        <f>ENA_Assumptions!$E$20*ENA_Assumptions!$E$24*(1+ENA_Assumptions!$E$26)^(L5-2000)/1000</f>
        <v>567.90940866469896</v>
      </c>
      <c r="M23" s="90">
        <f>ENA_Assumptions!$E$20*ENA_Assumptions!$E$24*(1+ENA_Assumptions!$E$26)^(M5-2000)/1000</f>
        <v>584.94669092463982</v>
      </c>
      <c r="N23" s="90">
        <f>ENA_Assumptions!$E$20*ENA_Assumptions!$E$24*(1+ENA_Assumptions!$E$26)^(N5-2000)/1000</f>
        <v>602.49509165237907</v>
      </c>
      <c r="O23" s="90">
        <f>ENA_Assumptions!$E$20*ENA_Assumptions!$E$24*(1+ENA_Assumptions!$E$26)^(O5-2000)/1000</f>
        <v>620.56994440195047</v>
      </c>
      <c r="P23" s="90">
        <f>ENA_Assumptions!$E$20*ENA_Assumptions!$E$24*(1+ENA_Assumptions!$E$26)^(P5-2000)/1000</f>
        <v>639.18704273400897</v>
      </c>
      <c r="Q23" s="90">
        <f>ENA_Assumptions!$E$20*ENA_Assumptions!$E$24*(1+ENA_Assumptions!$E$26)^(Q5-2000)/1000</f>
        <v>658.36265401602918</v>
      </c>
      <c r="R23" s="90">
        <f>ENA_Assumptions!$E$20*ENA_Assumptions!$E$24*(1+ENA_Assumptions!$E$26)^(R5-2000)/1000</f>
        <v>678.11353363651006</v>
      </c>
      <c r="S23" s="90">
        <f>ENA_Assumptions!$E$20*ENA_Assumptions!$E$24*(1+ENA_Assumptions!$E$26)^(S5-2000)/1000</f>
        <v>698.45693964560542</v>
      </c>
      <c r="T23" s="90">
        <f>ENA_Assumptions!$E$20*ENA_Assumptions!$E$24*(1+ENA_Assumptions!$E$26)^(T5-2000)/1000</f>
        <v>719.41064783497347</v>
      </c>
      <c r="U23" s="90">
        <f>ENA_Assumptions!$E$20*ENA_Assumptions!$E$24*(1+ENA_Assumptions!$E$26)^(U5-2000)/1000</f>
        <v>740.99296727002275</v>
      </c>
      <c r="W23" s="55">
        <f t="shared" si="5"/>
        <v>11354.827369604114</v>
      </c>
    </row>
    <row r="24" spans="1:55">
      <c r="A24" s="4" t="s">
        <v>461</v>
      </c>
      <c r="B24" s="90">
        <f>ENA_Assumptions!$E$25*ENA_Assumptions!$E$11*ENA_Assumptions!$E$8/1000*(1+ENA_Assumptions!$E$26)</f>
        <v>463.5</v>
      </c>
      <c r="C24" s="55">
        <f>B24*(1+ENA_Assumptions!$E$26)</f>
        <v>477.40500000000003</v>
      </c>
      <c r="D24" s="55">
        <f>C24*(1+ENA_Assumptions!$E$26)</f>
        <v>491.72715000000005</v>
      </c>
      <c r="E24" s="55">
        <f>D24*(1+ENA_Assumptions!$E$26)</f>
        <v>506.47896450000007</v>
      </c>
      <c r="F24" s="55">
        <f>E24*(1+ENA_Assumptions!$E$26)</f>
        <v>521.67333343500013</v>
      </c>
      <c r="G24" s="55">
        <f>F24*(1+ENA_Assumptions!$E$26)</f>
        <v>537.32353343805016</v>
      </c>
      <c r="H24" s="55">
        <f>G24*(1+ENA_Assumptions!$E$26)</f>
        <v>553.44323944119174</v>
      </c>
      <c r="I24" s="55">
        <f>H24*(1+ENA_Assumptions!$E$26)</f>
        <v>570.04653662442752</v>
      </c>
      <c r="J24" s="55">
        <f>I24*(1+ENA_Assumptions!$E$26)</f>
        <v>587.14793272316035</v>
      </c>
      <c r="K24" s="55">
        <f>J24*(1+ENA_Assumptions!$E$26)</f>
        <v>604.76237070485513</v>
      </c>
      <c r="L24" s="55">
        <f>K24*(1+ENA_Assumptions!$E$26)</f>
        <v>622.90524182600075</v>
      </c>
      <c r="M24" s="55">
        <f>L24*(1+ENA_Assumptions!$E$26)</f>
        <v>641.59239908078075</v>
      </c>
      <c r="N24" s="55">
        <f>M24*(1+ENA_Assumptions!$E$26)</f>
        <v>660.84017105320424</v>
      </c>
      <c r="O24" s="55">
        <f>N24*(1+ENA_Assumptions!$E$26)</f>
        <v>680.66537618480038</v>
      </c>
      <c r="P24" s="55">
        <f>O24*(1+ENA_Assumptions!$E$26)</f>
        <v>701.08533747034437</v>
      </c>
      <c r="Q24" s="55">
        <f>P24*(1+ENA_Assumptions!$E$26)</f>
        <v>722.11789759445469</v>
      </c>
      <c r="R24" s="55">
        <f>Q24*(1+ENA_Assumptions!$E$26)</f>
        <v>743.78143452228835</v>
      </c>
      <c r="S24" s="55">
        <f>R24*(1+ENA_Assumptions!$E$26)</f>
        <v>766.09487755795703</v>
      </c>
      <c r="T24" s="55">
        <f>S24*(1+ENA_Assumptions!$E$26)</f>
        <v>789.07772388469573</v>
      </c>
      <c r="U24" s="55">
        <f>T24*(1+ENA_Assumptions!$E$26)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ENA_Assumptions!E32*(1+ENA_Assumptions!$E$26)</f>
        <v>373.5523316666667</v>
      </c>
      <c r="C25" s="90">
        <f>B25*(1+ENA_Assumptions!$E$26)</f>
        <v>384.75890161666672</v>
      </c>
      <c r="D25" s="90">
        <f>C25*(1+ENA_Assumptions!$E$26)</f>
        <v>396.30166866516674</v>
      </c>
      <c r="E25" s="90">
        <f>D25*(1+ENA_Assumptions!$E$26)</f>
        <v>408.19071872512177</v>
      </c>
      <c r="F25" s="90">
        <f>E25*(1+ENA_Assumptions!$E$26)</f>
        <v>420.43644028687544</v>
      </c>
      <c r="G25" s="90">
        <f>F25*(1+ENA_Assumptions!$E$26)</f>
        <v>433.04953349548174</v>
      </c>
      <c r="H25" s="90">
        <f>G25*(1+ENA_Assumptions!$E$26)</f>
        <v>446.04101950034618</v>
      </c>
      <c r="I25" s="90">
        <f>H25*(1+ENA_Assumptions!$E$26)</f>
        <v>459.42225008535655</v>
      </c>
      <c r="J25" s="90">
        <f>I25*(1+ENA_Assumptions!$E$26)</f>
        <v>473.20491758791724</v>
      </c>
      <c r="K25" s="90">
        <f>J25*(1+ENA_Assumptions!$E$26)</f>
        <v>487.40106511555479</v>
      </c>
      <c r="L25" s="90">
        <f>K25*(1+ENA_Assumptions!$E$26)</f>
        <v>502.02309706902145</v>
      </c>
      <c r="M25" s="90">
        <f>L25*(1+ENA_Assumptions!$E$26)</f>
        <v>517.08378998109208</v>
      </c>
      <c r="N25" s="90">
        <f>M25*(1+ENA_Assumptions!$E$26)</f>
        <v>532.5963036805249</v>
      </c>
      <c r="O25" s="90">
        <f>N25*(1+ENA_Assumptions!$E$26)</f>
        <v>548.57419279094063</v>
      </c>
      <c r="P25" s="90">
        <f>O25*(1+ENA_Assumptions!$E$26)</f>
        <v>565.03141857466881</v>
      </c>
      <c r="Q25" s="90">
        <f>P25*(1+ENA_Assumptions!$E$26)</f>
        <v>581.98236113190887</v>
      </c>
      <c r="R25" s="90">
        <f>Q25*(1+ENA_Assumptions!$E$26)</f>
        <v>599.44183196586619</v>
      </c>
      <c r="S25" s="90">
        <f>R25*(1+ENA_Assumptions!$E$26)</f>
        <v>617.42508692484216</v>
      </c>
      <c r="T25" s="90">
        <f>S25*(1+ENA_Assumptions!$E$26)</f>
        <v>635.94783953258741</v>
      </c>
      <c r="U25" s="90">
        <f>T25*(1+ENA_Assumptions!$E$26)</f>
        <v>655.02627471856499</v>
      </c>
      <c r="W25" s="55">
        <f t="shared" si="5"/>
        <v>10037.491043115171</v>
      </c>
    </row>
    <row r="26" spans="1:55">
      <c r="A26" s="4" t="s">
        <v>530</v>
      </c>
      <c r="B26" s="336">
        <v>487.9</v>
      </c>
      <c r="C26" s="336">
        <v>486.5</v>
      </c>
      <c r="D26" s="336">
        <v>484.5</v>
      </c>
      <c r="E26" s="336">
        <v>476.4</v>
      </c>
      <c r="F26" s="336">
        <v>467.3</v>
      </c>
      <c r="G26" s="336">
        <v>451.3</v>
      </c>
      <c r="H26" s="336">
        <v>427.8</v>
      </c>
      <c r="I26" s="336">
        <v>402.5</v>
      </c>
      <c r="J26" s="336">
        <v>362.4</v>
      </c>
      <c r="K26" s="336">
        <v>878.3</v>
      </c>
      <c r="L26" s="336">
        <v>695.3</v>
      </c>
      <c r="M26" s="336">
        <v>494</v>
      </c>
      <c r="N26" s="336">
        <v>365.9</v>
      </c>
      <c r="O26" s="336">
        <v>365.9</v>
      </c>
      <c r="P26" s="336">
        <v>365.9</v>
      </c>
      <c r="Q26" s="336">
        <v>365.9</v>
      </c>
      <c r="R26" s="336">
        <v>365.9</v>
      </c>
      <c r="S26" s="336">
        <v>365.9</v>
      </c>
      <c r="T26" s="336">
        <v>365.9</v>
      </c>
      <c r="U26" s="336">
        <f>T26</f>
        <v>365.9</v>
      </c>
      <c r="W26" s="55">
        <f t="shared" si="5"/>
        <v>9041.3999999999978</v>
      </c>
    </row>
    <row r="27" spans="1:55" s="271" customFormat="1">
      <c r="A27" s="4" t="s">
        <v>507</v>
      </c>
      <c r="B27" s="600">
        <f>B81</f>
        <v>418.94971824867361</v>
      </c>
      <c r="C27" s="600">
        <f t="shared" ref="C27:U27" si="6">C81</f>
        <v>408.03998406926826</v>
      </c>
      <c r="D27" s="600">
        <f t="shared" si="6"/>
        <v>396.99380015870872</v>
      </c>
      <c r="E27" s="600">
        <f t="shared" si="6"/>
        <v>371.88315253150199</v>
      </c>
      <c r="F27" s="600">
        <f t="shared" si="6"/>
        <v>345.18131070529819</v>
      </c>
      <c r="G27" s="600">
        <f t="shared" si="6"/>
        <v>317.84791282622285</v>
      </c>
      <c r="H27" s="600">
        <f t="shared" si="6"/>
        <v>296.25902147616898</v>
      </c>
      <c r="I27" s="600">
        <f t="shared" si="6"/>
        <v>276.34251224953175</v>
      </c>
      <c r="J27" s="600">
        <f t="shared" si="6"/>
        <v>257.39496395576282</v>
      </c>
      <c r="K27" s="600">
        <f t="shared" si="6"/>
        <v>237.46101191374248</v>
      </c>
      <c r="L27" s="600">
        <f t="shared" si="6"/>
        <v>219.12594414697514</v>
      </c>
      <c r="M27" s="600">
        <f t="shared" si="6"/>
        <v>200.66012256852613</v>
      </c>
      <c r="N27" s="600">
        <f t="shared" si="6"/>
        <v>181.87676785595897</v>
      </c>
      <c r="O27" s="600">
        <f t="shared" si="6"/>
        <v>162.7244844741364</v>
      </c>
      <c r="P27" s="600">
        <f t="shared" si="6"/>
        <v>143.50511712196433</v>
      </c>
      <c r="Q27" s="600">
        <f t="shared" si="6"/>
        <v>128.87729718856991</v>
      </c>
      <c r="R27" s="600">
        <f t="shared" si="6"/>
        <v>118.78664773640924</v>
      </c>
      <c r="S27" s="600">
        <f t="shared" si="6"/>
        <v>108.70954775689404</v>
      </c>
      <c r="T27" s="600">
        <f t="shared" si="6"/>
        <v>98.648231845838936</v>
      </c>
      <c r="U27" s="600">
        <f t="shared" si="6"/>
        <v>88.604817446982196</v>
      </c>
      <c r="V27" s="55"/>
      <c r="W27" s="55">
        <f t="shared" si="5"/>
        <v>4777.8723662771363</v>
      </c>
    </row>
    <row r="28" spans="1:55">
      <c r="A28" s="4" t="s">
        <v>22</v>
      </c>
      <c r="B28" s="90">
        <f t="shared" ref="B28:U28" si="7">SUM(B22:B27)</f>
        <v>4100.8885728153409</v>
      </c>
      <c r="C28" s="90">
        <f t="shared" si="7"/>
        <v>4184.4000042729358</v>
      </c>
      <c r="D28" s="90">
        <f t="shared" si="7"/>
        <v>4270.0496209684861</v>
      </c>
      <c r="E28" s="90">
        <f t="shared" si="7"/>
        <v>4338.495647965573</v>
      </c>
      <c r="F28" s="90">
        <f t="shared" si="7"/>
        <v>4407.400181002391</v>
      </c>
      <c r="G28" s="90">
        <f t="shared" si="7"/>
        <v>4471.9143492322282</v>
      </c>
      <c r="H28" s="90">
        <f t="shared" si="7"/>
        <v>4537.9084509743552</v>
      </c>
      <c r="I28" s="90">
        <f t="shared" si="7"/>
        <v>4607.1074246326643</v>
      </c>
      <c r="J28" s="90">
        <f t="shared" si="7"/>
        <v>4665.9078237103895</v>
      </c>
      <c r="K28" s="90">
        <f t="shared" si="7"/>
        <v>5283.2572574610076</v>
      </c>
      <c r="L28" s="90">
        <f t="shared" si="7"/>
        <v>5206.9470770606586</v>
      </c>
      <c r="M28" s="90">
        <f t="shared" si="7"/>
        <v>5115.9568894696195</v>
      </c>
      <c r="N28" s="90">
        <f t="shared" si="7"/>
        <v>5101.7124377640848</v>
      </c>
      <c r="O28" s="90">
        <f t="shared" si="7"/>
        <v>5219.1782244795058</v>
      </c>
      <c r="P28" s="90">
        <f t="shared" si="7"/>
        <v>5340.675469327497</v>
      </c>
      <c r="Q28" s="90">
        <f t="shared" si="7"/>
        <v>5470.9857599602674</v>
      </c>
      <c r="R28" s="90">
        <f t="shared" si="7"/>
        <v>5610.1813643912583</v>
      </c>
      <c r="S28" s="90">
        <f t="shared" si="7"/>
        <v>5753.8691059113871</v>
      </c>
      <c r="T28" s="90">
        <f t="shared" si="7"/>
        <v>5902.1855767449688</v>
      </c>
      <c r="U28" s="90">
        <f t="shared" si="7"/>
        <v>6055.2712826930856</v>
      </c>
      <c r="W28" s="55">
        <f t="shared" si="5"/>
        <v>99644.292520837713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21350.694625171236</v>
      </c>
      <c r="C31" s="273">
        <f t="shared" si="8"/>
        <v>21293.053918102119</v>
      </c>
      <c r="D31" s="273">
        <f t="shared" si="8"/>
        <v>21234.055736998027</v>
      </c>
      <c r="E31" s="273">
        <f t="shared" si="8"/>
        <v>25183.693043321739</v>
      </c>
      <c r="F31" s="273">
        <f t="shared" si="8"/>
        <v>26568.009427135272</v>
      </c>
      <c r="G31" s="273">
        <f t="shared" si="8"/>
        <v>26911.910438682466</v>
      </c>
      <c r="H31" s="273">
        <f t="shared" si="8"/>
        <v>27259.899622106128</v>
      </c>
      <c r="I31" s="273">
        <f t="shared" si="8"/>
        <v>27610.312284254349</v>
      </c>
      <c r="J31" s="273">
        <f t="shared" si="8"/>
        <v>27977.00507573603</v>
      </c>
      <c r="K31" s="273">
        <f t="shared" si="8"/>
        <v>27784.003083775191</v>
      </c>
      <c r="L31" s="273">
        <f t="shared" si="8"/>
        <v>28496.66599780212</v>
      </c>
      <c r="M31" s="273">
        <f t="shared" si="8"/>
        <v>29236.46889663129</v>
      </c>
      <c r="N31" s="273">
        <f t="shared" si="8"/>
        <v>29911.083113663502</v>
      </c>
      <c r="O31" s="273">
        <f t="shared" si="8"/>
        <v>30465.101755764841</v>
      </c>
      <c r="P31" s="273">
        <f t="shared" si="8"/>
        <v>31028.049118128965</v>
      </c>
      <c r="Q31" s="273">
        <f t="shared" si="8"/>
        <v>31429.854483832307</v>
      </c>
      <c r="R31" s="273">
        <f t="shared" si="8"/>
        <v>31830.69575501799</v>
      </c>
      <c r="S31" s="273">
        <f t="shared" si="8"/>
        <v>32235.148136979096</v>
      </c>
      <c r="T31" s="273">
        <f t="shared" si="8"/>
        <v>32643.202632967601</v>
      </c>
      <c r="U31" s="273">
        <f t="shared" si="8"/>
        <v>33054.848515237012</v>
      </c>
      <c r="W31" s="55">
        <f>SUM(B31:U31)</f>
        <v>563503.75566130725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ENA_Depreciation!C29</f>
        <v>6314.394134811977</v>
      </c>
      <c r="C33" s="90">
        <f>ENA_Depreciation!D29</f>
        <v>6314.394134811977</v>
      </c>
      <c r="D33" s="90">
        <f>ENA_Depreciation!E29</f>
        <v>6314.394134811977</v>
      </c>
      <c r="E33" s="90">
        <f>ENA_Depreciation!F29</f>
        <v>6314.394134811977</v>
      </c>
      <c r="F33" s="90">
        <f>ENA_Depreciation!G29</f>
        <v>6314.394134811977</v>
      </c>
      <c r="G33" s="90">
        <f>ENA_Depreciation!H29</f>
        <v>6314.394134811977</v>
      </c>
      <c r="H33" s="90">
        <f>ENA_Depreciation!I29</f>
        <v>6314.394134811977</v>
      </c>
      <c r="I33" s="90">
        <f>ENA_Depreciation!J29</f>
        <v>6314.394134811977</v>
      </c>
      <c r="J33" s="90">
        <f>ENA_Depreciation!K29</f>
        <v>6314.394134811977</v>
      </c>
      <c r="K33" s="90">
        <f>ENA_Depreciation!L29</f>
        <v>6314.394134811977</v>
      </c>
      <c r="L33" s="90">
        <f>ENA_Depreciation!M29</f>
        <v>6314.394134811977</v>
      </c>
      <c r="M33" s="90">
        <f>ENA_Depreciation!N29</f>
        <v>6314.394134811977</v>
      </c>
      <c r="N33" s="90">
        <f>ENA_Depreciation!O29</f>
        <v>6314.394134811977</v>
      </c>
      <c r="O33" s="90">
        <f>ENA_Depreciation!P29</f>
        <v>6314.394134811977</v>
      </c>
      <c r="P33" s="90">
        <f>ENA_Depreciation!Q29</f>
        <v>6314.394134811977</v>
      </c>
      <c r="Q33" s="90">
        <f>ENA_Depreciation!R29</f>
        <v>6314.394134811977</v>
      </c>
      <c r="R33" s="90">
        <f>ENA_Depreciation!S29</f>
        <v>6314.394134811977</v>
      </c>
      <c r="S33" s="90">
        <f>ENA_Depreciation!T29</f>
        <v>6314.394134811977</v>
      </c>
      <c r="T33" s="90">
        <f>ENA_Depreciation!U29</f>
        <v>6314.394134811977</v>
      </c>
      <c r="U33" s="90">
        <f>ENA_Depreciation!V29</f>
        <v>6314.394134811977</v>
      </c>
      <c r="W33" s="55">
        <f>SUM(B33:U33)</f>
        <v>126287.88269623948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15036.300490359259</v>
      </c>
      <c r="C35" s="93">
        <f t="shared" si="9"/>
        <v>14978.659783290143</v>
      </c>
      <c r="D35" s="93">
        <f t="shared" si="9"/>
        <v>14919.66160218605</v>
      </c>
      <c r="E35" s="93">
        <f t="shared" si="9"/>
        <v>18869.298908509762</v>
      </c>
      <c r="F35" s="93">
        <f t="shared" si="9"/>
        <v>20253.615292323295</v>
      </c>
      <c r="G35" s="93">
        <f t="shared" si="9"/>
        <v>20597.516303870489</v>
      </c>
      <c r="H35" s="93">
        <f t="shared" si="9"/>
        <v>20945.505487294151</v>
      </c>
      <c r="I35" s="93">
        <f t="shared" si="9"/>
        <v>21295.918149442372</v>
      </c>
      <c r="J35" s="93">
        <f t="shared" si="9"/>
        <v>21662.610940924053</v>
      </c>
      <c r="K35" s="93">
        <f t="shared" si="9"/>
        <v>21469.608948963214</v>
      </c>
      <c r="L35" s="93">
        <f t="shared" si="9"/>
        <v>22182.271862990143</v>
      </c>
      <c r="M35" s="93">
        <f t="shared" si="9"/>
        <v>22922.074761819313</v>
      </c>
      <c r="N35" s="93">
        <f t="shared" si="9"/>
        <v>23596.688978851525</v>
      </c>
      <c r="O35" s="93">
        <f t="shared" si="9"/>
        <v>24150.707620952864</v>
      </c>
      <c r="P35" s="93">
        <f t="shared" si="9"/>
        <v>24713.654983316988</v>
      </c>
      <c r="Q35" s="93">
        <f t="shared" si="9"/>
        <v>25115.46034902033</v>
      </c>
      <c r="R35" s="93">
        <f t="shared" si="9"/>
        <v>25516.301620206013</v>
      </c>
      <c r="S35" s="93">
        <f t="shared" si="9"/>
        <v>25920.754002167119</v>
      </c>
      <c r="T35" s="93">
        <f t="shared" si="9"/>
        <v>26328.808498155624</v>
      </c>
      <c r="U35" s="93">
        <f t="shared" si="9"/>
        <v>26740.454380425035</v>
      </c>
      <c r="W35" s="55">
        <f>SUM(B35:U35)</f>
        <v>437215.8729650678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ENA_IS!B38*ENA_Allocation!$E$9</f>
        <v>9603.7598547842063</v>
      </c>
      <c r="C37" s="90">
        <f>ENA_IS!C38*ENA_Allocation!$E$9</f>
        <v>9459.6588517085438</v>
      </c>
      <c r="D37" s="90">
        <f>ENA_IS!D38*ENA_Allocation!$E$9</f>
        <v>9256.3995138418268</v>
      </c>
      <c r="E37" s="90">
        <f>ENA_IS!E38*ENA_Allocation!$E$9</f>
        <v>9096.8416115928721</v>
      </c>
      <c r="F37" s="90">
        <f>ENA_IS!F38*ENA_Allocation!$E$9</f>
        <v>8814.5496827297702</v>
      </c>
      <c r="G37" s="90">
        <f>ENA_IS!G38*ENA_Allocation!$E$9</f>
        <v>8479.9607043458545</v>
      </c>
      <c r="H37" s="90">
        <f>ENA_IS!H38*ENA_Allocation!$E$9</f>
        <v>8103.927741768427</v>
      </c>
      <c r="I37" s="90">
        <f>ENA_IS!I38*ENA_Allocation!$E$9</f>
        <v>7710.5282221958596</v>
      </c>
      <c r="J37" s="90">
        <f>ENA_IS!J38*ENA_Allocation!$E$9</f>
        <v>7221.8646410475194</v>
      </c>
      <c r="K37" s="90">
        <f>ENA_IS!K38*ENA_Allocation!$E$9</f>
        <v>6680.388990106956</v>
      </c>
      <c r="L37" s="90">
        <f>ENA_IS!L38*ENA_Allocation!$E$9</f>
        <v>6110.6328967138597</v>
      </c>
      <c r="M37" s="90">
        <f>ENA_IS!M38*ENA_Allocation!$E$9</f>
        <v>5489.409202668433</v>
      </c>
      <c r="N37" s="90">
        <f>ENA_IS!N38*ENA_Allocation!$E$9</f>
        <v>4837.3118335293548</v>
      </c>
      <c r="O37" s="90">
        <f>ENA_IS!O38*ENA_Allocation!$E$9</f>
        <v>4200.6513019371014</v>
      </c>
      <c r="P37" s="90">
        <f>ENA_IS!P38*ENA_Allocation!$E$9</f>
        <v>3555.9671033713585</v>
      </c>
      <c r="Q37" s="90">
        <f>ENA_IS!Q38*ENA_Allocation!$E$9</f>
        <v>2887.8224002852967</v>
      </c>
      <c r="R37" s="90">
        <f>ENA_IS!R38*ENA_Allocation!$E$9</f>
        <v>2179.123293474524</v>
      </c>
      <c r="S37" s="90">
        <f>ENA_IS!S38*ENA_Allocation!$E$9</f>
        <v>1510.8913766170117</v>
      </c>
      <c r="T37" s="90">
        <f>ENA_IS!T38*ENA_Allocation!$E$9</f>
        <v>937.89689818398415</v>
      </c>
      <c r="U37" s="90">
        <f>ENA_IS!U38*ENA_Allocation!$E$9</f>
        <v>366.29784009417267</v>
      </c>
      <c r="W37" s="55">
        <f>SUM(B37:U37)</f>
        <v>116503.88396099694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5432.5406355750529</v>
      </c>
      <c r="C39" s="93">
        <f t="shared" si="10"/>
        <v>5519.0009315815987</v>
      </c>
      <c r="D39" s="93">
        <f t="shared" si="10"/>
        <v>5663.2620883442232</v>
      </c>
      <c r="E39" s="93">
        <f t="shared" si="10"/>
        <v>9772.4572969168894</v>
      </c>
      <c r="F39" s="93">
        <f t="shared" si="10"/>
        <v>11439.065609593525</v>
      </c>
      <c r="G39" s="93">
        <f t="shared" si="10"/>
        <v>12117.555599524634</v>
      </c>
      <c r="H39" s="93">
        <f t="shared" si="10"/>
        <v>12841.577745525723</v>
      </c>
      <c r="I39" s="93">
        <f t="shared" si="10"/>
        <v>13585.389927246513</v>
      </c>
      <c r="J39" s="93">
        <f t="shared" si="10"/>
        <v>14440.746299876533</v>
      </c>
      <c r="K39" s="93">
        <f t="shared" si="10"/>
        <v>14789.219958856258</v>
      </c>
      <c r="L39" s="93">
        <f t="shared" si="10"/>
        <v>16071.638966276283</v>
      </c>
      <c r="M39" s="93">
        <f t="shared" si="10"/>
        <v>17432.665559150879</v>
      </c>
      <c r="N39" s="93">
        <f t="shared" si="10"/>
        <v>18759.377145322171</v>
      </c>
      <c r="O39" s="93">
        <f t="shared" si="10"/>
        <v>19950.056319015763</v>
      </c>
      <c r="P39" s="93">
        <f t="shared" si="10"/>
        <v>21157.687879945632</v>
      </c>
      <c r="Q39" s="93">
        <f t="shared" si="10"/>
        <v>22227.637948735035</v>
      </c>
      <c r="R39" s="93">
        <f t="shared" si="10"/>
        <v>23337.17832673149</v>
      </c>
      <c r="S39" s="93">
        <f t="shared" si="10"/>
        <v>24409.862625550108</v>
      </c>
      <c r="T39" s="93">
        <f t="shared" si="10"/>
        <v>25390.911599971641</v>
      </c>
      <c r="U39" s="93">
        <f t="shared" si="10"/>
        <v>26374.156540330863</v>
      </c>
      <c r="W39" s="55">
        <f>SUM(B39:U39)</f>
        <v>320711.98900407087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B39*-ENA_Assumptions!$E$39</f>
        <v>-271.62703177875267</v>
      </c>
      <c r="C41" s="90">
        <f>C39*-ENA_Assumptions!$E$39</f>
        <v>-275.95004657907992</v>
      </c>
      <c r="D41" s="90">
        <f>D39*-ENA_Assumptions!$E$39</f>
        <v>-283.16310441721117</v>
      </c>
      <c r="E41" s="90">
        <f>E39*-ENA_Assumptions!$E$39</f>
        <v>-488.6228648458445</v>
      </c>
      <c r="F41" s="90">
        <f>F39*-ENA_Assumptions!$E$39</f>
        <v>-571.95328047967621</v>
      </c>
      <c r="G41" s="90">
        <f>G39*-ENA_Assumptions!$E$39</f>
        <v>-605.87777997623175</v>
      </c>
      <c r="H41" s="90">
        <f>H39*-ENA_Assumptions!$E$39</f>
        <v>-642.0788872762862</v>
      </c>
      <c r="I41" s="90">
        <f>I39*-ENA_Assumptions!$E$39</f>
        <v>-679.26949636232575</v>
      </c>
      <c r="J41" s="90">
        <f>J39*-ENA_Assumptions!$E$39</f>
        <v>-722.03731499382673</v>
      </c>
      <c r="K41" s="90">
        <f>K39*-ENA_Assumptions!$E$39</f>
        <v>-739.46099794281292</v>
      </c>
      <c r="L41" s="90">
        <f>L39*-ENA_Assumptions!$E$39</f>
        <v>-803.58194831381422</v>
      </c>
      <c r="M41" s="90">
        <f>M39*-ENA_Assumptions!$E$39</f>
        <v>-871.63327795754401</v>
      </c>
      <c r="N41" s="90">
        <f>N39*-ENA_Assumptions!$E$39</f>
        <v>-937.96885726610856</v>
      </c>
      <c r="O41" s="90">
        <f>O39*-ENA_Assumptions!$E$39</f>
        <v>-997.5028159507882</v>
      </c>
      <c r="P41" s="90">
        <f>P39*-ENA_Assumptions!$E$39</f>
        <v>-1057.8843939972817</v>
      </c>
      <c r="Q41" s="90">
        <f>Q39*-ENA_Assumptions!$E$39</f>
        <v>-1111.3818974367518</v>
      </c>
      <c r="R41" s="90">
        <f>R39*-ENA_Assumptions!$E$39</f>
        <v>-1166.8589163365746</v>
      </c>
      <c r="S41" s="90">
        <f>S39*-ENA_Assumptions!$E$39</f>
        <v>-1220.4931312775054</v>
      </c>
      <c r="T41" s="90">
        <f>T39*-ENA_Assumptions!$E$39</f>
        <v>-1269.5455799985821</v>
      </c>
      <c r="U41" s="90">
        <f>U39*-ENA_Assumptions!$E$39</f>
        <v>-1318.7078270165432</v>
      </c>
      <c r="W41" s="55">
        <f>SUM(B41:U41)</f>
        <v>-16035.599450203543</v>
      </c>
    </row>
    <row r="42" spans="1:23">
      <c r="A42" s="4" t="s">
        <v>29</v>
      </c>
      <c r="B42" s="89">
        <f>(B39+B41)*-ENA_Assumptions!$E$38</f>
        <v>-1806.3197613287048</v>
      </c>
      <c r="C42" s="89">
        <f>(C39+C41)*-ENA_Assumptions!$E$38</f>
        <v>-1835.0678097508815</v>
      </c>
      <c r="D42" s="89">
        <f>(D39+D41)*-ENA_Assumptions!$E$38</f>
        <v>-1883.0346443744543</v>
      </c>
      <c r="E42" s="89">
        <f>(E39+E41)*-ENA_Assumptions!$E$38</f>
        <v>-3249.3420512248658</v>
      </c>
      <c r="F42" s="89">
        <f>(F39+F41)*-ENA_Assumptions!$E$38</f>
        <v>-3803.4893151898468</v>
      </c>
      <c r="G42" s="89">
        <f>(G39+G41)*-ENA_Assumptions!$E$38</f>
        <v>-4029.0872368419405</v>
      </c>
      <c r="H42" s="89">
        <f>(H39+H41)*-ENA_Assumptions!$E$38</f>
        <v>-4269.8246003873028</v>
      </c>
      <c r="I42" s="89">
        <f>(I39+I41)*-ENA_Assumptions!$E$38</f>
        <v>-4517.1421508094654</v>
      </c>
      <c r="J42" s="89">
        <f>(J39+J41)*-ENA_Assumptions!$E$38</f>
        <v>-4801.5481447089469</v>
      </c>
      <c r="K42" s="89">
        <f>(K39+K41)*-ENA_Assumptions!$E$38</f>
        <v>-4917.4156363197053</v>
      </c>
      <c r="L42" s="89">
        <f>(L39+L41)*-ENA_Assumptions!$E$38</f>
        <v>-5343.819956286864</v>
      </c>
      <c r="M42" s="89">
        <f>(M39+M41)*-ENA_Assumptions!$E$38</f>
        <v>-5796.3612984176671</v>
      </c>
      <c r="N42" s="89">
        <f>(N39+N41)*-ENA_Assumptions!$E$38</f>
        <v>-6237.4929008196223</v>
      </c>
      <c r="O42" s="89">
        <f>(O39+O41)*-ENA_Assumptions!$E$38</f>
        <v>-6633.3937260727407</v>
      </c>
      <c r="P42" s="89">
        <f>(P39+P41)*-ENA_Assumptions!$E$38</f>
        <v>-7034.9312200819213</v>
      </c>
      <c r="Q42" s="89">
        <f>(Q39+Q41)*-ENA_Assumptions!$E$38</f>
        <v>-7390.6896179543983</v>
      </c>
      <c r="R42" s="89">
        <f>(R39+R41)*-ENA_Assumptions!$E$38</f>
        <v>-7759.6117936382188</v>
      </c>
      <c r="S42" s="89">
        <f>(S39+S41)*-ENA_Assumptions!$E$38</f>
        <v>-8116.2793229954104</v>
      </c>
      <c r="T42" s="89">
        <f>(T39+T41)*-ENA_Assumptions!$E$38</f>
        <v>-8442.4781069905694</v>
      </c>
      <c r="U42" s="89">
        <f>(U39+U41)*-ENA_Assumptions!$E$38</f>
        <v>-8769.4070496600107</v>
      </c>
      <c r="W42" s="55">
        <f>SUM(B42:U42)</f>
        <v>-106636.73634385352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3354.5938424675951</v>
      </c>
      <c r="C44" s="239">
        <f t="shared" si="11"/>
        <v>3407.9830752516373</v>
      </c>
      <c r="D44" s="239">
        <f t="shared" si="11"/>
        <v>3497.0643395525581</v>
      </c>
      <c r="E44" s="239">
        <f t="shared" si="11"/>
        <v>6034.4923808461799</v>
      </c>
      <c r="F44" s="239">
        <f t="shared" si="11"/>
        <v>7063.6230139240015</v>
      </c>
      <c r="G44" s="239">
        <f t="shared" si="11"/>
        <v>7482.5905827064616</v>
      </c>
      <c r="H44" s="239">
        <f t="shared" si="11"/>
        <v>7929.6742578621343</v>
      </c>
      <c r="I44" s="239">
        <f t="shared" si="11"/>
        <v>8388.9782800747234</v>
      </c>
      <c r="J44" s="239">
        <f t="shared" si="11"/>
        <v>8917.1608401737612</v>
      </c>
      <c r="K44" s="239">
        <f t="shared" si="11"/>
        <v>9132.3433245937395</v>
      </c>
      <c r="L44" s="239">
        <f t="shared" si="11"/>
        <v>9924.2370616756052</v>
      </c>
      <c r="M44" s="239">
        <f t="shared" si="11"/>
        <v>10764.670982775669</v>
      </c>
      <c r="N44" s="239">
        <f t="shared" si="11"/>
        <v>11583.91538723644</v>
      </c>
      <c r="O44" s="239">
        <f t="shared" si="11"/>
        <v>12319.159776992234</v>
      </c>
      <c r="P44" s="239">
        <f t="shared" si="11"/>
        <v>13064.872265866426</v>
      </c>
      <c r="Q44" s="239">
        <f t="shared" si="11"/>
        <v>13725.566433343884</v>
      </c>
      <c r="R44" s="239">
        <f t="shared" si="11"/>
        <v>14410.707616756696</v>
      </c>
      <c r="S44" s="239">
        <f t="shared" si="11"/>
        <v>15073.090171277192</v>
      </c>
      <c r="T44" s="239">
        <f t="shared" si="11"/>
        <v>15678.887912982489</v>
      </c>
      <c r="U44" s="239">
        <f t="shared" si="11"/>
        <v>16286.041663654309</v>
      </c>
      <c r="W44" s="55">
        <f>SUM(B44:U44)</f>
        <v>198039.65321001376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531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14775.604229414468</v>
      </c>
      <c r="C54" s="29">
        <f>C31-C12</f>
        <v>14717.963522345352</v>
      </c>
      <c r="D54" s="29">
        <f>D31-D12</f>
        <v>14658.965341241259</v>
      </c>
      <c r="E54" s="20">
        <f t="shared" ref="E54:U54" si="13">E31</f>
        <v>25183.693043321739</v>
      </c>
      <c r="F54" s="20">
        <f t="shared" si="13"/>
        <v>26568.009427135272</v>
      </c>
      <c r="G54" s="20">
        <f t="shared" si="13"/>
        <v>26911.910438682466</v>
      </c>
      <c r="H54" s="20">
        <f t="shared" si="13"/>
        <v>27259.899622106128</v>
      </c>
      <c r="I54" s="20">
        <f t="shared" si="13"/>
        <v>27610.312284254349</v>
      </c>
      <c r="J54" s="20">
        <f t="shared" si="13"/>
        <v>27977.00507573603</v>
      </c>
      <c r="K54" s="20">
        <f t="shared" si="13"/>
        <v>27784.003083775191</v>
      </c>
      <c r="L54" s="20">
        <f t="shared" si="13"/>
        <v>28496.66599780212</v>
      </c>
      <c r="M54" s="20">
        <f t="shared" si="13"/>
        <v>29236.46889663129</v>
      </c>
      <c r="N54" s="20">
        <f t="shared" si="13"/>
        <v>29911.083113663502</v>
      </c>
      <c r="O54" s="20">
        <f t="shared" si="13"/>
        <v>30465.101755764841</v>
      </c>
      <c r="P54" s="20">
        <f t="shared" si="13"/>
        <v>31028.049118128965</v>
      </c>
      <c r="Q54" s="20">
        <f t="shared" si="13"/>
        <v>31429.854483832307</v>
      </c>
      <c r="R54" s="20">
        <f t="shared" si="13"/>
        <v>31830.69575501799</v>
      </c>
      <c r="S54" s="20">
        <f t="shared" si="13"/>
        <v>32235.148136979096</v>
      </c>
      <c r="T54" s="20">
        <f t="shared" si="13"/>
        <v>32643.202632967601</v>
      </c>
      <c r="U54" s="20">
        <f t="shared" si="13"/>
        <v>33054.848515237012</v>
      </c>
      <c r="W54" s="954">
        <f>SUM(B54:U54)</f>
        <v>543778.48447403696</v>
      </c>
    </row>
    <row r="55" spans="1:55">
      <c r="A55" s="15" t="s">
        <v>481</v>
      </c>
      <c r="B55" s="29">
        <f>B26</f>
        <v>487.9</v>
      </c>
      <c r="C55" s="29">
        <f t="shared" ref="C55:T55" si="14">C26</f>
        <v>486.5</v>
      </c>
      <c r="D55" s="29">
        <f t="shared" si="14"/>
        <v>484.5</v>
      </c>
      <c r="E55" s="29">
        <f t="shared" si="14"/>
        <v>476.4</v>
      </c>
      <c r="F55" s="29">
        <f t="shared" si="14"/>
        <v>467.3</v>
      </c>
      <c r="G55" s="29">
        <f t="shared" si="14"/>
        <v>451.3</v>
      </c>
      <c r="H55" s="29">
        <f t="shared" si="14"/>
        <v>427.8</v>
      </c>
      <c r="I55" s="29">
        <f t="shared" si="14"/>
        <v>402.5</v>
      </c>
      <c r="J55" s="29">
        <f t="shared" si="14"/>
        <v>362.4</v>
      </c>
      <c r="K55" s="29">
        <f t="shared" si="14"/>
        <v>878.3</v>
      </c>
      <c r="L55" s="29">
        <f t="shared" si="14"/>
        <v>695.3</v>
      </c>
      <c r="M55" s="29">
        <f t="shared" si="14"/>
        <v>494</v>
      </c>
      <c r="N55" s="29">
        <f t="shared" si="14"/>
        <v>365.9</v>
      </c>
      <c r="O55" s="29">
        <f t="shared" si="14"/>
        <v>365.9</v>
      </c>
      <c r="P55" s="29">
        <f t="shared" si="14"/>
        <v>365.9</v>
      </c>
      <c r="Q55" s="29">
        <f t="shared" si="14"/>
        <v>365.9</v>
      </c>
      <c r="R55" s="29">
        <f t="shared" si="14"/>
        <v>365.9</v>
      </c>
      <c r="S55" s="29">
        <f t="shared" si="14"/>
        <v>365.9</v>
      </c>
      <c r="T55" s="29">
        <f t="shared" si="14"/>
        <v>365.9</v>
      </c>
      <c r="U55" s="29">
        <f>T55</f>
        <v>365.9</v>
      </c>
      <c r="W55" s="954">
        <f>SUM(B55:U55)</f>
        <v>9041.3999999999978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-488.8</v>
      </c>
      <c r="C56" s="29">
        <f>-B55</f>
        <v>-487.9</v>
      </c>
      <c r="D56" s="29">
        <f t="shared" ref="D56:U56" si="15">-C55</f>
        <v>-486.5</v>
      </c>
      <c r="E56" s="29">
        <f t="shared" si="15"/>
        <v>-484.5</v>
      </c>
      <c r="F56" s="29">
        <f t="shared" si="15"/>
        <v>-476.4</v>
      </c>
      <c r="G56" s="29">
        <f t="shared" si="15"/>
        <v>-467.3</v>
      </c>
      <c r="H56" s="29">
        <f t="shared" si="15"/>
        <v>-451.3</v>
      </c>
      <c r="I56" s="29">
        <f t="shared" si="15"/>
        <v>-427.8</v>
      </c>
      <c r="J56" s="29">
        <f t="shared" si="15"/>
        <v>-402.5</v>
      </c>
      <c r="K56" s="29">
        <f t="shared" si="15"/>
        <v>-362.4</v>
      </c>
      <c r="L56" s="29">
        <f t="shared" si="15"/>
        <v>-878.3</v>
      </c>
      <c r="M56" s="29">
        <f t="shared" si="15"/>
        <v>-695.3</v>
      </c>
      <c r="N56" s="29">
        <f t="shared" si="15"/>
        <v>-494</v>
      </c>
      <c r="O56" s="29">
        <f t="shared" si="15"/>
        <v>-365.9</v>
      </c>
      <c r="P56" s="29">
        <f t="shared" si="15"/>
        <v>-365.9</v>
      </c>
      <c r="Q56" s="29">
        <f t="shared" si="15"/>
        <v>-365.9</v>
      </c>
      <c r="R56" s="29">
        <f t="shared" si="15"/>
        <v>-365.9</v>
      </c>
      <c r="S56" s="29">
        <f t="shared" si="15"/>
        <v>-365.9</v>
      </c>
      <c r="T56" s="29">
        <f t="shared" si="15"/>
        <v>-365.9</v>
      </c>
      <c r="U56" s="29">
        <f t="shared" si="15"/>
        <v>-365.9</v>
      </c>
      <c r="W56" s="954">
        <f>SUM(B56:U56)</f>
        <v>-9164.2999999999975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-ENA_Debt!B77*ENA_Allocation!$E$9</f>
        <v>-11459.962356093862</v>
      </c>
      <c r="C57" s="1050">
        <f>-ENA_Debt!C77*ENA_Allocation!$E$9</f>
        <v>-11450.585728113258</v>
      </c>
      <c r="D57" s="1050">
        <f>-ENA_Debt!D77*ENA_Allocation!$E$9</f>
        <v>-11397.020140352157</v>
      </c>
      <c r="E57" s="1050">
        <f>-ENA_Debt!E77*ENA_Allocation!$E$9</f>
        <v>-11234.468363101088</v>
      </c>
      <c r="F57" s="1050">
        <f>-ENA_Debt!F77*ENA_Allocation!$E$9</f>
        <v>-11756.930034805784</v>
      </c>
      <c r="G57" s="1050">
        <f>-ENA_Debt!G77*ENA_Allocation!$E$9</f>
        <v>-11824.717856705769</v>
      </c>
      <c r="H57" s="1050">
        <f>-ENA_Debt!H77*ENA_Allocation!$E$9</f>
        <v>-11750.467494341267</v>
      </c>
      <c r="I57" s="1050">
        <f>-ENA_Debt!I77*ENA_Allocation!$E$9</f>
        <v>-11860.038975123571</v>
      </c>
      <c r="J57" s="1050">
        <f>-ENA_Debt!J77*ENA_Allocation!$E$9</f>
        <v>-11773.752194259132</v>
      </c>
      <c r="K57" s="1050">
        <f>-ENA_Debt!K77*ENA_Allocation!$E$9</f>
        <v>-11909.49106879638</v>
      </c>
      <c r="L57" s="1050">
        <f>-ENA_Debt!L77*ENA_Allocation!$E$9</f>
        <v>-11798.995400727319</v>
      </c>
      <c r="M57" s="1050">
        <f>-ENA_Debt!M77*ENA_Allocation!$E$9</f>
        <v>-11177.771706681893</v>
      </c>
      <c r="N57" s="1050">
        <f>-ENA_Debt!N77*ENA_Allocation!$E$9</f>
        <v>-10525.674337542814</v>
      </c>
      <c r="O57" s="1050">
        <f>-ENA_Debt!O77*ENA_Allocation!$E$9</f>
        <v>-9889.0138059505625</v>
      </c>
      <c r="P57" s="1050">
        <f>-ENA_Debt!P77*ENA_Allocation!$E$9</f>
        <v>-9528.7477325854907</v>
      </c>
      <c r="Q57" s="1050">
        <f>-ENA_Debt!Q77*ENA_Allocation!$E$9</f>
        <v>-9145.0211547001036</v>
      </c>
      <c r="R57" s="1050">
        <f>-ENA_Debt!R77*ENA_Allocation!$E$9</f>
        <v>-8436.3220478893309</v>
      </c>
      <c r="S57" s="1050">
        <f>-ENA_Debt!S77*ENA_Allocation!$E$9</f>
        <v>-6630.4176302291262</v>
      </c>
      <c r="T57" s="1050">
        <f>-ENA_Debt!T77*ENA_Allocation!$E$9</f>
        <v>-6057.423151796098</v>
      </c>
      <c r="U57" s="1050">
        <f>-ENA_Debt!U77*ENA_Allocation!$E$9</f>
        <v>-4916.9878433049462</v>
      </c>
      <c r="W57" s="954">
        <f>SUM(B57:U57)</f>
        <v>-204523.80902309998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outlineLevel="1">
      <c r="A59" s="14" t="s">
        <v>34</v>
      </c>
      <c r="B59" s="27">
        <f t="shared" ref="B59:U59" si="16">SUM(B54:B57)</f>
        <v>3314.7418733206068</v>
      </c>
      <c r="C59" s="27">
        <f t="shared" si="16"/>
        <v>3265.9777942320943</v>
      </c>
      <c r="D59" s="27">
        <f t="shared" si="16"/>
        <v>3259.9452008891021</v>
      </c>
      <c r="E59" s="27">
        <f t="shared" si="16"/>
        <v>13941.124680220651</v>
      </c>
      <c r="F59" s="27">
        <f t="shared" si="16"/>
        <v>14801.979392329486</v>
      </c>
      <c r="G59" s="27">
        <f t="shared" si="16"/>
        <v>15071.192581976697</v>
      </c>
      <c r="H59" s="27">
        <f t="shared" si="16"/>
        <v>15485.932127764861</v>
      </c>
      <c r="I59" s="27">
        <f t="shared" si="16"/>
        <v>15724.973309130779</v>
      </c>
      <c r="J59" s="27">
        <f t="shared" si="16"/>
        <v>16163.152881476899</v>
      </c>
      <c r="K59" s="27">
        <f t="shared" si="16"/>
        <v>16390.412014978807</v>
      </c>
      <c r="L59" s="27">
        <f t="shared" si="16"/>
        <v>16514.670597074801</v>
      </c>
      <c r="M59" s="27">
        <f t="shared" si="16"/>
        <v>17857.397189949399</v>
      </c>
      <c r="N59" s="27">
        <f t="shared" si="16"/>
        <v>19257.308776120692</v>
      </c>
      <c r="O59" s="27">
        <f t="shared" si="16"/>
        <v>20576.087949814279</v>
      </c>
      <c r="P59" s="27">
        <f t="shared" si="16"/>
        <v>21499.301385543476</v>
      </c>
      <c r="Q59" s="27">
        <f t="shared" si="16"/>
        <v>22284.833329132205</v>
      </c>
      <c r="R59" s="27">
        <f t="shared" si="16"/>
        <v>23394.37370712866</v>
      </c>
      <c r="S59" s="27">
        <f t="shared" si="16"/>
        <v>25604.730506749969</v>
      </c>
      <c r="T59" s="27">
        <f t="shared" si="16"/>
        <v>26585.779481171503</v>
      </c>
      <c r="U59" s="27">
        <f t="shared" si="16"/>
        <v>28137.860671932067</v>
      </c>
      <c r="W59" s="954">
        <f>SUM(B59:U59)</f>
        <v>339131.77545093704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-B100</f>
        <v>0</v>
      </c>
      <c r="C61" s="100">
        <f t="shared" ref="C61:U61" si="17">-C100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-43.615288358645216</v>
      </c>
      <c r="J61" s="100">
        <f t="shared" si="17"/>
        <v>-475.03114848036188</v>
      </c>
      <c r="K61" s="100">
        <f t="shared" si="17"/>
        <v>-491.50105876281577</v>
      </c>
      <c r="L61" s="100">
        <f t="shared" si="17"/>
        <v>-556.57578180034932</v>
      </c>
      <c r="M61" s="100">
        <f t="shared" si="17"/>
        <v>-623.67333877754686</v>
      </c>
      <c r="N61" s="100">
        <f t="shared" si="17"/>
        <v>-690.96269075264377</v>
      </c>
      <c r="O61" s="100">
        <f t="shared" si="17"/>
        <v>-749.54287677079105</v>
      </c>
      <c r="P61" s="100">
        <f t="shared" si="17"/>
        <v>-810.87822748381677</v>
      </c>
      <c r="Q61" s="100">
        <f t="shared" si="17"/>
        <v>-1145.738667550319</v>
      </c>
      <c r="R61" s="100">
        <f t="shared" si="17"/>
        <v>-1482.5786230771735</v>
      </c>
      <c r="S61" s="100">
        <f t="shared" si="17"/>
        <v>-1536.2128380181043</v>
      </c>
      <c r="T61" s="100">
        <f t="shared" si="17"/>
        <v>-1585.265286739181</v>
      </c>
      <c r="U61" s="100">
        <f t="shared" si="17"/>
        <v>-1634.4275337571421</v>
      </c>
      <c r="W61" s="954">
        <f>SUM(B61:U61)</f>
        <v>-11826.003360328888</v>
      </c>
    </row>
    <row r="62" spans="1:55" outlineLevel="1">
      <c r="A62" s="15" t="s">
        <v>512</v>
      </c>
      <c r="B62" s="91">
        <f>-ENA_Allocation!$E$9*ENA_Tax!B24</f>
        <v>0</v>
      </c>
      <c r="C62" s="91">
        <f>-ENA_Allocation!$E$9*ENA_Tax!C24</f>
        <v>0</v>
      </c>
      <c r="D62" s="91">
        <f>-ENA_Allocation!$E$9*ENA_Tax!D24</f>
        <v>0</v>
      </c>
      <c r="E62" s="91">
        <f>-ENA_Allocation!$E$9*ENA_Tax!E24</f>
        <v>0</v>
      </c>
      <c r="F62" s="91">
        <f>-ENA_Allocation!$E$9*ENA_Tax!F24</f>
        <v>0</v>
      </c>
      <c r="G62" s="91">
        <f>-ENA_Allocation!$E$9*ENA_Tax!G24</f>
        <v>0</v>
      </c>
      <c r="H62" s="91">
        <f>-ENA_Allocation!$E$9*ENA_Tax!H24</f>
        <v>-2567.3459752922809</v>
      </c>
      <c r="I62" s="91">
        <f>-ENA_Allocation!$E$9*ENA_Tax!I24</f>
        <v>-3475.2997442944397</v>
      </c>
      <c r="J62" s="91">
        <f>-ENA_Allocation!$E$9*ENA_Tax!J24</f>
        <v>-3743.8415590092545</v>
      </c>
      <c r="K62" s="91">
        <f>-ENA_Allocation!$E$9*ENA_Tax!K24</f>
        <v>-4022.1008131442582</v>
      </c>
      <c r="L62" s="91">
        <f>-ENA_Allocation!$E$9*ENA_Tax!L24</f>
        <v>-4388.204559704338</v>
      </c>
      <c r="M62" s="91">
        <f>-ENA_Allocation!$E$9*ENA_Tax!M24</f>
        <v>-4771.0976389872658</v>
      </c>
      <c r="N62" s="91">
        <f>-ENA_Allocation!$E$9*ENA_Tax!N24</f>
        <v>-5157.4617042336731</v>
      </c>
      <c r="O62" s="91">
        <f>-ENA_Allocation!$E$9*ENA_Tax!O24</f>
        <v>-5534.8443236094236</v>
      </c>
      <c r="P62" s="91">
        <f>-ENA_Allocation!$E$9*ENA_Tax!P24</f>
        <v>-5908.5939459705178</v>
      </c>
      <c r="Q62" s="91">
        <f>-ENA_Allocation!$E$9*ENA_Tax!Q24</f>
        <v>-7819.6078638852923</v>
      </c>
      <c r="R62" s="91">
        <f>-ENA_Allocation!$E$9*ENA_Tax!R24</f>
        <v>-9722.0347845938122</v>
      </c>
      <c r="S62" s="91">
        <f>-ENA_Allocation!$E$9*ENA_Tax!S24</f>
        <v>-10084.121592167316</v>
      </c>
      <c r="T62" s="91">
        <f>-ENA_Allocation!$E$9*ENA_Tax!T24</f>
        <v>-10416.633492707881</v>
      </c>
      <c r="U62" s="91">
        <f>-ENA_Allocation!$E$9*ENA_Tax!U24</f>
        <v>-10750.722529359582</v>
      </c>
      <c r="W62" s="954">
        <f>SUM(B62:U62)</f>
        <v>-88361.910526959342</v>
      </c>
    </row>
    <row r="63" spans="1:55" outlineLevel="1">
      <c r="A63" s="15"/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W63" s="1018"/>
    </row>
    <row r="64" spans="1:55" s="861" customFormat="1" ht="15.75" outlineLevel="1">
      <c r="A64" s="245" t="s">
        <v>35</v>
      </c>
      <c r="B64" s="246">
        <f t="shared" ref="B64:U64" si="18">B59+B62+B61</f>
        <v>3314.7418733206068</v>
      </c>
      <c r="C64" s="246">
        <f t="shared" si="18"/>
        <v>3265.9777942320943</v>
      </c>
      <c r="D64" s="246">
        <f t="shared" si="18"/>
        <v>3259.9452008891021</v>
      </c>
      <c r="E64" s="246">
        <f t="shared" si="18"/>
        <v>13941.124680220651</v>
      </c>
      <c r="F64" s="246">
        <f t="shared" si="18"/>
        <v>14801.979392329486</v>
      </c>
      <c r="G64" s="246">
        <f t="shared" si="18"/>
        <v>15071.192581976697</v>
      </c>
      <c r="H64" s="246">
        <f t="shared" si="18"/>
        <v>12918.586152472581</v>
      </c>
      <c r="I64" s="246">
        <f t="shared" si="18"/>
        <v>12206.058276477694</v>
      </c>
      <c r="J64" s="246">
        <f t="shared" si="18"/>
        <v>11944.280173987283</v>
      </c>
      <c r="K64" s="246">
        <f t="shared" si="18"/>
        <v>11876.810143071732</v>
      </c>
      <c r="L64" s="246">
        <f t="shared" si="18"/>
        <v>11569.890255570113</v>
      </c>
      <c r="M64" s="246">
        <f t="shared" si="18"/>
        <v>12462.626212184585</v>
      </c>
      <c r="N64" s="246">
        <f t="shared" si="18"/>
        <v>13408.884381134376</v>
      </c>
      <c r="O64" s="246">
        <f t="shared" si="18"/>
        <v>14291.700749434063</v>
      </c>
      <c r="P64" s="246">
        <f t="shared" si="18"/>
        <v>14779.829212089142</v>
      </c>
      <c r="Q64" s="246">
        <f t="shared" si="18"/>
        <v>13319.486797696594</v>
      </c>
      <c r="R64" s="246">
        <f t="shared" si="18"/>
        <v>12189.760299457674</v>
      </c>
      <c r="S64" s="246">
        <f t="shared" si="18"/>
        <v>13984.39607656455</v>
      </c>
      <c r="T64" s="246">
        <f t="shared" si="18"/>
        <v>14583.880701724442</v>
      </c>
      <c r="U64" s="246">
        <f t="shared" si="18"/>
        <v>15752.710608815341</v>
      </c>
      <c r="W64" s="954">
        <f>SUM(B64:U64)</f>
        <v>238943.86156364882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532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633"/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ENA_Allocation!$C$9*'ENA_Summary Output'!$C$8</f>
        <v>83891.284845906048</v>
      </c>
      <c r="C76" s="1053">
        <f>ENA_Allocation!$C$9*'ENA_Summary Output'!$C$8</f>
        <v>83891.284845906048</v>
      </c>
      <c r="D76" s="1053">
        <f>ENA_Allocation!$C$9*'ENA_Summary Output'!$C$8</f>
        <v>83891.284845906048</v>
      </c>
      <c r="E76" s="1053">
        <f>ENA_Allocation!$C$9*'ENA_Summary Output'!$C$8</f>
        <v>83891.284845906048</v>
      </c>
      <c r="F76" s="1053">
        <f>ENA_Allocation!$C$9*'ENA_Summary Output'!$C$8</f>
        <v>83891.284845906048</v>
      </c>
      <c r="G76" s="1053">
        <f>ENA_Allocation!$C$9*'ENA_Summary Output'!$C$8</f>
        <v>83891.284845906048</v>
      </c>
      <c r="H76" s="1053">
        <f>ENA_Allocation!$C$9*'ENA_Summary Output'!$C$8</f>
        <v>83891.284845906048</v>
      </c>
      <c r="I76" s="1053">
        <f>ENA_Allocation!$C$9*'ENA_Summary Output'!$C$8</f>
        <v>83891.284845906048</v>
      </c>
      <c r="J76" s="1053">
        <f>ENA_Allocation!$C$9*'ENA_Summary Output'!$C$8</f>
        <v>83891.284845906048</v>
      </c>
      <c r="K76" s="1053">
        <f>ENA_Allocation!$C$9*'ENA_Summary Output'!$C$8</f>
        <v>83891.284845906048</v>
      </c>
      <c r="L76" s="1053">
        <f>ENA_Allocation!$C$9*'ENA_Summary Output'!$C$8</f>
        <v>83891.284845906048</v>
      </c>
      <c r="M76" s="1053">
        <f>ENA_Allocation!$C$9*'ENA_Summary Output'!$C$8</f>
        <v>83891.284845906048</v>
      </c>
      <c r="N76" s="1053">
        <f>ENA_Allocation!$C$9*'ENA_Summary Output'!$C$8</f>
        <v>83891.284845906048</v>
      </c>
      <c r="O76" s="1053">
        <f>ENA_Allocation!$C$9*'ENA_Summary Output'!$C$8</f>
        <v>83891.284845906048</v>
      </c>
      <c r="P76" s="1053">
        <f>ENA_Allocation!$C$9*'ENA_Summary Output'!$C$8</f>
        <v>83891.284845906048</v>
      </c>
      <c r="Q76" s="1053">
        <f>ENA_Allocation!$C$9*'ENA_Summary Output'!$C$8</f>
        <v>83891.284845906048</v>
      </c>
      <c r="R76" s="1053">
        <f>ENA_Allocation!$C$9*'ENA_Summary Output'!$C$8</f>
        <v>83891.284845906048</v>
      </c>
      <c r="S76" s="1053">
        <f>ENA_Allocation!$C$9*'ENA_Summary Output'!$C$8</f>
        <v>83891.284845906048</v>
      </c>
      <c r="T76" s="1053">
        <f>ENA_Allocation!$C$9*'ENA_Summary Output'!$C$8</f>
        <v>83891.284845906048</v>
      </c>
      <c r="U76" s="1053">
        <f>ENA_Allocation!$C$9*'ENA_Summary Output'!$C$8</f>
        <v>83891.284845906048</v>
      </c>
    </row>
    <row r="77" spans="1:44" outlineLevel="1">
      <c r="A77" s="1055" t="s">
        <v>517</v>
      </c>
      <c r="B77" s="1056">
        <f>B44-B64-B12*(ENA_Assumptions!$E$39+(1-ENA_Assumptions!$E$39)*ENA_Assumptions!$E$38)</f>
        <v>-2475.120107229975</v>
      </c>
      <c r="C77" s="1056">
        <f>C44-C64-C12*(ENA_Assumptions!$E$39+(1-ENA_Assumptions!$E$39)*ENA_Assumptions!$E$38)+B77</f>
        <v>-4848.0869025873953</v>
      </c>
      <c r="D77" s="1056">
        <f>D44-D64-D12*(ENA_Assumptions!$E$39+(1-ENA_Assumptions!$E$39)*ENA_Assumptions!$E$38)+C77</f>
        <v>-7125.9398403009027</v>
      </c>
      <c r="E77" s="1056">
        <f t="shared" ref="E77:U77" si="19">E44-E64+D77</f>
        <v>-15032.572139675374</v>
      </c>
      <c r="F77" s="1056">
        <f t="shared" si="19"/>
        <v>-22770.928518080858</v>
      </c>
      <c r="G77" s="1056">
        <f t="shared" si="19"/>
        <v>-30359.530517351093</v>
      </c>
      <c r="H77" s="1056">
        <f t="shared" si="19"/>
        <v>-35348.442411961543</v>
      </c>
      <c r="I77" s="1056">
        <f t="shared" si="19"/>
        <v>-39165.522408364515</v>
      </c>
      <c r="J77" s="1056">
        <f t="shared" si="19"/>
        <v>-42192.641742178035</v>
      </c>
      <c r="K77" s="1056">
        <f t="shared" si="19"/>
        <v>-44937.10856065603</v>
      </c>
      <c r="L77" s="1056">
        <f t="shared" si="19"/>
        <v>-46582.761754550535</v>
      </c>
      <c r="M77" s="1056">
        <f t="shared" si="19"/>
        <v>-48280.71698395945</v>
      </c>
      <c r="N77" s="1056">
        <f t="shared" si="19"/>
        <v>-50105.685977857385</v>
      </c>
      <c r="O77" s="1056">
        <f t="shared" si="19"/>
        <v>-52078.226950299213</v>
      </c>
      <c r="P77" s="1056">
        <f t="shared" si="19"/>
        <v>-53793.183896521929</v>
      </c>
      <c r="Q77" s="1056">
        <f t="shared" si="19"/>
        <v>-53387.104260874636</v>
      </c>
      <c r="R77" s="1056">
        <f t="shared" si="19"/>
        <v>-51166.15694357561</v>
      </c>
      <c r="S77" s="1056">
        <f t="shared" si="19"/>
        <v>-50077.462848862968</v>
      </c>
      <c r="T77" s="1056">
        <f t="shared" si="19"/>
        <v>-48982.455637604922</v>
      </c>
      <c r="U77" s="1056">
        <f t="shared" si="19"/>
        <v>-48449.124582765959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ENA_Debt!B73*ENA_Allocation!$E$9</f>
        <v>86163.722560793365</v>
      </c>
      <c r="C78" s="1057">
        <f>ENA_Debt!C73*ENA_Allocation!$E$9</f>
        <v>84172.79568438865</v>
      </c>
      <c r="D78" s="1057">
        <f>ENA_Debt!D73*ENA_Allocation!$E$9</f>
        <v>82032.175057878325</v>
      </c>
      <c r="E78" s="1057">
        <f>ENA_Debt!E73*ENA_Allocation!$E$9</f>
        <v>79894.54830637011</v>
      </c>
      <c r="F78" s="1057">
        <f>ENA_Debt!F73*ENA_Allocation!$E$9</f>
        <v>76952.167954294084</v>
      </c>
      <c r="G78" s="1057">
        <f>ENA_Debt!G73*ENA_Allocation!$E$9</f>
        <v>73607.41080193418</v>
      </c>
      <c r="H78" s="1057">
        <f>ENA_Debt!H73*ENA_Allocation!$E$9</f>
        <v>69960.871049361333</v>
      </c>
      <c r="I78" s="1057">
        <f>ENA_Debt!I73*ENA_Allocation!$E$9</f>
        <v>65811.360296433617</v>
      </c>
      <c r="J78" s="1057">
        <f>ENA_Debt!J73*ENA_Allocation!$E$9</f>
        <v>61259.47274322201</v>
      </c>
      <c r="K78" s="1057">
        <f>ENA_Debt!K73*ENA_Allocation!$E$9</f>
        <v>56030.37066453258</v>
      </c>
      <c r="L78" s="1057">
        <f>ENA_Debt!L73*ENA_Allocation!$E$9</f>
        <v>50342.008160519123</v>
      </c>
      <c r="M78" s="1057">
        <f>ENA_Debt!M73*ENA_Allocation!$E$9</f>
        <v>44653.645656505665</v>
      </c>
      <c r="N78" s="1057">
        <f>ENA_Debt!N73*ENA_Allocation!$E$9</f>
        <v>38965.2831524922</v>
      </c>
      <c r="O78" s="1057">
        <f>ENA_Debt!O73*ENA_Allocation!$E$9</f>
        <v>33276.920648478743</v>
      </c>
      <c r="P78" s="1057">
        <f>ENA_Debt!P73*ENA_Allocation!$E$9</f>
        <v>27304.140019264611</v>
      </c>
      <c r="Q78" s="1057">
        <f>ENA_Debt!Q73*ENA_Allocation!$E$9</f>
        <v>21046.941264849804</v>
      </c>
      <c r="R78" s="1057">
        <f>ENA_Debt!R73*ENA_Allocation!$E$9</f>
        <v>14789.742510434997</v>
      </c>
      <c r="S78" s="1057">
        <f>ENA_Debt!S73*ENA_Allocation!$E$9</f>
        <v>9670.2162568228814</v>
      </c>
      <c r="T78" s="1057">
        <f>ENA_Debt!T73*ENA_Allocation!$E$9</f>
        <v>4550.6900032107678</v>
      </c>
      <c r="U78" s="1057">
        <f>ENA_Debt!U73*ENA_Allocation!$E$9</f>
        <v>-4.7923276758572062E-12</v>
      </c>
    </row>
    <row r="79" spans="1:44" outlineLevel="1">
      <c r="A79" s="291" t="s">
        <v>528</v>
      </c>
      <c r="B79" s="1058">
        <f>SUM(B76:B78)</f>
        <v>167579.88729946944</v>
      </c>
      <c r="C79" s="1058">
        <f t="shared" ref="C79:U79" si="20">SUM(C76:C78)</f>
        <v>163215.9936277073</v>
      </c>
      <c r="D79" s="1058">
        <f t="shared" si="20"/>
        <v>158797.52006348348</v>
      </c>
      <c r="E79" s="1058">
        <f t="shared" si="20"/>
        <v>148753.26101260079</v>
      </c>
      <c r="F79" s="1058">
        <f t="shared" si="20"/>
        <v>138072.52428211927</v>
      </c>
      <c r="G79" s="1058">
        <f t="shared" si="20"/>
        <v>127139.16513048913</v>
      </c>
      <c r="H79" s="1058">
        <f t="shared" si="20"/>
        <v>118503.71348330584</v>
      </c>
      <c r="I79" s="1058">
        <f t="shared" si="20"/>
        <v>110537.12273397515</v>
      </c>
      <c r="J79" s="1058">
        <f t="shared" si="20"/>
        <v>102958.11584695002</v>
      </c>
      <c r="K79" s="1058">
        <f t="shared" si="20"/>
        <v>94984.546949782598</v>
      </c>
      <c r="L79" s="1058">
        <f t="shared" si="20"/>
        <v>87650.531251874636</v>
      </c>
      <c r="M79" s="1058">
        <f t="shared" si="20"/>
        <v>80264.213518452263</v>
      </c>
      <c r="N79" s="1058">
        <f t="shared" si="20"/>
        <v>72750.882020540856</v>
      </c>
      <c r="O79" s="1058">
        <f t="shared" si="20"/>
        <v>65089.978544085578</v>
      </c>
      <c r="P79" s="1058">
        <f t="shared" si="20"/>
        <v>57402.24096864873</v>
      </c>
      <c r="Q79" s="1058">
        <f t="shared" si="20"/>
        <v>51551.121849881216</v>
      </c>
      <c r="R79" s="1058">
        <f t="shared" si="20"/>
        <v>47514.870412765435</v>
      </c>
      <c r="S79" s="1058">
        <f t="shared" si="20"/>
        <v>43484.038253865961</v>
      </c>
      <c r="T79" s="1058">
        <f t="shared" si="20"/>
        <v>39459.519211511892</v>
      </c>
      <c r="U79" s="1058">
        <f t="shared" si="20"/>
        <v>35442.160263140082</v>
      </c>
    </row>
    <row r="80" spans="1:44" outlineLevel="1">
      <c r="A80" s="1055" t="s">
        <v>521</v>
      </c>
      <c r="B80" s="1059">
        <f>ENA_Assumptions!$E$42</f>
        <v>2.5000000000000001E-3</v>
      </c>
      <c r="C80" s="1059">
        <f>ENA_Assumptions!$E$43</f>
        <v>2.5000000000000001E-3</v>
      </c>
      <c r="D80" s="1059">
        <f>ENA_Assumptions!$E$43</f>
        <v>2.5000000000000001E-3</v>
      </c>
      <c r="E80" s="1059">
        <f>ENA_Assumptions!$E$43</f>
        <v>2.5000000000000001E-3</v>
      </c>
      <c r="F80" s="1059">
        <f>ENA_Assumptions!$E$43</f>
        <v>2.5000000000000001E-3</v>
      </c>
      <c r="G80" s="1059">
        <f>ENA_Assumptions!$E$43</f>
        <v>2.5000000000000001E-3</v>
      </c>
      <c r="H80" s="1059">
        <f>ENA_Assumptions!$E$43</f>
        <v>2.5000000000000001E-3</v>
      </c>
      <c r="I80" s="1059">
        <f>ENA_Assumptions!$E$43</f>
        <v>2.5000000000000001E-3</v>
      </c>
      <c r="J80" s="1059">
        <f>ENA_Assumptions!$E$43</f>
        <v>2.5000000000000001E-3</v>
      </c>
      <c r="K80" s="1059">
        <f>ENA_Assumptions!$E$43</f>
        <v>2.5000000000000001E-3</v>
      </c>
      <c r="L80" s="1059">
        <f>ENA_Assumptions!$E$43</f>
        <v>2.5000000000000001E-3</v>
      </c>
      <c r="M80" s="1059">
        <f>ENA_Assumptions!$E$43</f>
        <v>2.5000000000000001E-3</v>
      </c>
      <c r="N80" s="1059">
        <f>ENA_Assumptions!$E$43</f>
        <v>2.5000000000000001E-3</v>
      </c>
      <c r="O80" s="1059">
        <f>ENA_Assumptions!$E$43</f>
        <v>2.5000000000000001E-3</v>
      </c>
      <c r="P80" s="1059">
        <f>ENA_Assumptions!$E$43</f>
        <v>2.5000000000000001E-3</v>
      </c>
      <c r="Q80" s="1059">
        <f>ENA_Assumptions!$E$43</f>
        <v>2.5000000000000001E-3</v>
      </c>
      <c r="R80" s="1059">
        <f>ENA_Assumptions!$E$43</f>
        <v>2.5000000000000001E-3</v>
      </c>
      <c r="S80" s="1059">
        <f>ENA_Assumptions!$E$43</f>
        <v>2.5000000000000001E-3</v>
      </c>
      <c r="T80" s="1059">
        <f>ENA_Assumptions!$E$43</f>
        <v>2.5000000000000001E-3</v>
      </c>
      <c r="U80" s="1059">
        <f>ENA_Assumptions!$E$43</f>
        <v>2.5000000000000001E-3</v>
      </c>
    </row>
    <row r="81" spans="1:44" outlineLevel="1">
      <c r="A81" s="291" t="s">
        <v>522</v>
      </c>
      <c r="B81" s="1060">
        <v>418.94971824867361</v>
      </c>
      <c r="C81" s="1060">
        <v>408.03998406926826</v>
      </c>
      <c r="D81" s="1060">
        <v>396.99380015870872</v>
      </c>
      <c r="E81" s="1060">
        <v>371.88315253150199</v>
      </c>
      <c r="F81" s="1060">
        <v>345.18131070529819</v>
      </c>
      <c r="G81" s="1060">
        <v>317.84791282622285</v>
      </c>
      <c r="H81" s="1060">
        <v>296.25902147616898</v>
      </c>
      <c r="I81" s="1060">
        <v>276.34251224953175</v>
      </c>
      <c r="J81" s="1060">
        <v>257.39496395576282</v>
      </c>
      <c r="K81" s="1060">
        <v>237.46101191374248</v>
      </c>
      <c r="L81" s="1060">
        <v>219.12594414697514</v>
      </c>
      <c r="M81" s="1060">
        <v>200.66012256852613</v>
      </c>
      <c r="N81" s="1060">
        <v>181.87676785595897</v>
      </c>
      <c r="O81" s="1060">
        <v>162.7244844741364</v>
      </c>
      <c r="P81" s="1060">
        <v>143.50511712196433</v>
      </c>
      <c r="Q81" s="1060">
        <v>128.87729718856991</v>
      </c>
      <c r="R81" s="1060">
        <v>118.78664773640924</v>
      </c>
      <c r="S81" s="1060">
        <v>108.70954775689404</v>
      </c>
      <c r="T81" s="1060">
        <v>98.648231845838936</v>
      </c>
      <c r="U81" s="1060">
        <v>88.604817446982196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44" outlineLevel="1">
      <c r="A85" s="291"/>
      <c r="B85" s="3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44" outlineLevel="1">
      <c r="A86" s="598" t="s">
        <v>523</v>
      </c>
      <c r="B86" s="316">
        <f>B39-B12</f>
        <v>-1142.5497601817151</v>
      </c>
      <c r="C86" s="316">
        <f>C39-C12</f>
        <v>-1056.0894641751693</v>
      </c>
      <c r="D86" s="316">
        <f>D39-D12</f>
        <v>-911.82830741254475</v>
      </c>
      <c r="E86" s="316">
        <f t="shared" ref="E86:U86" si="21">E39</f>
        <v>9772.4572969168894</v>
      </c>
      <c r="F86" s="316">
        <f t="shared" si="21"/>
        <v>11439.065609593525</v>
      </c>
      <c r="G86" s="316">
        <f t="shared" si="21"/>
        <v>12117.555599524634</v>
      </c>
      <c r="H86" s="316">
        <f t="shared" si="21"/>
        <v>12841.577745525723</v>
      </c>
      <c r="I86" s="316">
        <f t="shared" si="21"/>
        <v>13585.389927246513</v>
      </c>
      <c r="J86" s="316">
        <f t="shared" si="21"/>
        <v>14440.746299876533</v>
      </c>
      <c r="K86" s="316">
        <f t="shared" si="21"/>
        <v>14789.219958856258</v>
      </c>
      <c r="L86" s="316">
        <f t="shared" si="21"/>
        <v>16071.638966276283</v>
      </c>
      <c r="M86" s="316">
        <f t="shared" si="21"/>
        <v>17432.665559150879</v>
      </c>
      <c r="N86" s="316">
        <f t="shared" si="21"/>
        <v>18759.377145322171</v>
      </c>
      <c r="O86" s="316">
        <f t="shared" si="21"/>
        <v>19950.056319015763</v>
      </c>
      <c r="P86" s="316">
        <f t="shared" si="21"/>
        <v>21157.687879945632</v>
      </c>
      <c r="Q86" s="316">
        <f t="shared" si="21"/>
        <v>22227.637948735035</v>
      </c>
      <c r="R86" s="316">
        <f t="shared" si="21"/>
        <v>23337.17832673149</v>
      </c>
      <c r="S86" s="316">
        <f t="shared" si="21"/>
        <v>24409.862625550108</v>
      </c>
      <c r="T86" s="316">
        <f t="shared" si="21"/>
        <v>25390.911599971641</v>
      </c>
      <c r="U86" s="316">
        <f t="shared" si="21"/>
        <v>26374.156540330863</v>
      </c>
      <c r="W86" s="1054">
        <f>SUM(B86:U86)</f>
        <v>300986.71781680046</v>
      </c>
    </row>
    <row r="87" spans="1:44" outlineLevel="1">
      <c r="A87" s="598" t="s">
        <v>502</v>
      </c>
      <c r="B87" s="316">
        <f>B33</f>
        <v>6314.394134811977</v>
      </c>
      <c r="C87" s="316">
        <f t="shared" ref="C87:U87" si="22">C33</f>
        <v>6314.394134811977</v>
      </c>
      <c r="D87" s="316">
        <f t="shared" si="22"/>
        <v>6314.394134811977</v>
      </c>
      <c r="E87" s="316">
        <f t="shared" si="22"/>
        <v>6314.394134811977</v>
      </c>
      <c r="F87" s="316">
        <f t="shared" si="22"/>
        <v>6314.394134811977</v>
      </c>
      <c r="G87" s="316">
        <f t="shared" si="22"/>
        <v>6314.394134811977</v>
      </c>
      <c r="H87" s="316">
        <f t="shared" si="22"/>
        <v>6314.394134811977</v>
      </c>
      <c r="I87" s="316">
        <f t="shared" si="22"/>
        <v>6314.394134811977</v>
      </c>
      <c r="J87" s="316">
        <f t="shared" si="22"/>
        <v>6314.394134811977</v>
      </c>
      <c r="K87" s="316">
        <f t="shared" si="22"/>
        <v>6314.394134811977</v>
      </c>
      <c r="L87" s="316">
        <f t="shared" si="22"/>
        <v>6314.394134811977</v>
      </c>
      <c r="M87" s="316">
        <f t="shared" si="22"/>
        <v>6314.394134811977</v>
      </c>
      <c r="N87" s="316">
        <f t="shared" si="22"/>
        <v>6314.394134811977</v>
      </c>
      <c r="O87" s="316">
        <f t="shared" si="22"/>
        <v>6314.394134811977</v>
      </c>
      <c r="P87" s="316">
        <f t="shared" si="22"/>
        <v>6314.394134811977</v>
      </c>
      <c r="Q87" s="316">
        <f t="shared" si="22"/>
        <v>6314.394134811977</v>
      </c>
      <c r="R87" s="316">
        <f t="shared" si="22"/>
        <v>6314.394134811977</v>
      </c>
      <c r="S87" s="316">
        <f t="shared" si="22"/>
        <v>6314.394134811977</v>
      </c>
      <c r="T87" s="316">
        <f t="shared" si="22"/>
        <v>6314.394134811977</v>
      </c>
      <c r="U87" s="316">
        <f t="shared" si="22"/>
        <v>6314.394134811977</v>
      </c>
      <c r="W87" s="1054">
        <f>SUM(B87:U87)</f>
        <v>126287.88269623948</v>
      </c>
    </row>
    <row r="88" spans="1:44" ht="15" outlineLevel="1">
      <c r="A88" s="598" t="s">
        <v>352</v>
      </c>
      <c r="B88" s="1062">
        <f>-ENA_Depreciation!C81</f>
        <v>-9537.7266653231127</v>
      </c>
      <c r="C88" s="1062">
        <f>-ENA_Depreciation!D81</f>
        <v>-18121.680664113916</v>
      </c>
      <c r="D88" s="1062">
        <f>-ENA_Depreciation!E81</f>
        <v>-16309.512597702524</v>
      </c>
      <c r="E88" s="1062">
        <f>-ENA_Depreciation!F81</f>
        <v>-14688.099064597593</v>
      </c>
      <c r="F88" s="1062">
        <f>-ENA_Depreciation!G81</f>
        <v>-13219.289158137834</v>
      </c>
      <c r="G88" s="1062">
        <f>-ENA_Depreciation!H81</f>
        <v>-11884.007424992598</v>
      </c>
      <c r="H88" s="1062">
        <f>-ENA_Depreciation!I81</f>
        <v>-11254.517465081273</v>
      </c>
      <c r="I88" s="1062">
        <f>-ENA_Depreciation!J81</f>
        <v>-11273.59291841192</v>
      </c>
      <c r="J88" s="1062">
        <f>-ENA_Depreciation!K81</f>
        <v>-11254.517465081273</v>
      </c>
      <c r="K88" s="1062">
        <f>-ENA_Depreciation!L81</f>
        <v>-11273.59291841192</v>
      </c>
      <c r="L88" s="1062">
        <f>-ENA_Depreciation!M81</f>
        <v>-11254.517465081273</v>
      </c>
      <c r="M88" s="1062">
        <f>-ENA_Depreciation!N81</f>
        <v>-11273.59291841192</v>
      </c>
      <c r="N88" s="1062">
        <f>-ENA_Depreciation!O81</f>
        <v>-11254.517465081273</v>
      </c>
      <c r="O88" s="1062">
        <f>-ENA_Depreciation!P81</f>
        <v>-11273.59291841192</v>
      </c>
      <c r="P88" s="1062">
        <f>-ENA_Depreciation!Q81</f>
        <v>-11254.517465081273</v>
      </c>
      <c r="Q88" s="1062">
        <f>-ENA_Depreciation!R81</f>
        <v>-5627.2587325406366</v>
      </c>
      <c r="R88" s="1062">
        <f>-ENA_Depreciation!S81</f>
        <v>0</v>
      </c>
      <c r="S88" s="1062">
        <f>-ENA_Depreciation!T81</f>
        <v>0</v>
      </c>
      <c r="T88" s="1062">
        <f>-ENA_Depreciation!U81</f>
        <v>0</v>
      </c>
      <c r="U88" s="1062">
        <f>-ENA_Depreciation!V81</f>
        <v>0</v>
      </c>
      <c r="W88" s="1063">
        <f>SUM(B88:U88)</f>
        <v>-190754.53330646222</v>
      </c>
    </row>
    <row r="89" spans="1:44" outlineLevel="1">
      <c r="A89" s="318" t="s">
        <v>524</v>
      </c>
      <c r="B89" s="296">
        <f t="shared" ref="B89:U89" si="23">SUM(B86:B88)</f>
        <v>-4365.8822906928508</v>
      </c>
      <c r="C89" s="296">
        <f t="shared" si="23"/>
        <v>-12863.375993477108</v>
      </c>
      <c r="D89" s="296">
        <f t="shared" si="23"/>
        <v>-10906.946770303091</v>
      </c>
      <c r="E89" s="296">
        <f t="shared" si="23"/>
        <v>1398.7523671312738</v>
      </c>
      <c r="F89" s="296">
        <f t="shared" si="23"/>
        <v>4534.1705862676699</v>
      </c>
      <c r="G89" s="296">
        <f t="shared" si="23"/>
        <v>6547.9423093440109</v>
      </c>
      <c r="H89" s="296">
        <f t="shared" si="23"/>
        <v>7901.4544152564267</v>
      </c>
      <c r="I89" s="296">
        <f t="shared" si="23"/>
        <v>8626.1911436465707</v>
      </c>
      <c r="J89" s="296">
        <f t="shared" si="23"/>
        <v>9500.6229696072369</v>
      </c>
      <c r="K89" s="296">
        <f t="shared" si="23"/>
        <v>9830.0211752563155</v>
      </c>
      <c r="L89" s="296">
        <f t="shared" si="23"/>
        <v>11131.515636006985</v>
      </c>
      <c r="M89" s="296">
        <f t="shared" si="23"/>
        <v>12473.466775550936</v>
      </c>
      <c r="N89" s="296">
        <f t="shared" si="23"/>
        <v>13819.253815052874</v>
      </c>
      <c r="O89" s="296">
        <f t="shared" si="23"/>
        <v>14990.85753541582</v>
      </c>
      <c r="P89" s="296">
        <f t="shared" si="23"/>
        <v>16217.564549676335</v>
      </c>
      <c r="Q89" s="296">
        <f t="shared" si="23"/>
        <v>22914.773351006377</v>
      </c>
      <c r="R89" s="296">
        <f t="shared" si="23"/>
        <v>29651.572461543466</v>
      </c>
      <c r="S89" s="296">
        <f t="shared" si="23"/>
        <v>30724.256760362085</v>
      </c>
      <c r="T89" s="296">
        <f t="shared" si="23"/>
        <v>31705.305734783618</v>
      </c>
      <c r="U89" s="296">
        <f t="shared" si="23"/>
        <v>32688.55067514284</v>
      </c>
      <c r="W89" s="1054">
        <f>SUM(B89:U89)</f>
        <v>236520.06720657778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ENA_Assumptions!$E$39</f>
        <v>0.05</v>
      </c>
      <c r="C91" s="1064">
        <f>ENA_Assumptions!$E$39</f>
        <v>0.05</v>
      </c>
      <c r="D91" s="1064">
        <f>ENA_Assumptions!$E$39</f>
        <v>0.05</v>
      </c>
      <c r="E91" s="1064">
        <f>ENA_Assumptions!$E$39</f>
        <v>0.05</v>
      </c>
      <c r="F91" s="1064">
        <f>ENA_Assumptions!$E$39</f>
        <v>0.05</v>
      </c>
      <c r="G91" s="1064">
        <f>ENA_Assumptions!$E$39</f>
        <v>0.05</v>
      </c>
      <c r="H91" s="1064">
        <f>ENA_Assumptions!$E$39</f>
        <v>0.05</v>
      </c>
      <c r="I91" s="1064">
        <f>ENA_Assumptions!$E$39</f>
        <v>0.05</v>
      </c>
      <c r="J91" s="1064">
        <f>ENA_Assumptions!$E$39</f>
        <v>0.05</v>
      </c>
      <c r="K91" s="1064">
        <f>ENA_Assumptions!$E$39</f>
        <v>0.05</v>
      </c>
      <c r="L91" s="1064">
        <f>ENA_Assumptions!$E$39</f>
        <v>0.05</v>
      </c>
      <c r="M91" s="1064">
        <f>ENA_Assumptions!$E$39</f>
        <v>0.05</v>
      </c>
      <c r="N91" s="1064">
        <f>ENA_Assumptions!$E$39</f>
        <v>0.05</v>
      </c>
      <c r="O91" s="1064">
        <f>ENA_Assumptions!$E$39</f>
        <v>0.05</v>
      </c>
      <c r="P91" s="1064">
        <f>ENA_Assumptions!$E$39</f>
        <v>0.05</v>
      </c>
      <c r="Q91" s="1064">
        <f>ENA_Assumptions!$E$39</f>
        <v>0.05</v>
      </c>
      <c r="R91" s="1064">
        <f>ENA_Assumptions!$E$39</f>
        <v>0.05</v>
      </c>
      <c r="S91" s="1064">
        <f>ENA_Assumptions!$E$39</f>
        <v>0.05</v>
      </c>
      <c r="T91" s="1064">
        <f>ENA_Assumptions!$E$39</f>
        <v>0.05</v>
      </c>
      <c r="U91" s="1064">
        <f>ENA_Assumptions!$E$39</f>
        <v>0.05</v>
      </c>
    </row>
    <row r="92" spans="1:44" outlineLevel="1">
      <c r="A92" s="598" t="s">
        <v>262</v>
      </c>
      <c r="B92" s="316">
        <f>B89*B91</f>
        <v>-218.29411453464255</v>
      </c>
      <c r="C92" s="316">
        <f t="shared" ref="C92:U92" si="24">C89*C91</f>
        <v>-643.16879967385546</v>
      </c>
      <c r="D92" s="316">
        <f t="shared" si="24"/>
        <v>-545.34733851515455</v>
      </c>
      <c r="E92" s="316">
        <f t="shared" si="24"/>
        <v>69.937618356563689</v>
      </c>
      <c r="F92" s="316">
        <f t="shared" si="24"/>
        <v>226.70852931338351</v>
      </c>
      <c r="G92" s="316">
        <f t="shared" si="24"/>
        <v>327.39711546720059</v>
      </c>
      <c r="H92" s="316">
        <f t="shared" si="24"/>
        <v>395.07272076282135</v>
      </c>
      <c r="I92" s="316">
        <f t="shared" si="24"/>
        <v>431.30955718232855</v>
      </c>
      <c r="J92" s="316">
        <f t="shared" si="24"/>
        <v>475.03114848036188</v>
      </c>
      <c r="K92" s="316">
        <f t="shared" si="24"/>
        <v>491.50105876281577</v>
      </c>
      <c r="L92" s="316">
        <f t="shared" si="24"/>
        <v>556.57578180034932</v>
      </c>
      <c r="M92" s="316">
        <f t="shared" si="24"/>
        <v>623.67333877754686</v>
      </c>
      <c r="N92" s="316">
        <f t="shared" si="24"/>
        <v>690.96269075264377</v>
      </c>
      <c r="O92" s="316">
        <f t="shared" si="24"/>
        <v>749.54287677079105</v>
      </c>
      <c r="P92" s="316">
        <f t="shared" si="24"/>
        <v>810.87822748381677</v>
      </c>
      <c r="Q92" s="316">
        <f t="shared" si="24"/>
        <v>1145.738667550319</v>
      </c>
      <c r="R92" s="316">
        <f t="shared" si="24"/>
        <v>1482.5786230771735</v>
      </c>
      <c r="S92" s="316">
        <f t="shared" si="24"/>
        <v>1536.2128380181043</v>
      </c>
      <c r="T92" s="316">
        <f t="shared" si="24"/>
        <v>1585.265286739181</v>
      </c>
      <c r="U92" s="316">
        <f t="shared" si="24"/>
        <v>1634.4275337571421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5">B98</f>
        <v>218.29411453464255</v>
      </c>
      <c r="D94" s="316">
        <f t="shared" si="25"/>
        <v>861.46291420849798</v>
      </c>
      <c r="E94" s="316">
        <f t="shared" si="25"/>
        <v>1406.8102527236524</v>
      </c>
      <c r="F94" s="316">
        <f t="shared" si="25"/>
        <v>1336.8726343670887</v>
      </c>
      <c r="G94" s="316">
        <f t="shared" si="25"/>
        <v>1110.1641050537053</v>
      </c>
      <c r="H94" s="316">
        <f t="shared" si="25"/>
        <v>782.76698958650468</v>
      </c>
      <c r="I94" s="316">
        <f t="shared" si="25"/>
        <v>387.69426882368333</v>
      </c>
      <c r="J94" s="316">
        <f t="shared" si="25"/>
        <v>0</v>
      </c>
      <c r="K94" s="316">
        <f t="shared" si="25"/>
        <v>0</v>
      </c>
      <c r="L94" s="316">
        <f t="shared" si="25"/>
        <v>0</v>
      </c>
      <c r="M94" s="316">
        <f t="shared" si="25"/>
        <v>0</v>
      </c>
      <c r="N94" s="316">
        <f>M98</f>
        <v>0</v>
      </c>
      <c r="O94" s="316">
        <f t="shared" si="25"/>
        <v>0</v>
      </c>
      <c r="P94" s="316">
        <f t="shared" si="25"/>
        <v>0</v>
      </c>
      <c r="Q94" s="316">
        <f t="shared" si="25"/>
        <v>0</v>
      </c>
      <c r="R94" s="316">
        <v>0</v>
      </c>
      <c r="S94" s="316">
        <f t="shared" si="25"/>
        <v>0</v>
      </c>
      <c r="T94" s="316">
        <f t="shared" si="25"/>
        <v>0</v>
      </c>
      <c r="U94" s="316">
        <f t="shared" si="25"/>
        <v>0</v>
      </c>
    </row>
    <row r="95" spans="1:44" outlineLevel="1">
      <c r="A95" s="598" t="s">
        <v>259</v>
      </c>
      <c r="B95" s="319">
        <f t="shared" ref="B95:U95" si="26">IF(B68&gt;2020,0,IF(B92&lt;0,-B92,0))</f>
        <v>218.29411453464255</v>
      </c>
      <c r="C95" s="319">
        <f t="shared" si="26"/>
        <v>643.16879967385546</v>
      </c>
      <c r="D95" s="319">
        <f t="shared" si="26"/>
        <v>545.34733851515455</v>
      </c>
      <c r="E95" s="319">
        <f t="shared" si="26"/>
        <v>0</v>
      </c>
      <c r="F95" s="319">
        <f t="shared" si="26"/>
        <v>0</v>
      </c>
      <c r="G95" s="319">
        <f t="shared" si="26"/>
        <v>0</v>
      </c>
      <c r="H95" s="319">
        <f t="shared" si="26"/>
        <v>0</v>
      </c>
      <c r="I95" s="319">
        <f t="shared" si="26"/>
        <v>0</v>
      </c>
      <c r="J95" s="319">
        <f t="shared" si="26"/>
        <v>0</v>
      </c>
      <c r="K95" s="319">
        <f t="shared" si="26"/>
        <v>0</v>
      </c>
      <c r="L95" s="319">
        <f t="shared" si="26"/>
        <v>0</v>
      </c>
      <c r="M95" s="319">
        <f t="shared" si="26"/>
        <v>0</v>
      </c>
      <c r="N95" s="319">
        <f t="shared" si="26"/>
        <v>0</v>
      </c>
      <c r="O95" s="319">
        <f t="shared" si="26"/>
        <v>0</v>
      </c>
      <c r="P95" s="319">
        <f t="shared" si="26"/>
        <v>0</v>
      </c>
      <c r="Q95" s="319">
        <f t="shared" si="26"/>
        <v>0</v>
      </c>
      <c r="R95" s="319">
        <f t="shared" si="26"/>
        <v>0</v>
      </c>
      <c r="S95" s="319">
        <f t="shared" si="26"/>
        <v>0</v>
      </c>
      <c r="T95" s="319">
        <f t="shared" si="26"/>
        <v>0</v>
      </c>
      <c r="U95" s="319">
        <f t="shared" si="26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7">IF(B92&lt;0,0,IF(B94&gt;B92,-B92,-B94))</f>
        <v>0</v>
      </c>
      <c r="C97" s="330">
        <f t="shared" si="27"/>
        <v>0</v>
      </c>
      <c r="D97" s="330">
        <f t="shared" si="27"/>
        <v>0</v>
      </c>
      <c r="E97" s="330">
        <f t="shared" si="27"/>
        <v>-69.937618356563689</v>
      </c>
      <c r="F97" s="330">
        <f t="shared" si="27"/>
        <v>-226.70852931338351</v>
      </c>
      <c r="G97" s="330">
        <f t="shared" si="27"/>
        <v>-327.39711546720059</v>
      </c>
      <c r="H97" s="330">
        <f t="shared" si="27"/>
        <v>-395.07272076282135</v>
      </c>
      <c r="I97" s="330">
        <f t="shared" si="27"/>
        <v>-387.69426882368333</v>
      </c>
      <c r="J97" s="330">
        <f t="shared" si="27"/>
        <v>0</v>
      </c>
      <c r="K97" s="330">
        <f t="shared" si="27"/>
        <v>0</v>
      </c>
      <c r="L97" s="330">
        <f t="shared" si="27"/>
        <v>0</v>
      </c>
      <c r="M97" s="330">
        <f t="shared" si="27"/>
        <v>0</v>
      </c>
      <c r="N97" s="330">
        <f t="shared" si="27"/>
        <v>0</v>
      </c>
      <c r="O97" s="330">
        <f t="shared" si="27"/>
        <v>0</v>
      </c>
      <c r="P97" s="330">
        <f t="shared" si="27"/>
        <v>0</v>
      </c>
      <c r="Q97" s="330">
        <f t="shared" si="27"/>
        <v>0</v>
      </c>
      <c r="R97" s="330">
        <f t="shared" si="27"/>
        <v>0</v>
      </c>
      <c r="S97" s="330">
        <f t="shared" si="27"/>
        <v>0</v>
      </c>
      <c r="T97" s="330">
        <f t="shared" si="27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8">SUM(B94:B97)</f>
        <v>218.29411453464255</v>
      </c>
      <c r="C98" s="330">
        <f t="shared" si="28"/>
        <v>861.46291420849798</v>
      </c>
      <c r="D98" s="330">
        <f t="shared" si="28"/>
        <v>1406.8102527236524</v>
      </c>
      <c r="E98" s="330">
        <f t="shared" si="28"/>
        <v>1336.8726343670887</v>
      </c>
      <c r="F98" s="330">
        <f t="shared" si="28"/>
        <v>1110.1641050537053</v>
      </c>
      <c r="G98" s="330">
        <f t="shared" si="28"/>
        <v>782.76698958650468</v>
      </c>
      <c r="H98" s="330">
        <f t="shared" si="28"/>
        <v>387.69426882368333</v>
      </c>
      <c r="I98" s="330">
        <f t="shared" si="28"/>
        <v>0</v>
      </c>
      <c r="J98" s="330">
        <f t="shared" si="28"/>
        <v>0</v>
      </c>
      <c r="K98" s="330">
        <f t="shared" si="28"/>
        <v>0</v>
      </c>
      <c r="L98" s="330">
        <f t="shared" si="28"/>
        <v>0</v>
      </c>
      <c r="M98" s="330">
        <f t="shared" si="28"/>
        <v>0</v>
      </c>
      <c r="N98" s="330">
        <f t="shared" si="28"/>
        <v>0</v>
      </c>
      <c r="O98" s="330">
        <f t="shared" si="28"/>
        <v>0</v>
      </c>
      <c r="P98" s="330">
        <f t="shared" si="28"/>
        <v>0</v>
      </c>
      <c r="Q98" s="330">
        <f t="shared" si="28"/>
        <v>0</v>
      </c>
      <c r="R98" s="330">
        <f t="shared" si="28"/>
        <v>0</v>
      </c>
      <c r="S98" s="330">
        <f t="shared" si="28"/>
        <v>0</v>
      </c>
      <c r="T98" s="330">
        <f t="shared" si="28"/>
        <v>0</v>
      </c>
      <c r="U98" s="330">
        <f t="shared" si="28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0</v>
      </c>
      <c r="H100" s="635">
        <f>IF('NewCo_Summary Output'!$P$8=1,IF(H92&lt;0,0,H92+H97),H92)</f>
        <v>0</v>
      </c>
      <c r="I100" s="635">
        <f>IF('NewCo_Summary Output'!$P$8=1,IF(I92&lt;0,0,I92+I97),I92)</f>
        <v>43.615288358645216</v>
      </c>
      <c r="J100" s="635">
        <f>IF('NewCo_Summary Output'!$P$8=1,IF(J92&lt;0,0,J92+J97),J92)</f>
        <v>475.03114848036188</v>
      </c>
      <c r="K100" s="635">
        <f>IF('NewCo_Summary Output'!$P$8=1,IF(K92&lt;0,0,K92+K97),K92)</f>
        <v>491.50105876281577</v>
      </c>
      <c r="L100" s="635">
        <f>IF('NewCo_Summary Output'!$P$8=1,IF(L92&lt;0,0,L92+L97),L92)</f>
        <v>556.57578180034932</v>
      </c>
      <c r="M100" s="635">
        <f>IF('NewCo_Summary Output'!$P$8=1,IF(M92&lt;0,0,M92+M97),M92)</f>
        <v>623.67333877754686</v>
      </c>
      <c r="N100" s="635">
        <f>IF('NewCo_Summary Output'!$P$8=1,IF(N92&lt;0,0,N92+N97),N92)</f>
        <v>690.96269075264377</v>
      </c>
      <c r="O100" s="635">
        <f>IF('NewCo_Summary Output'!$P$8=1,IF(O92&lt;0,0,O92+O97),O92)</f>
        <v>749.54287677079105</v>
      </c>
      <c r="P100" s="635">
        <f>IF('NewCo_Summary Output'!$P$8=1,IF(P92&lt;0,0,P92+P97),P92)</f>
        <v>810.87822748381677</v>
      </c>
      <c r="Q100" s="635">
        <f>IF('NewCo_Summary Output'!$P$8=1,IF(Q92&lt;0,0,Q92+Q97),Q92)</f>
        <v>1145.738667550319</v>
      </c>
      <c r="R100" s="635">
        <f>IF('NewCo_Summary Output'!$P$8=1,IF(R92&lt;0,0,R92+R97),R92)</f>
        <v>1482.5786230771735</v>
      </c>
      <c r="S100" s="635">
        <f>IF('NewCo_Summary Output'!$P$8=1,IF(S92&lt;0,0,S92+S97),S92)</f>
        <v>1536.2128380181043</v>
      </c>
      <c r="T100" s="635">
        <f>IF('NewCo_Summary Output'!$P$8=1,IF(T92&lt;0,0,T92+T97),T92)</f>
        <v>1585.265286739181</v>
      </c>
      <c r="U100" s="635">
        <f>IF('NewCo_Summary Output'!$P$8=1,IF(U92&lt;0,0,U92+U97),U92)</f>
        <v>1634.4275337571421</v>
      </c>
      <c r="W100" s="1054">
        <f>SUM(B100:U100)</f>
        <v>11826.003360328888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-4365.8822906928508</v>
      </c>
      <c r="C108" s="296">
        <f t="shared" ref="C108:U108" si="29">C89</f>
        <v>-12863.375993477108</v>
      </c>
      <c r="D108" s="296">
        <f t="shared" si="29"/>
        <v>-10906.946770303091</v>
      </c>
      <c r="E108" s="296">
        <f t="shared" si="29"/>
        <v>1398.7523671312738</v>
      </c>
      <c r="F108" s="296">
        <f t="shared" si="29"/>
        <v>4534.1705862676699</v>
      </c>
      <c r="G108" s="296">
        <f t="shared" si="29"/>
        <v>6547.9423093440109</v>
      </c>
      <c r="H108" s="296">
        <f t="shared" si="29"/>
        <v>7901.4544152564267</v>
      </c>
      <c r="I108" s="296">
        <f t="shared" si="29"/>
        <v>8626.1911436465707</v>
      </c>
      <c r="J108" s="296">
        <f t="shared" si="29"/>
        <v>9500.6229696072369</v>
      </c>
      <c r="K108" s="296">
        <f t="shared" si="29"/>
        <v>9830.0211752563155</v>
      </c>
      <c r="L108" s="296">
        <f t="shared" si="29"/>
        <v>11131.515636006985</v>
      </c>
      <c r="M108" s="296">
        <f t="shared" si="29"/>
        <v>12473.466775550936</v>
      </c>
      <c r="N108" s="296">
        <f t="shared" si="29"/>
        <v>13819.253815052874</v>
      </c>
      <c r="O108" s="296">
        <f t="shared" si="29"/>
        <v>14990.85753541582</v>
      </c>
      <c r="P108" s="296">
        <f t="shared" si="29"/>
        <v>16217.564549676335</v>
      </c>
      <c r="Q108" s="296">
        <f t="shared" si="29"/>
        <v>22914.773351006377</v>
      </c>
      <c r="R108" s="296">
        <f t="shared" si="29"/>
        <v>29651.572461543466</v>
      </c>
      <c r="S108" s="296">
        <f t="shared" si="29"/>
        <v>30724.256760362085</v>
      </c>
      <c r="T108" s="296">
        <f t="shared" si="29"/>
        <v>31705.305734783618</v>
      </c>
      <c r="U108" s="296">
        <f t="shared" si="29"/>
        <v>32688.55067514284</v>
      </c>
      <c r="W108" s="1054">
        <f>SUM(B108:U108)</f>
        <v>236520.06720657778</v>
      </c>
      <c r="X108" s="1054">
        <f>W89</f>
        <v>236520.06720657778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Output'!$C$11*ENA_Allocation!$E$9*NewCo_IS!B13</f>
        <v>1239.3534286811416</v>
      </c>
      <c r="C110" s="296">
        <f>'NewCo_Summary Output'!$C$11*ENA_Allocation!$E$9*NewCo_IS!C13</f>
        <v>1276.5340315415758</v>
      </c>
      <c r="D110" s="296">
        <f>'NewCo_Summary Output'!$C$11*ENA_Allocation!$E$9*NewCo_IS!D13</f>
        <v>1314.8300524878232</v>
      </c>
      <c r="E110" s="296">
        <f>'NewCo_Summary Output'!$C$11*ENA_Allocation!$E$9*NewCo_IS!E13</f>
        <v>1354.2749540624579</v>
      </c>
      <c r="F110" s="296">
        <f>'NewCo_Summary Output'!$C$11*ENA_Allocation!$E$9*NewCo_IS!F13</f>
        <v>1394.9032026843315</v>
      </c>
      <c r="G110" s="296">
        <f>'NewCo_Summary Output'!$C$11*ENA_Allocation!$E$9*NewCo_IS!G13</f>
        <v>1436.7502987648618</v>
      </c>
      <c r="H110" s="296">
        <f>'NewCo_Summary Output'!$C$11*ENA_Allocation!$E$9*NewCo_IS!H13</f>
        <v>1479.8528077278077</v>
      </c>
      <c r="I110" s="296">
        <f>'NewCo_Summary Output'!$C$11*ENA_Allocation!$E$9*NewCo_IS!I13</f>
        <v>1524.248391959642</v>
      </c>
      <c r="J110" s="296">
        <f>'NewCo_Summary Output'!$C$11*ENA_Allocation!$E$9*NewCo_IS!J13</f>
        <v>1569.9758437184314</v>
      </c>
      <c r="K110" s="296">
        <f>'NewCo_Summary Output'!$C$11*ENA_Allocation!$E$9*NewCo_IS!K13</f>
        <v>1617.0751190299843</v>
      </c>
      <c r="L110" s="296">
        <f>'NewCo_Summary Output'!$C$11*ENA_Allocation!$E$9*NewCo_IS!L13</f>
        <v>1665.5873726008838</v>
      </c>
      <c r="M110" s="296">
        <f>'NewCo_Summary Output'!$C$11*ENA_Allocation!$E$9*NewCo_IS!M13</f>
        <v>1715.5549937789106</v>
      </c>
      <c r="N110" s="296">
        <f>'NewCo_Summary Output'!$C$11*ENA_Allocation!$E$9*NewCo_IS!N13</f>
        <v>1767.021643592278</v>
      </c>
      <c r="O110" s="296">
        <f>'NewCo_Summary Output'!$C$11*ENA_Allocation!$E$9*NewCo_IS!O13</f>
        <v>1820.0322929000463</v>
      </c>
      <c r="P110" s="296">
        <f>'NewCo_Summary Output'!$C$11*ENA_Allocation!$E$9*NewCo_IS!P13</f>
        <v>1874.6332616870479</v>
      </c>
      <c r="Q110" s="296">
        <f>'NewCo_Summary Output'!$C$11*ENA_Allocation!$E$9*NewCo_IS!Q13</f>
        <v>1930.8722595376591</v>
      </c>
      <c r="R110" s="296">
        <f>'NewCo_Summary Output'!$C$11*ENA_Allocation!$E$9*NewCo_IS!R13</f>
        <v>1988.7984273237892</v>
      </c>
      <c r="S110" s="296">
        <f>'NewCo_Summary Output'!$C$11*ENA_Allocation!$E$9*NewCo_IS!S13</f>
        <v>2048.4623801435027</v>
      </c>
      <c r="T110" s="296">
        <f>'NewCo_Summary Output'!$C$11*ENA_Allocation!$E$9*NewCo_IS!T13</f>
        <v>2109.9162515478079</v>
      </c>
      <c r="U110" s="296">
        <f>'NewCo_Summary Output'!$C$11*ENA_Allocation!$E$9*NewCo_IS!U13</f>
        <v>2173.2137390942426</v>
      </c>
      <c r="W110" s="1054">
        <f>SUM(B110:U110)</f>
        <v>33301.89075286423</v>
      </c>
      <c r="X110" s="1054">
        <f>NewCo_IS!X13*'NewCo_Summary Output'!C11*ENA_Allocation!E9</f>
        <v>33301.890752864223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-5605.2357193739927</v>
      </c>
      <c r="C112" s="296">
        <f t="shared" ref="C112:U112" si="30">C108-C110</f>
        <v>-14139.910025018684</v>
      </c>
      <c r="D112" s="296">
        <f t="shared" si="30"/>
        <v>-12221.776822790915</v>
      </c>
      <c r="E112" s="296">
        <f t="shared" si="30"/>
        <v>44.477413068815849</v>
      </c>
      <c r="F112" s="296">
        <f t="shared" si="30"/>
        <v>3139.2673835833384</v>
      </c>
      <c r="G112" s="296">
        <f t="shared" si="30"/>
        <v>5111.1920105791487</v>
      </c>
      <c r="H112" s="296">
        <f t="shared" si="30"/>
        <v>6421.6016075286188</v>
      </c>
      <c r="I112" s="296">
        <f t="shared" si="30"/>
        <v>7101.9427516869291</v>
      </c>
      <c r="J112" s="296">
        <f t="shared" si="30"/>
        <v>7930.647125888805</v>
      </c>
      <c r="K112" s="296">
        <f t="shared" si="30"/>
        <v>8212.9460562263303</v>
      </c>
      <c r="L112" s="296">
        <f t="shared" si="30"/>
        <v>9465.9282634061019</v>
      </c>
      <c r="M112" s="296">
        <f t="shared" si="30"/>
        <v>10757.911781772025</v>
      </c>
      <c r="N112" s="296">
        <f t="shared" si="30"/>
        <v>12052.232171460597</v>
      </c>
      <c r="O112" s="296">
        <f t="shared" si="30"/>
        <v>13170.825242515773</v>
      </c>
      <c r="P112" s="296">
        <f t="shared" si="30"/>
        <v>14342.931287989288</v>
      </c>
      <c r="Q112" s="296">
        <f t="shared" si="30"/>
        <v>20983.901091468717</v>
      </c>
      <c r="R112" s="296">
        <f t="shared" si="30"/>
        <v>27662.774034219678</v>
      </c>
      <c r="S112" s="296">
        <f t="shared" si="30"/>
        <v>28675.794380218584</v>
      </c>
      <c r="T112" s="296">
        <f t="shared" si="30"/>
        <v>29595.389483235809</v>
      </c>
      <c r="U112" s="296">
        <f t="shared" si="30"/>
        <v>30515.336936048596</v>
      </c>
      <c r="W112" s="1054">
        <f>SUM(B112:U112)</f>
        <v>203218.17645371356</v>
      </c>
      <c r="X112" s="1054">
        <f>X108-X110</f>
        <v>203218.17645371356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1">C91</f>
        <v>0.05</v>
      </c>
      <c r="D114" s="1064">
        <f t="shared" si="31"/>
        <v>0.05</v>
      </c>
      <c r="E114" s="1064">
        <f t="shared" si="31"/>
        <v>0.05</v>
      </c>
      <c r="F114" s="1064">
        <f t="shared" si="31"/>
        <v>0.05</v>
      </c>
      <c r="G114" s="1064">
        <f t="shared" si="31"/>
        <v>0.05</v>
      </c>
      <c r="H114" s="1064">
        <f t="shared" si="31"/>
        <v>0.05</v>
      </c>
      <c r="I114" s="1064">
        <f t="shared" si="31"/>
        <v>0.05</v>
      </c>
      <c r="J114" s="1064">
        <f t="shared" si="31"/>
        <v>0.05</v>
      </c>
      <c r="K114" s="1064">
        <f t="shared" si="31"/>
        <v>0.05</v>
      </c>
      <c r="L114" s="1064">
        <f t="shared" si="31"/>
        <v>0.05</v>
      </c>
      <c r="M114" s="1064">
        <f t="shared" si="31"/>
        <v>0.05</v>
      </c>
      <c r="N114" s="1064">
        <f t="shared" si="31"/>
        <v>0.05</v>
      </c>
      <c r="O114" s="1064">
        <f t="shared" si="31"/>
        <v>0.05</v>
      </c>
      <c r="P114" s="1064">
        <f t="shared" si="31"/>
        <v>0.05</v>
      </c>
      <c r="Q114" s="1064">
        <f t="shared" si="31"/>
        <v>0.05</v>
      </c>
      <c r="R114" s="1064">
        <f t="shared" si="31"/>
        <v>0.05</v>
      </c>
      <c r="S114" s="1064">
        <f t="shared" si="31"/>
        <v>0.05</v>
      </c>
      <c r="T114" s="1064">
        <f t="shared" si="31"/>
        <v>0.05</v>
      </c>
      <c r="U114" s="1064">
        <f t="shared" si="31"/>
        <v>0.05</v>
      </c>
    </row>
    <row r="115" spans="1:55">
      <c r="A115" s="598" t="s">
        <v>262</v>
      </c>
      <c r="B115" s="316">
        <f>B112*B114</f>
        <v>-280.26178596869966</v>
      </c>
      <c r="C115" s="316">
        <f t="shared" ref="C115:U115" si="32">C112*C114</f>
        <v>-706.99550125093424</v>
      </c>
      <c r="D115" s="316">
        <f t="shared" si="32"/>
        <v>-611.08884113954571</v>
      </c>
      <c r="E115" s="316">
        <f t="shared" si="32"/>
        <v>2.2238706534407924</v>
      </c>
      <c r="F115" s="316">
        <f t="shared" si="32"/>
        <v>156.96336917916693</v>
      </c>
      <c r="G115" s="316">
        <f t="shared" si="32"/>
        <v>255.55960052895745</v>
      </c>
      <c r="H115" s="316">
        <f t="shared" si="32"/>
        <v>321.08008037643094</v>
      </c>
      <c r="I115" s="316">
        <f t="shared" si="32"/>
        <v>355.09713758434646</v>
      </c>
      <c r="J115" s="316">
        <f t="shared" si="32"/>
        <v>396.53235629444026</v>
      </c>
      <c r="K115" s="316">
        <f t="shared" si="32"/>
        <v>410.64730281131654</v>
      </c>
      <c r="L115" s="316">
        <f t="shared" si="32"/>
        <v>473.29641317030513</v>
      </c>
      <c r="M115" s="316">
        <f t="shared" si="32"/>
        <v>537.89558908860124</v>
      </c>
      <c r="N115" s="316">
        <f t="shared" si="32"/>
        <v>602.61160857302991</v>
      </c>
      <c r="O115" s="316">
        <f t="shared" si="32"/>
        <v>658.54126212578876</v>
      </c>
      <c r="P115" s="316">
        <f t="shared" si="32"/>
        <v>717.14656439946441</v>
      </c>
      <c r="Q115" s="316">
        <f t="shared" si="32"/>
        <v>1049.195054573436</v>
      </c>
      <c r="R115" s="316">
        <f t="shared" si="32"/>
        <v>1383.1387017109839</v>
      </c>
      <c r="S115" s="316">
        <f t="shared" si="32"/>
        <v>1433.7897190109293</v>
      </c>
      <c r="T115" s="316">
        <f t="shared" si="32"/>
        <v>1479.7694741617906</v>
      </c>
      <c r="U115" s="316">
        <f t="shared" si="32"/>
        <v>1525.7668468024299</v>
      </c>
      <c r="W115" s="1054">
        <f>SUM(B115:U115)</f>
        <v>10160.908822685678</v>
      </c>
      <c r="X115" s="1054">
        <f>X112*U114</f>
        <v>10160.908822685678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3">B121</f>
        <v>280.26178596869966</v>
      </c>
      <c r="D117" s="316">
        <f t="shared" si="33"/>
        <v>987.25728721963389</v>
      </c>
      <c r="E117" s="316">
        <f t="shared" si="33"/>
        <v>1598.3461283591796</v>
      </c>
      <c r="F117" s="316">
        <f t="shared" si="33"/>
        <v>1596.1222577057388</v>
      </c>
      <c r="G117" s="316">
        <f t="shared" si="33"/>
        <v>1439.1588885265719</v>
      </c>
      <c r="H117" s="316">
        <f t="shared" si="33"/>
        <v>1183.5992879976145</v>
      </c>
      <c r="I117" s="316">
        <f t="shared" si="33"/>
        <v>862.51920762118357</v>
      </c>
      <c r="J117" s="316">
        <f t="shared" si="33"/>
        <v>507.42207003683711</v>
      </c>
      <c r="K117" s="316">
        <f t="shared" si="33"/>
        <v>110.88971374239685</v>
      </c>
      <c r="L117" s="316">
        <f t="shared" si="33"/>
        <v>0</v>
      </c>
      <c r="M117" s="316">
        <f t="shared" si="33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4">IF(B81&gt;2020,0,IF(B115&lt;0,-B115,0))</f>
        <v>280.26178596869966</v>
      </c>
      <c r="C118" s="319">
        <f t="shared" si="34"/>
        <v>706.99550125093424</v>
      </c>
      <c r="D118" s="319">
        <f t="shared" si="34"/>
        <v>611.08884113954571</v>
      </c>
      <c r="E118" s="319">
        <f t="shared" si="34"/>
        <v>0</v>
      </c>
      <c r="F118" s="319">
        <f t="shared" si="34"/>
        <v>0</v>
      </c>
      <c r="G118" s="319">
        <f t="shared" si="34"/>
        <v>0</v>
      </c>
      <c r="H118" s="319">
        <f t="shared" si="34"/>
        <v>0</v>
      </c>
      <c r="I118" s="319">
        <f t="shared" si="34"/>
        <v>0</v>
      </c>
      <c r="J118" s="319">
        <f t="shared" si="34"/>
        <v>0</v>
      </c>
      <c r="K118" s="319">
        <f t="shared" si="34"/>
        <v>0</v>
      </c>
      <c r="L118" s="319">
        <f t="shared" si="34"/>
        <v>0</v>
      </c>
      <c r="M118" s="319">
        <f t="shared" si="34"/>
        <v>0</v>
      </c>
      <c r="N118" s="319">
        <f t="shared" si="34"/>
        <v>0</v>
      </c>
      <c r="O118" s="319">
        <f t="shared" si="34"/>
        <v>0</v>
      </c>
      <c r="P118" s="319">
        <f t="shared" si="34"/>
        <v>0</v>
      </c>
      <c r="Q118" s="319">
        <f t="shared" si="34"/>
        <v>0</v>
      </c>
      <c r="R118" s="319">
        <f t="shared" si="34"/>
        <v>0</v>
      </c>
      <c r="S118" s="319">
        <f t="shared" si="34"/>
        <v>0</v>
      </c>
      <c r="T118" s="319">
        <f t="shared" si="34"/>
        <v>0</v>
      </c>
      <c r="U118" s="319">
        <f t="shared" si="34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5">IF(B115&lt;0,0,IF(B117&gt;B115,-B115,-B117))</f>
        <v>0</v>
      </c>
      <c r="C120" s="330">
        <f t="shared" si="35"/>
        <v>0</v>
      </c>
      <c r="D120" s="330">
        <f t="shared" si="35"/>
        <v>0</v>
      </c>
      <c r="E120" s="330">
        <f t="shared" si="35"/>
        <v>-2.2238706534407924</v>
      </c>
      <c r="F120" s="330">
        <f t="shared" si="35"/>
        <v>-156.96336917916693</v>
      </c>
      <c r="G120" s="330">
        <f t="shared" si="35"/>
        <v>-255.55960052895745</v>
      </c>
      <c r="H120" s="330">
        <f t="shared" si="35"/>
        <v>-321.08008037643094</v>
      </c>
      <c r="I120" s="330">
        <f t="shared" si="35"/>
        <v>-355.09713758434646</v>
      </c>
      <c r="J120" s="330">
        <f t="shared" si="35"/>
        <v>-396.53235629444026</v>
      </c>
      <c r="K120" s="330">
        <f t="shared" si="35"/>
        <v>-110.88971374239685</v>
      </c>
      <c r="L120" s="330">
        <f t="shared" si="35"/>
        <v>0</v>
      </c>
      <c r="M120" s="330">
        <f t="shared" si="35"/>
        <v>0</v>
      </c>
      <c r="N120" s="330">
        <f t="shared" si="35"/>
        <v>0</v>
      </c>
      <c r="O120" s="330">
        <f t="shared" si="35"/>
        <v>0</v>
      </c>
      <c r="P120" s="330">
        <f t="shared" si="35"/>
        <v>0</v>
      </c>
      <c r="Q120" s="330">
        <f t="shared" si="35"/>
        <v>0</v>
      </c>
      <c r="R120" s="330">
        <f t="shared" si="35"/>
        <v>0</v>
      </c>
      <c r="S120" s="330">
        <f t="shared" si="35"/>
        <v>0</v>
      </c>
      <c r="T120" s="330">
        <f t="shared" si="35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6">SUM(B117:B120)</f>
        <v>280.26178596869966</v>
      </c>
      <c r="C121" s="330">
        <f t="shared" si="36"/>
        <v>987.25728721963389</v>
      </c>
      <c r="D121" s="330">
        <f t="shared" si="36"/>
        <v>1598.3461283591796</v>
      </c>
      <c r="E121" s="330">
        <f t="shared" si="36"/>
        <v>1596.1222577057388</v>
      </c>
      <c r="F121" s="330">
        <f t="shared" si="36"/>
        <v>1439.1588885265719</v>
      </c>
      <c r="G121" s="330">
        <f t="shared" si="36"/>
        <v>1183.5992879976145</v>
      </c>
      <c r="H121" s="330">
        <f t="shared" si="36"/>
        <v>862.51920762118357</v>
      </c>
      <c r="I121" s="330">
        <f t="shared" si="36"/>
        <v>507.42207003683711</v>
      </c>
      <c r="J121" s="330">
        <f t="shared" si="36"/>
        <v>110.88971374239685</v>
      </c>
      <c r="K121" s="330">
        <f t="shared" si="36"/>
        <v>0</v>
      </c>
      <c r="L121" s="330">
        <f t="shared" si="36"/>
        <v>0</v>
      </c>
      <c r="M121" s="330">
        <f t="shared" si="36"/>
        <v>0</v>
      </c>
      <c r="N121" s="330">
        <f t="shared" si="36"/>
        <v>0</v>
      </c>
      <c r="O121" s="330">
        <f t="shared" si="36"/>
        <v>0</v>
      </c>
      <c r="P121" s="330">
        <f t="shared" si="36"/>
        <v>0</v>
      </c>
      <c r="Q121" s="330">
        <f t="shared" si="36"/>
        <v>0</v>
      </c>
      <c r="R121" s="330">
        <f t="shared" si="36"/>
        <v>0</v>
      </c>
      <c r="S121" s="330">
        <f t="shared" si="36"/>
        <v>0</v>
      </c>
      <c r="T121" s="330">
        <f t="shared" si="36"/>
        <v>0</v>
      </c>
      <c r="U121" s="330">
        <f t="shared" si="36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0</v>
      </c>
      <c r="I123" s="635">
        <f>IF('NewCo_Summary Output'!$P$8=1,IF(I115&lt;0,0,I115+I120),I115)</f>
        <v>0</v>
      </c>
      <c r="J123" s="635">
        <f>IF('NewCo_Summary Output'!$P$8=1,IF(J115&lt;0,0,J115+J120),J115)</f>
        <v>0</v>
      </c>
      <c r="K123" s="635">
        <f>IF('NewCo_Summary Output'!$P$8=1,IF(K115&lt;0,0,K115+K120),K115)</f>
        <v>299.75758906891969</v>
      </c>
      <c r="L123" s="635">
        <f>IF('NewCo_Summary Output'!$P$8=1,IF(L115&lt;0,0,L115+L120),L115)</f>
        <v>473.29641317030513</v>
      </c>
      <c r="M123" s="635">
        <f>IF('NewCo_Summary Output'!$P$8=1,IF(M115&lt;0,0,M115+M120),M115)</f>
        <v>537.89558908860124</v>
      </c>
      <c r="N123" s="635">
        <f>IF('NewCo_Summary Output'!$P$8=1,IF(N115&lt;0,0,N115+N120),N115)</f>
        <v>602.61160857302991</v>
      </c>
      <c r="O123" s="635">
        <f>IF('NewCo_Summary Output'!$P$8=1,IF(O115&lt;0,0,O115+O120),O115)</f>
        <v>658.54126212578876</v>
      </c>
      <c r="P123" s="635">
        <f>IF('NewCo_Summary Output'!$P$8=1,IF(P115&lt;0,0,P115+P120),P115)</f>
        <v>717.14656439946441</v>
      </c>
      <c r="Q123" s="635">
        <f>IF('NewCo_Summary Output'!$P$8=1,IF(Q115&lt;0,0,Q115+Q120),Q115)</f>
        <v>1049.195054573436</v>
      </c>
      <c r="R123" s="635">
        <f>IF('NewCo_Summary Output'!$P$8=1,IF(R115&lt;0,0,R115+R120),R115)</f>
        <v>1383.1387017109839</v>
      </c>
      <c r="S123" s="635">
        <f>IF('NewCo_Summary Output'!$P$8=1,IF(S115&lt;0,0,S115+S120),S115)</f>
        <v>1433.7897190109293</v>
      </c>
      <c r="T123" s="635">
        <f>IF('NewCo_Summary Output'!$P$8=1,IF(T115&lt;0,0,T115+T120),T115)</f>
        <v>1479.7694741617906</v>
      </c>
      <c r="U123" s="635">
        <f>IF('NewCo_Summary Output'!$P$8=1,IF(U115&lt;0,0,U115+U120),U115)</f>
        <v>1525.7668468024299</v>
      </c>
      <c r="W123" s="1054">
        <f>SUM(B123:U123)</f>
        <v>10160.908822685678</v>
      </c>
      <c r="X123" s="1054">
        <f>W115</f>
        <v>10160.908822685678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5432.5406355750529</v>
      </c>
      <c r="C128" s="93">
        <f t="shared" ref="C128:U128" si="37">C39</f>
        <v>5519.0009315815987</v>
      </c>
      <c r="D128" s="93">
        <f t="shared" si="37"/>
        <v>5663.2620883442232</v>
      </c>
      <c r="E128" s="93">
        <f t="shared" si="37"/>
        <v>9772.4572969168894</v>
      </c>
      <c r="F128" s="93">
        <f t="shared" si="37"/>
        <v>11439.065609593525</v>
      </c>
      <c r="G128" s="93">
        <f t="shared" si="37"/>
        <v>12117.555599524634</v>
      </c>
      <c r="H128" s="93">
        <f t="shared" si="37"/>
        <v>12841.577745525723</v>
      </c>
      <c r="I128" s="93">
        <f t="shared" si="37"/>
        <v>13585.389927246513</v>
      </c>
      <c r="J128" s="93">
        <f t="shared" si="37"/>
        <v>14440.746299876533</v>
      </c>
      <c r="K128" s="93">
        <f t="shared" si="37"/>
        <v>14789.219958856258</v>
      </c>
      <c r="L128" s="93">
        <f t="shared" si="37"/>
        <v>16071.638966276283</v>
      </c>
      <c r="M128" s="93">
        <f t="shared" si="37"/>
        <v>17432.665559150879</v>
      </c>
      <c r="N128" s="93">
        <f t="shared" si="37"/>
        <v>18759.377145322171</v>
      </c>
      <c r="O128" s="93">
        <f t="shared" si="37"/>
        <v>19950.056319015763</v>
      </c>
      <c r="P128" s="93">
        <f t="shared" si="37"/>
        <v>21157.687879945632</v>
      </c>
      <c r="Q128" s="93">
        <f t="shared" si="37"/>
        <v>22227.637948735035</v>
      </c>
      <c r="R128" s="93">
        <f t="shared" si="37"/>
        <v>23337.17832673149</v>
      </c>
      <c r="S128" s="93">
        <f t="shared" si="37"/>
        <v>24409.862625550108</v>
      </c>
      <c r="T128" s="93">
        <f t="shared" si="37"/>
        <v>25390.911599971641</v>
      </c>
      <c r="U128" s="93">
        <f t="shared" si="37"/>
        <v>26374.156540330863</v>
      </c>
      <c r="W128" s="1054">
        <f>SUM(B128:U128)</f>
        <v>320711.98900407087</v>
      </c>
      <c r="X128" s="1054">
        <f>W39</f>
        <v>320711.98900407087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1239.3534286811416</v>
      </c>
      <c r="C130" s="90">
        <f t="shared" ref="C130:U130" si="38">C110</f>
        <v>1276.5340315415758</v>
      </c>
      <c r="D130" s="90">
        <f t="shared" si="38"/>
        <v>1314.8300524878232</v>
      </c>
      <c r="E130" s="90">
        <f t="shared" si="38"/>
        <v>1354.2749540624579</v>
      </c>
      <c r="F130" s="90">
        <f t="shared" si="38"/>
        <v>1394.9032026843315</v>
      </c>
      <c r="G130" s="90">
        <f t="shared" si="38"/>
        <v>1436.7502987648618</v>
      </c>
      <c r="H130" s="90">
        <f t="shared" si="38"/>
        <v>1479.8528077278077</v>
      </c>
      <c r="I130" s="90">
        <f t="shared" si="38"/>
        <v>1524.248391959642</v>
      </c>
      <c r="J130" s="90">
        <f t="shared" si="38"/>
        <v>1569.9758437184314</v>
      </c>
      <c r="K130" s="90">
        <f t="shared" si="38"/>
        <v>1617.0751190299843</v>
      </c>
      <c r="L130" s="90">
        <f t="shared" si="38"/>
        <v>1665.5873726008838</v>
      </c>
      <c r="M130" s="90">
        <f t="shared" si="38"/>
        <v>1715.5549937789106</v>
      </c>
      <c r="N130" s="90">
        <f t="shared" si="38"/>
        <v>1767.021643592278</v>
      </c>
      <c r="O130" s="90">
        <f t="shared" si="38"/>
        <v>1820.0322929000463</v>
      </c>
      <c r="P130" s="90">
        <f t="shared" si="38"/>
        <v>1874.6332616870479</v>
      </c>
      <c r="Q130" s="90">
        <f t="shared" si="38"/>
        <v>1930.8722595376591</v>
      </c>
      <c r="R130" s="90">
        <f t="shared" si="38"/>
        <v>1988.7984273237892</v>
      </c>
      <c r="S130" s="90">
        <f t="shared" si="38"/>
        <v>2048.4623801435027</v>
      </c>
      <c r="T130" s="90">
        <f t="shared" si="38"/>
        <v>2109.9162515478079</v>
      </c>
      <c r="U130" s="90">
        <f t="shared" si="38"/>
        <v>2173.2137390942426</v>
      </c>
      <c r="W130" s="1054">
        <f>SUM(B130:U130)</f>
        <v>33301.89075286423</v>
      </c>
      <c r="X130" s="1054">
        <f>NewCo_IS!X13*'NewCo_Summary Output'!C11*ENA_Allocation!E9</f>
        <v>33301.890752864223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4193.187206893911</v>
      </c>
      <c r="C132" s="93">
        <f t="shared" ref="C132:U132" si="39">C128-C130</f>
        <v>4242.4669000400227</v>
      </c>
      <c r="D132" s="93">
        <f t="shared" si="39"/>
        <v>4348.4320358564</v>
      </c>
      <c r="E132" s="93">
        <f t="shared" si="39"/>
        <v>8418.1823428544321</v>
      </c>
      <c r="F132" s="93">
        <f t="shared" si="39"/>
        <v>10044.162406909192</v>
      </c>
      <c r="G132" s="93">
        <f t="shared" si="39"/>
        <v>10680.805300759772</v>
      </c>
      <c r="H132" s="93">
        <f t="shared" si="39"/>
        <v>11361.724937797915</v>
      </c>
      <c r="I132" s="93">
        <f t="shared" si="39"/>
        <v>12061.141535286872</v>
      </c>
      <c r="J132" s="93">
        <f t="shared" si="39"/>
        <v>12870.770456158101</v>
      </c>
      <c r="K132" s="93">
        <f t="shared" si="39"/>
        <v>13172.144839826273</v>
      </c>
      <c r="L132" s="93">
        <f t="shared" si="39"/>
        <v>14406.0515936754</v>
      </c>
      <c r="M132" s="93">
        <f t="shared" si="39"/>
        <v>15717.110565371968</v>
      </c>
      <c r="N132" s="93">
        <f t="shared" si="39"/>
        <v>16992.355501729893</v>
      </c>
      <c r="O132" s="93">
        <f t="shared" si="39"/>
        <v>18130.024026115716</v>
      </c>
      <c r="P132" s="93">
        <f t="shared" si="39"/>
        <v>19283.054618258582</v>
      </c>
      <c r="Q132" s="93">
        <f t="shared" si="39"/>
        <v>20296.765689197375</v>
      </c>
      <c r="R132" s="93">
        <f t="shared" si="39"/>
        <v>21348.379899407701</v>
      </c>
      <c r="S132" s="93">
        <f t="shared" si="39"/>
        <v>22361.400245406607</v>
      </c>
      <c r="T132" s="93">
        <f t="shared" si="39"/>
        <v>23280.995348423832</v>
      </c>
      <c r="U132" s="93">
        <f t="shared" si="39"/>
        <v>24200.942801236619</v>
      </c>
      <c r="W132" s="1054">
        <f>SUM(B132:U132)</f>
        <v>287410.09825120657</v>
      </c>
      <c r="X132" s="1054">
        <f>X128-X130</f>
        <v>287410.09825120663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-209.65936034469556</v>
      </c>
      <c r="C134" s="90">
        <f t="shared" ref="C134:U134" si="40">-C114*C132</f>
        <v>-212.12334500200114</v>
      </c>
      <c r="D134" s="90">
        <f t="shared" si="40"/>
        <v>-217.42160179282001</v>
      </c>
      <c r="E134" s="90">
        <f t="shared" si="40"/>
        <v>-420.90911714272164</v>
      </c>
      <c r="F134" s="90">
        <f t="shared" si="40"/>
        <v>-502.20812034545963</v>
      </c>
      <c r="G134" s="90">
        <f t="shared" si="40"/>
        <v>-534.04026503798866</v>
      </c>
      <c r="H134" s="90">
        <f t="shared" si="40"/>
        <v>-568.08624688989573</v>
      </c>
      <c r="I134" s="90">
        <f t="shared" si="40"/>
        <v>-603.05707676434361</v>
      </c>
      <c r="J134" s="90">
        <f t="shared" si="40"/>
        <v>-643.53852280790511</v>
      </c>
      <c r="K134" s="90">
        <f t="shared" si="40"/>
        <v>-658.60724199131369</v>
      </c>
      <c r="L134" s="90">
        <f t="shared" si="40"/>
        <v>-720.30257968377009</v>
      </c>
      <c r="M134" s="90">
        <f t="shared" si="40"/>
        <v>-785.85552826859839</v>
      </c>
      <c r="N134" s="90">
        <f t="shared" si="40"/>
        <v>-849.6177750864947</v>
      </c>
      <c r="O134" s="90">
        <f t="shared" si="40"/>
        <v>-906.5012013057858</v>
      </c>
      <c r="P134" s="90">
        <f t="shared" si="40"/>
        <v>-964.1527309129292</v>
      </c>
      <c r="Q134" s="90">
        <f t="shared" si="40"/>
        <v>-1014.8382844598688</v>
      </c>
      <c r="R134" s="90">
        <f t="shared" si="40"/>
        <v>-1067.418994970385</v>
      </c>
      <c r="S134" s="90">
        <f t="shared" si="40"/>
        <v>-1118.0700122703304</v>
      </c>
      <c r="T134" s="90">
        <f t="shared" si="40"/>
        <v>-1164.0497674211917</v>
      </c>
      <c r="U134" s="90">
        <f t="shared" si="40"/>
        <v>-1210.047140061831</v>
      </c>
      <c r="W134" s="1054">
        <f>SUM(B134:U134)</f>
        <v>-14370.504912560331</v>
      </c>
      <c r="X134" s="1054">
        <f>-X132*U114</f>
        <v>-14370.504912560333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6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6" ht="18.75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6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6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6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6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6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</row>
    <row r="319" spans="1:26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1" outlineLevel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1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1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1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1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1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1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1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1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/>
      <c r="E412"/>
      <c r="F412"/>
      <c r="G412"/>
      <c r="H412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 s="66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 s="66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 s="66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 s="6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 s="66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 s="44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 s="1072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4:12" s="8" customFormat="1">
      <c r="D561" s="49"/>
      <c r="E561" s="49"/>
      <c r="F561" s="49"/>
      <c r="G561" s="49"/>
      <c r="H561" s="49"/>
      <c r="I561" s="49"/>
      <c r="J561" s="49"/>
      <c r="K561" s="49"/>
      <c r="L561" s="49"/>
    </row>
    <row r="562" spans="4:12" s="8" customFormat="1">
      <c r="D562" s="49"/>
      <c r="E562" s="49"/>
      <c r="F562" s="49"/>
      <c r="G562" s="49"/>
      <c r="H562" s="49"/>
      <c r="I562" s="49"/>
      <c r="J562" s="49"/>
      <c r="K562" s="49"/>
      <c r="L562" s="49"/>
    </row>
    <row r="563" spans="4:12" s="8" customFormat="1">
      <c r="D563" s="49"/>
      <c r="E563" s="49"/>
      <c r="F563" s="49"/>
      <c r="G563" s="49"/>
      <c r="H563" s="49"/>
      <c r="I563" s="49"/>
      <c r="J563" s="49"/>
      <c r="K563" s="49"/>
      <c r="L563" s="49"/>
    </row>
    <row r="564" spans="4:12" s="8" customFormat="1">
      <c r="D564" s="49"/>
      <c r="E564" s="49"/>
      <c r="F564" s="49"/>
      <c r="G564" s="49"/>
      <c r="H564" s="49"/>
      <c r="I564" s="49"/>
      <c r="J564" s="49"/>
      <c r="K564" s="49"/>
      <c r="L564" s="49"/>
    </row>
    <row r="565" spans="4:12" s="8" customFormat="1">
      <c r="D565" s="49"/>
      <c r="E565" s="49"/>
      <c r="F565" s="49"/>
      <c r="G565" s="49"/>
      <c r="H565" s="49"/>
      <c r="I565" s="49"/>
      <c r="J565" s="49"/>
      <c r="K565" s="49"/>
      <c r="L565" s="49"/>
    </row>
    <row r="566" spans="4:12" s="8" customFormat="1"/>
    <row r="567" spans="4:12" s="8" customFormat="1"/>
    <row r="568" spans="4:12" s="8" customFormat="1"/>
    <row r="569" spans="4:12" s="8" customFormat="1"/>
    <row r="570" spans="4:12" s="8" customFormat="1"/>
    <row r="571" spans="4:12" s="8" customFormat="1"/>
    <row r="572" spans="4:12" s="8" customFormat="1"/>
    <row r="573" spans="4:12" s="8" customFormat="1"/>
    <row r="574" spans="4:12" s="8" customFormat="1"/>
    <row r="575" spans="4:12" s="8" customFormat="1"/>
    <row r="576" spans="4:12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BC763"/>
  <sheetViews>
    <sheetView zoomScale="75" zoomScaleNormal="75" workbookViewId="0"/>
  </sheetViews>
  <sheetFormatPr defaultRowHeight="12.75" outlineLevelRow="2" outlineLevelCol="1"/>
  <cols>
    <col min="1" max="1" width="48.71093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1" style="8" bestFit="1" customWidth="1"/>
    <col min="25" max="25" width="9.8554687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533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1171.0970525687362</v>
      </c>
      <c r="AA7" s="950">
        <f>C10+C11</f>
        <v>1206.2299641457982</v>
      </c>
      <c r="AB7" s="950">
        <f>D10+D11</f>
        <v>1242.4168630701722</v>
      </c>
      <c r="AC7" s="950">
        <f t="shared" ref="AC7:AS7" si="1">E16</f>
        <v>1026.449886712277</v>
      </c>
      <c r="AD7" s="950">
        <f t="shared" si="1"/>
        <v>1057.2433833136454</v>
      </c>
      <c r="AE7" s="950">
        <f t="shared" si="1"/>
        <v>1088.9606848130547</v>
      </c>
      <c r="AF7" s="950">
        <f t="shared" si="1"/>
        <v>1121.6295053574463</v>
      </c>
      <c r="AG7" s="950">
        <f t="shared" si="1"/>
        <v>1155.2783905181698</v>
      </c>
      <c r="AH7" s="950">
        <f t="shared" si="1"/>
        <v>1189.9367422337148</v>
      </c>
      <c r="AI7" s="950">
        <f t="shared" si="1"/>
        <v>1225.6348445007263</v>
      </c>
      <c r="AJ7" s="950">
        <f t="shared" si="1"/>
        <v>1262.4038898357483</v>
      </c>
      <c r="AK7" s="950">
        <f t="shared" si="1"/>
        <v>1300.2760065308205</v>
      </c>
      <c r="AL7" s="950">
        <f t="shared" si="1"/>
        <v>1339.2842867267448</v>
      </c>
      <c r="AM7" s="950">
        <f t="shared" si="1"/>
        <v>1379.4628153285473</v>
      </c>
      <c r="AN7" s="950">
        <f t="shared" si="1"/>
        <v>1420.8466997884038</v>
      </c>
      <c r="AO7" s="950">
        <f t="shared" si="1"/>
        <v>1463.4721007820558</v>
      </c>
      <c r="AP7" s="950">
        <f t="shared" si="1"/>
        <v>1507.3762638055175</v>
      </c>
      <c r="AQ7" s="950">
        <f t="shared" si="1"/>
        <v>1552.597551719683</v>
      </c>
      <c r="AR7" s="950">
        <f t="shared" si="1"/>
        <v>1599.1754782712733</v>
      </c>
      <c r="AS7" s="950">
        <f t="shared" si="1"/>
        <v>1647.1507426194116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1171.0970525687362</v>
      </c>
      <c r="AA8" s="1048">
        <f>C23+C24</f>
        <v>1206.2299641457982</v>
      </c>
      <c r="AB8" s="1048">
        <f>D23+D24</f>
        <v>1242.4168630701722</v>
      </c>
      <c r="AC8" s="1048">
        <f t="shared" ref="AC8:AS8" si="2">E23+1/3*E24</f>
        <v>1026.449886712277</v>
      </c>
      <c r="AD8" s="1048">
        <f t="shared" si="2"/>
        <v>1057.2433833136454</v>
      </c>
      <c r="AE8" s="1048">
        <f t="shared" si="2"/>
        <v>1088.9606848130547</v>
      </c>
      <c r="AF8" s="1048">
        <f t="shared" si="2"/>
        <v>1121.6295053574463</v>
      </c>
      <c r="AG8" s="1048">
        <f t="shared" si="2"/>
        <v>1155.2783905181698</v>
      </c>
      <c r="AH8" s="1048">
        <f t="shared" si="2"/>
        <v>1189.9367422337148</v>
      </c>
      <c r="AI8" s="1048">
        <f t="shared" si="2"/>
        <v>1225.6348445007263</v>
      </c>
      <c r="AJ8" s="1048">
        <f t="shared" si="2"/>
        <v>1262.4038898357483</v>
      </c>
      <c r="AK8" s="1048">
        <f t="shared" si="2"/>
        <v>1300.2760065308205</v>
      </c>
      <c r="AL8" s="1048">
        <f t="shared" si="2"/>
        <v>1339.284286726745</v>
      </c>
      <c r="AM8" s="1048">
        <f t="shared" si="2"/>
        <v>1379.4628153285473</v>
      </c>
      <c r="AN8" s="1048">
        <f t="shared" si="2"/>
        <v>1420.8466997884041</v>
      </c>
      <c r="AO8" s="1048">
        <f t="shared" si="2"/>
        <v>1463.472100782056</v>
      </c>
      <c r="AP8" s="1048">
        <f t="shared" si="2"/>
        <v>1507.3762638055177</v>
      </c>
      <c r="AQ8" s="1048">
        <f t="shared" si="2"/>
        <v>1552.5975517196832</v>
      </c>
      <c r="AR8" s="1048">
        <f t="shared" si="2"/>
        <v>1599.1754782712735</v>
      </c>
      <c r="AS8" s="1048">
        <f t="shared" si="2"/>
        <v>1647.1507426194119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Assumption'!C27*12*ENA_Assumptions!$G$9</f>
        <v>24480</v>
      </c>
      <c r="C9" s="20">
        <f>'ENA_Power Price Assumption'!D27*12*ENA_Assumptions!$G$9</f>
        <v>24480</v>
      </c>
      <c r="D9" s="20">
        <f>'ENA_Power Price Assumption'!E27*12*ENA_Assumptions!$G$9</f>
        <v>24480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73440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ENA_Assumptions!G20*ENA_Assumptions!G18/1000*(1+ENA_Assumptions!$G$26)</f>
        <v>823.4720525687361</v>
      </c>
      <c r="C10" s="20">
        <f>B10*(1+ENA_Assumptions!$G$26)</f>
        <v>848.17621414579821</v>
      </c>
      <c r="D10" s="20">
        <f>C10*(1+ENA_Assumptions!$G$26)</f>
        <v>873.6215005701722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2545.2697672847062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ENA_Assumptions!$G$19*ENA_Assumptions!$G$11*ENA_Assumptions!$G$8/1000*(1+ENA_Assumptions!$G$26)</f>
        <v>347.625</v>
      </c>
      <c r="C11" s="55">
        <f>B11*(1+ENA_Assumptions!$G$26)</f>
        <v>358.05375000000004</v>
      </c>
      <c r="D11" s="55">
        <f>C11*(1+ENA_Assumptions!$G$26)</f>
        <v>368.79536250000007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1074.4741125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Contract'!$C$29/3</f>
        <v>9038.5339672128084</v>
      </c>
      <c r="C12" s="90">
        <f>'Amortization of Power Contract'!$C$29/3</f>
        <v>9038.5339672128084</v>
      </c>
      <c r="D12" s="90">
        <f>'Amortization of Power Contract'!$C$29/3</f>
        <v>9038.5339672128084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27115.601901638423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Assumption'!F27*ENA_Assumptions!$G$9*12</f>
        <v>39288.819494509924</v>
      </c>
      <c r="F15" s="295">
        <f>'ENA_Power Price Assumption'!G27*ENA_Assumptions!$G$9*12</f>
        <v>41237.009778250213</v>
      </c>
      <c r="G15" s="295">
        <f>'ENA_Power Price Assumption'!H27*ENA_Assumptions!$G$9*12</f>
        <v>41765.821079137233</v>
      </c>
      <c r="H15" s="295">
        <f>'ENA_Power Price Assumption'!I27*ENA_Assumptions!$G$9*12</f>
        <v>42301.41370081959</v>
      </c>
      <c r="I15" s="295">
        <f>'ENA_Power Price Assumption'!J27*ENA_Assumptions!$G$9*12</f>
        <v>42843.874604963254</v>
      </c>
      <c r="J15" s="295">
        <f>'ENA_Power Price Assumption'!K27*ENA_Assumptions!$G$9*12</f>
        <v>43393.291868405126</v>
      </c>
      <c r="K15" s="295">
        <f>'ENA_Power Price Assumption'!L27*ENA_Assumptions!$G$9*12</f>
        <v>43949.754697453536</v>
      </c>
      <c r="L15" s="295">
        <f>'ENA_Power Price Assumption'!M27*ENA_Assumptions!$G$9*12</f>
        <v>44781.378776473983</v>
      </c>
      <c r="M15" s="295">
        <f>'ENA_Power Price Assumption'!N27*ENA_Assumptions!$G$9*12</f>
        <v>45628.738975378772</v>
      </c>
      <c r="N15" s="295">
        <f>'ENA_Power Price Assumption'!O27*ENA_Assumptions!$G$9*12</f>
        <v>46492.133055470462</v>
      </c>
      <c r="O15" s="295">
        <f>'ENA_Power Price Assumption'!P27*ENA_Assumptions!$G$9*12</f>
        <v>47371.864412337192</v>
      </c>
      <c r="P15" s="295">
        <f>'ENA_Power Price Assumption'!Q27*ENA_Assumptions!$G$9*12</f>
        <v>48268.242182465561</v>
      </c>
      <c r="Q15" s="295">
        <f>'ENA_Power Price Assumption'!R27*ENA_Assumptions!$G$9*12</f>
        <v>48956.905260957668</v>
      </c>
      <c r="R15" s="295">
        <f>'ENA_Power Price Assumption'!S27*ENA_Assumptions!$G$9*12</f>
        <v>49655.393781898791</v>
      </c>
      <c r="S15" s="295">
        <f>'ENA_Power Price Assumption'!T27*ENA_Assumptions!$G$9*12</f>
        <v>50363.847928961215</v>
      </c>
      <c r="T15" s="295">
        <f>'ENA_Power Price Assumption'!U27*ENA_Assumptions!$G$9*12</f>
        <v>51082.409885875939</v>
      </c>
      <c r="U15" s="295">
        <f>'ENA_Power Price Assumption'!V27*ENA_Assumptions!$G$9*12</f>
        <v>51811.223864968488</v>
      </c>
      <c r="W15" s="55">
        <f>SUM(B15:U15)</f>
        <v>779192.123348327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1/3*ENA_Assumptions!$G$19*ENA_Assumptions!$G$11*ENA_Assumptions!$G$8/1000*(1+ENA_Assumptions!$G$26)^(E5-2000)+ENA_Assumptions!$G$20*ENA_Assumptions!$G$18*(1+ENA_Assumptions!$G$26)^(E5-2000)/1000</f>
        <v>1026.449886712277</v>
      </c>
      <c r="F16" s="90">
        <f>1/3*ENA_Assumptions!$G$19*ENA_Assumptions!$G$11*ENA_Assumptions!$G$8/1000*(1+ENA_Assumptions!$G$26)^(F5-2000)+ENA_Assumptions!$G$20*ENA_Assumptions!$G$18*(1+ENA_Assumptions!$G$26)^(F5-2000)/1000</f>
        <v>1057.2433833136454</v>
      </c>
      <c r="G16" s="90">
        <f>1/3*ENA_Assumptions!$G$19*ENA_Assumptions!$G$11*ENA_Assumptions!$G$8/1000*(1+ENA_Assumptions!$G$26)^(G5-2000)+ENA_Assumptions!$G$20*ENA_Assumptions!$G$18*(1+ENA_Assumptions!$G$26)^(G5-2000)/1000</f>
        <v>1088.9606848130547</v>
      </c>
      <c r="H16" s="90">
        <f>1/3*ENA_Assumptions!$G$19*ENA_Assumptions!$G$11*ENA_Assumptions!$G$8/1000*(1+ENA_Assumptions!$G$26)^(H5-2000)+ENA_Assumptions!$G$20*ENA_Assumptions!$G$18*(1+ENA_Assumptions!$G$26)^(H5-2000)/1000</f>
        <v>1121.6295053574463</v>
      </c>
      <c r="I16" s="90">
        <f>1/3*ENA_Assumptions!$G$19*ENA_Assumptions!$G$11*ENA_Assumptions!$G$8/1000*(1+ENA_Assumptions!$G$26)^(I5-2000)+ENA_Assumptions!$G$20*ENA_Assumptions!$G$18*(1+ENA_Assumptions!$G$26)^(I5-2000)/1000</f>
        <v>1155.2783905181698</v>
      </c>
      <c r="J16" s="90">
        <f>1/3*ENA_Assumptions!$G$19*ENA_Assumptions!$G$11*ENA_Assumptions!$G$8/1000*(1+ENA_Assumptions!$G$26)^(J5-2000)+ENA_Assumptions!$G$20*ENA_Assumptions!$G$18*(1+ENA_Assumptions!$G$26)^(J5-2000)/1000</f>
        <v>1189.9367422337148</v>
      </c>
      <c r="K16" s="90">
        <f>1/3*ENA_Assumptions!$G$19*ENA_Assumptions!$G$11*ENA_Assumptions!$G$8/1000*(1+ENA_Assumptions!$G$26)^(K5-2000)+ENA_Assumptions!$G$20*ENA_Assumptions!$G$18*(1+ENA_Assumptions!$G$26)^(K5-2000)/1000</f>
        <v>1225.6348445007263</v>
      </c>
      <c r="L16" s="90">
        <f>1/3*ENA_Assumptions!$G$19*ENA_Assumptions!$G$11*ENA_Assumptions!$G$8/1000*(1+ENA_Assumptions!$G$26)^(L5-2000)+ENA_Assumptions!$G$20*ENA_Assumptions!$G$18*(1+ENA_Assumptions!$G$26)^(L5-2000)/1000</f>
        <v>1262.4038898357483</v>
      </c>
      <c r="M16" s="90">
        <f>1/3*ENA_Assumptions!$G$19*ENA_Assumptions!$G$11*ENA_Assumptions!$G$8/1000*(1+ENA_Assumptions!$G$26)^(M5-2000)+ENA_Assumptions!$G$20*ENA_Assumptions!$G$18*(1+ENA_Assumptions!$G$26)^(M5-2000)/1000</f>
        <v>1300.2760065308205</v>
      </c>
      <c r="N16" s="90">
        <f>1/3*ENA_Assumptions!$G$19*ENA_Assumptions!$G$11*ENA_Assumptions!$G$8/1000*(1+ENA_Assumptions!$G$26)^(N5-2000)+ENA_Assumptions!$G$20*ENA_Assumptions!$G$18*(1+ENA_Assumptions!$G$26)^(N5-2000)/1000</f>
        <v>1339.2842867267448</v>
      </c>
      <c r="O16" s="90">
        <f>1/3*ENA_Assumptions!$G$19*ENA_Assumptions!$G$11*ENA_Assumptions!$G$8/1000*(1+ENA_Assumptions!$G$26)^(O5-2000)+ENA_Assumptions!$G$20*ENA_Assumptions!$G$18*(1+ENA_Assumptions!$G$26)^(O5-2000)/1000</f>
        <v>1379.4628153285473</v>
      </c>
      <c r="P16" s="90">
        <f>1/3*ENA_Assumptions!$G$19*ENA_Assumptions!$G$11*ENA_Assumptions!$G$8/1000*(1+ENA_Assumptions!$G$26)^(P5-2000)+ENA_Assumptions!$G$20*ENA_Assumptions!$G$18*(1+ENA_Assumptions!$G$26)^(P5-2000)/1000</f>
        <v>1420.8466997884038</v>
      </c>
      <c r="Q16" s="90">
        <f>1/3*ENA_Assumptions!$G$19*ENA_Assumptions!$G$11*ENA_Assumptions!$G$8/1000*(1+ENA_Assumptions!$G$26)^(Q5-2000)+ENA_Assumptions!$G$20*ENA_Assumptions!$G$18*(1+ENA_Assumptions!$G$26)^(Q5-2000)/1000</f>
        <v>1463.4721007820558</v>
      </c>
      <c r="R16" s="90">
        <f>1/3*ENA_Assumptions!$G$19*ENA_Assumptions!$G$11*ENA_Assumptions!$G$8/1000*(1+ENA_Assumptions!$G$26)^(R5-2000)+ENA_Assumptions!$G$20*ENA_Assumptions!$G$18*(1+ENA_Assumptions!$G$26)^(R5-2000)/1000</f>
        <v>1507.3762638055175</v>
      </c>
      <c r="S16" s="90">
        <f>1/3*ENA_Assumptions!$G$19*ENA_Assumptions!$G$11*ENA_Assumptions!$G$8/1000*(1+ENA_Assumptions!$G$26)^(S5-2000)+ENA_Assumptions!$G$20*ENA_Assumptions!$G$18*(1+ENA_Assumptions!$G$26)^(S5-2000)/1000</f>
        <v>1552.597551719683</v>
      </c>
      <c r="T16" s="90">
        <f>1/3*ENA_Assumptions!$G$19*ENA_Assumptions!$G$11*ENA_Assumptions!$G$8/1000*(1+ENA_Assumptions!$G$26)^(T5-2000)+ENA_Assumptions!$G$20*ENA_Assumptions!$G$18*(1+ENA_Assumptions!$G$26)^(T5-2000)/1000</f>
        <v>1599.1754782712733</v>
      </c>
      <c r="U16" s="90">
        <f>1/3*ENA_Assumptions!$G$19*ENA_Assumptions!$G$11*ENA_Assumptions!$G$8/1000*(1+ENA_Assumptions!$G$26)^(U5-2000)+ENA_Assumptions!$G$20*ENA_Assumptions!$G$18*(1+ENA_Assumptions!$G$26)^(U5-2000)/1000</f>
        <v>1647.1507426194116</v>
      </c>
      <c r="W16" s="55">
        <f>SUM(B16:U16)</f>
        <v>22337.179272857236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276.06096083604882</v>
      </c>
      <c r="C18" s="297">
        <f>(SUM(C9:C11)-SUM(C22:C27))*'ENA_Summary Output'!$B$29/4</f>
        <v>273.51126638734553</v>
      </c>
      <c r="D18" s="297">
        <f>(SUM(D9:D11)-SUM(D22:D27))*'ENA_Summary Output'!$B$29/4</f>
        <v>272.03381559666008</v>
      </c>
      <c r="E18" s="297">
        <f>(SUM(E9:E16)-SUM(E22:E27))*'ENA_Summary Output'!$B$29/4</f>
        <v>453.57281467698215</v>
      </c>
      <c r="F18" s="297">
        <f>(SUM(F9:F16)-SUM(F22:F27))*'ENA_Summary Output'!$B$29/4</f>
        <v>477.40524180425609</v>
      </c>
      <c r="G18" s="297">
        <f>(SUM(G9:G16)-SUM(G22:G27))*'ENA_Summary Output'!$B$29/4</f>
        <v>482.38239509475881</v>
      </c>
      <c r="H18" s="297">
        <f>(SUM(H9:H16)-SUM(H22:H27))*'ENA_Summary Output'!$B$29/4</f>
        <v>488.51134849756454</v>
      </c>
      <c r="I18" s="297">
        <f>(SUM(I9:I16)-SUM(I22:I27))*'ENA_Summary Output'!$B$29/4</f>
        <v>494.70211379156899</v>
      </c>
      <c r="J18" s="297">
        <f>(SUM(J9:J16)-SUM(J22:J27))*'ENA_Summary Output'!$B$29/4</f>
        <v>500.95507068804619</v>
      </c>
      <c r="K18" s="297">
        <f>(SUM(K9:K16)-SUM(K22:K27))*'ENA_Summary Output'!$B$29/4</f>
        <v>507.27059137918764</v>
      </c>
      <c r="L18" s="297">
        <f>(SUM(L9:L16)-SUM(L22:L27))*'ENA_Summary Output'!$B$29/4</f>
        <v>516.99935674629967</v>
      </c>
      <c r="M18" s="297">
        <f>(SUM(M9:M16)-SUM(M22:M27))*'ENA_Summary Output'!$B$29/4</f>
        <v>526.89776453482557</v>
      </c>
      <c r="N18" s="297">
        <f>(SUM(N9:N16)-SUM(N22:N27))*'ENA_Summary Output'!$B$29/4</f>
        <v>532.60722498873326</v>
      </c>
      <c r="O18" s="297">
        <f>(SUM(O9:O16)-SUM(O22:O27))*'ENA_Summary Output'!$B$29/4</f>
        <v>542.85369442739056</v>
      </c>
      <c r="P18" s="297">
        <f>(SUM(P9:P16)-SUM(P22:P27))*'ENA_Summary Output'!$B$29/4</f>
        <v>547.82680084763217</v>
      </c>
      <c r="Q18" s="297">
        <f>(SUM(Q9:Q16)-SUM(Q22:Q27))*'ENA_Summary Output'!$B$29/4</f>
        <v>562.68138033020853</v>
      </c>
      <c r="R18" s="297">
        <f>(SUM(R9:R16)-SUM(R22:R27))*'ENA_Summary Output'!$B$29/4</f>
        <v>570.38493925804437</v>
      </c>
      <c r="S18" s="297">
        <f>(SUM(S9:S16)-SUM(S22:S27))*'ENA_Summary Output'!$B$29/4</f>
        <v>578.17703890397001</v>
      </c>
      <c r="T18" s="297">
        <f>(SUM(T9:T16)-SUM(T22:T27))*'ENA_Summary Output'!$B$29/4</f>
        <v>586.0584128729223</v>
      </c>
      <c r="U18" s="297">
        <f>(SUM(U9:U16)-SUM(U22:U27))*'ENA_Summary Output'!$B$29/4</f>
        <v>594.02978956045024</v>
      </c>
      <c r="W18" s="55">
        <f>SUM(B18:U18)</f>
        <v>9784.9220212228975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34965.691980617594</v>
      </c>
      <c r="C19" s="20">
        <f t="shared" ref="C19:U19" si="4">SUM(C9:C18)</f>
        <v>34998.275197745948</v>
      </c>
      <c r="D19" s="20">
        <f t="shared" si="4"/>
        <v>35032.984645879638</v>
      </c>
      <c r="E19" s="20">
        <f t="shared" si="4"/>
        <v>40768.842195899182</v>
      </c>
      <c r="F19" s="20">
        <f t="shared" si="4"/>
        <v>42771.658403368114</v>
      </c>
      <c r="G19" s="20">
        <f t="shared" si="4"/>
        <v>43337.164159045045</v>
      </c>
      <c r="H19" s="20">
        <f t="shared" si="4"/>
        <v>43911.5545546746</v>
      </c>
      <c r="I19" s="20">
        <f t="shared" si="4"/>
        <v>44493.85510927299</v>
      </c>
      <c r="J19" s="20">
        <f t="shared" si="4"/>
        <v>45084.183681326889</v>
      </c>
      <c r="K19" s="20">
        <f t="shared" si="4"/>
        <v>45682.660133333447</v>
      </c>
      <c r="L19" s="20">
        <f t="shared" si="4"/>
        <v>46560.782023056032</v>
      </c>
      <c r="M19" s="20">
        <f t="shared" si="4"/>
        <v>47455.912746444417</v>
      </c>
      <c r="N19" s="20">
        <f t="shared" si="4"/>
        <v>48364.024567185945</v>
      </c>
      <c r="O19" s="20">
        <f t="shared" si="4"/>
        <v>49294.180922093125</v>
      </c>
      <c r="P19" s="20">
        <f t="shared" si="4"/>
        <v>50236.915683101593</v>
      </c>
      <c r="Q19" s="20">
        <f t="shared" si="4"/>
        <v>50983.05874206993</v>
      </c>
      <c r="R19" s="20">
        <f t="shared" si="4"/>
        <v>51733.154984962355</v>
      </c>
      <c r="S19" s="20">
        <f t="shared" si="4"/>
        <v>52494.622519584867</v>
      </c>
      <c r="T19" s="20">
        <f t="shared" si="4"/>
        <v>53267.643777020137</v>
      </c>
      <c r="U19" s="20">
        <f t="shared" si="4"/>
        <v>54052.404397148355</v>
      </c>
      <c r="W19" s="55">
        <f>SUM(B19:U19)</f>
        <v>915489.5704238303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ENA_Assumptions!G29*(1+ENA_Assumptions!$G$26)</f>
        <v>1279.7561657142855</v>
      </c>
      <c r="C22" s="55">
        <f>B22*(1+ENA_Assumptions!$G$26)</f>
        <v>1318.1488506857143</v>
      </c>
      <c r="D22" s="55">
        <f>C22*(1+ENA_Assumptions!$G$26)</f>
        <v>1357.6933162062858</v>
      </c>
      <c r="E22" s="55">
        <f>D22*(1+ENA_Assumptions!$G$26)</f>
        <v>1398.4241156924743</v>
      </c>
      <c r="F22" s="55">
        <f>E22*(1+ENA_Assumptions!$G$26)</f>
        <v>1440.3768391632486</v>
      </c>
      <c r="G22" s="55">
        <f>F22*(1+ENA_Assumptions!$G$26)</f>
        <v>1483.5881443381461</v>
      </c>
      <c r="H22" s="55">
        <f>G22*(1+ENA_Assumptions!$G$26)</f>
        <v>1528.0957886682904</v>
      </c>
      <c r="I22" s="55">
        <f>H22*(1+ENA_Assumptions!$G$26)</f>
        <v>1573.9386623283392</v>
      </c>
      <c r="J22" s="55">
        <f>I22*(1+ENA_Assumptions!$G$26)</f>
        <v>1621.1568221981895</v>
      </c>
      <c r="K22" s="55">
        <f>J22*(1+ENA_Assumptions!$G$26)</f>
        <v>1669.7915268641352</v>
      </c>
      <c r="L22" s="55">
        <f>K22*(1+ENA_Assumptions!$G$26)</f>
        <v>1719.8852726700593</v>
      </c>
      <c r="M22" s="55">
        <f>L22*(1+ENA_Assumptions!$G$26)</f>
        <v>1771.481830850161</v>
      </c>
      <c r="N22" s="55">
        <f>M22*(1+ENA_Assumptions!$G$26)</f>
        <v>1824.626285775666</v>
      </c>
      <c r="O22" s="55">
        <f>N22*(1+ENA_Assumptions!$G$26)</f>
        <v>1879.3650743489361</v>
      </c>
      <c r="P22" s="55">
        <f>O22*(1+ENA_Assumptions!$G$26)</f>
        <v>1935.7460265794043</v>
      </c>
      <c r="Q22" s="55">
        <f>P22*(1+ENA_Assumptions!$G$26)</f>
        <v>1993.8184073767866</v>
      </c>
      <c r="R22" s="55">
        <f>Q22*(1+ENA_Assumptions!$G$26)</f>
        <v>2053.6329595980901</v>
      </c>
      <c r="S22" s="55">
        <f>R22*(1+ENA_Assumptions!$G$26)</f>
        <v>2115.2419483860331</v>
      </c>
      <c r="T22" s="55">
        <f>S22*(1+ENA_Assumptions!$G$26)</f>
        <v>2178.6992068376139</v>
      </c>
      <c r="U22" s="55">
        <f>T22*(1+ENA_Assumptions!$G$26)</f>
        <v>2244.0601830427422</v>
      </c>
      <c r="W22" s="55">
        <f t="shared" ref="W22:W28" si="5">SUM(B22:U22)</f>
        <v>34387.527427324596</v>
      </c>
    </row>
    <row r="23" spans="1:55">
      <c r="A23" s="4" t="s">
        <v>428</v>
      </c>
      <c r="B23" s="90">
        <f>ENA_Assumptions!$G$30*(1+ENA_Assumptions!$G$26)</f>
        <v>823.4720525687361</v>
      </c>
      <c r="C23" s="20">
        <f>B23*(1+ENA_Assumptions!$G$26)</f>
        <v>848.17621414579821</v>
      </c>
      <c r="D23" s="20">
        <f>C23*(1+ENA_Assumptions!$G$26)</f>
        <v>873.6215005701722</v>
      </c>
      <c r="E23" s="90">
        <f>ENA_Assumptions!$G$20*ENA_Assumptions!$G$24*(1+ENA_Assumptions!$G$26)^(E5-2000)/1000</f>
        <v>899.83014558727712</v>
      </c>
      <c r="F23" s="90">
        <f>ENA_Assumptions!$G$20*ENA_Assumptions!$G$24*(1+ENA_Assumptions!$G$26)^(F5-2000)/1000</f>
        <v>926.82504995489535</v>
      </c>
      <c r="G23" s="90">
        <f>ENA_Assumptions!$G$20*ENA_Assumptions!$G$24*(1+ENA_Assumptions!$G$26)^(G5-2000)/1000</f>
        <v>954.62980145354231</v>
      </c>
      <c r="H23" s="90">
        <f>ENA_Assumptions!$G$20*ENA_Assumptions!$G$24*(1+ENA_Assumptions!$G$26)^(H5-2000)/1000</f>
        <v>983.26869549714854</v>
      </c>
      <c r="I23" s="90">
        <f>ENA_Assumptions!$G$20*ENA_Assumptions!$G$24*(1+ENA_Assumptions!$G$26)^(I5-2000)/1000</f>
        <v>1012.7667563620629</v>
      </c>
      <c r="J23" s="90">
        <f>ENA_Assumptions!$G$20*ENA_Assumptions!$G$24*(1+ENA_Assumptions!$G$26)^(J5-2000)/1000</f>
        <v>1043.1497590529248</v>
      </c>
      <c r="K23" s="90">
        <f>ENA_Assumptions!$G$20*ENA_Assumptions!$G$24*(1+ENA_Assumptions!$G$26)^(K5-2000)/1000</f>
        <v>1074.4442518245125</v>
      </c>
      <c r="L23" s="90">
        <f>ENA_Assumptions!$G$20*ENA_Assumptions!$G$24*(1+ENA_Assumptions!$G$26)^(L5-2000)/1000</f>
        <v>1106.6775793792481</v>
      </c>
      <c r="M23" s="90">
        <f>ENA_Assumptions!$G$20*ENA_Assumptions!$G$24*(1+ENA_Assumptions!$G$26)^(M5-2000)/1000</f>
        <v>1139.8779067606254</v>
      </c>
      <c r="N23" s="90">
        <f>ENA_Assumptions!$G$20*ENA_Assumptions!$G$24*(1+ENA_Assumptions!$G$26)^(N5-2000)/1000</f>
        <v>1174.0742439634439</v>
      </c>
      <c r="O23" s="90">
        <f>ENA_Assumptions!$G$20*ENA_Assumptions!$G$24*(1+ENA_Assumptions!$G$26)^(O5-2000)/1000</f>
        <v>1209.2964712823473</v>
      </c>
      <c r="P23" s="90">
        <f>ENA_Assumptions!$G$20*ENA_Assumptions!$G$24*(1+ENA_Assumptions!$G$26)^(P5-2000)/1000</f>
        <v>1245.5753654208179</v>
      </c>
      <c r="Q23" s="90">
        <f>ENA_Assumptions!$G$20*ENA_Assumptions!$G$24*(1+ENA_Assumptions!$G$26)^(Q5-2000)/1000</f>
        <v>1282.9426263834423</v>
      </c>
      <c r="R23" s="90">
        <f>ENA_Assumptions!$G$20*ENA_Assumptions!$G$24*(1+ENA_Assumptions!$G$26)^(R5-2000)/1000</f>
        <v>1321.4309051749456</v>
      </c>
      <c r="S23" s="90">
        <f>ENA_Assumptions!$G$20*ENA_Assumptions!$G$24*(1+ENA_Assumptions!$G$26)^(S5-2000)/1000</f>
        <v>1361.0738323301939</v>
      </c>
      <c r="T23" s="90">
        <f>ENA_Assumptions!$G$20*ENA_Assumptions!$G$24*(1+ENA_Assumptions!$G$26)^(T5-2000)/1000</f>
        <v>1401.9060473000995</v>
      </c>
      <c r="U23" s="90">
        <f>ENA_Assumptions!$G$20*ENA_Assumptions!$G$24*(1+ENA_Assumptions!$G$26)^(U5-2000)/1000</f>
        <v>1443.9632287191027</v>
      </c>
      <c r="W23" s="55">
        <f t="shared" si="5"/>
        <v>22127.002433731333</v>
      </c>
    </row>
    <row r="24" spans="1:55">
      <c r="A24" s="4" t="s">
        <v>461</v>
      </c>
      <c r="B24" s="90">
        <f>ENA_Assumptions!$G$25*ENA_Assumptions!$G$11*ENA_Assumptions!$G$8/1000*(1+ENA_Assumptions!$G$26)</f>
        <v>347.625</v>
      </c>
      <c r="C24" s="55">
        <f>B24*(1+ENA_Assumptions!$G$26)</f>
        <v>358.05375000000004</v>
      </c>
      <c r="D24" s="55">
        <f>C24*(1+ENA_Assumptions!$G$26)</f>
        <v>368.79536250000007</v>
      </c>
      <c r="E24" s="55">
        <f>D24*(1+ENA_Assumptions!$G$26)</f>
        <v>379.85922337500006</v>
      </c>
      <c r="F24" s="55">
        <f>E24*(1+ENA_Assumptions!$G$26)</f>
        <v>391.25500007625004</v>
      </c>
      <c r="G24" s="55">
        <f>F24*(1+ENA_Assumptions!$G$26)</f>
        <v>402.99265007853757</v>
      </c>
      <c r="H24" s="55">
        <f>G24*(1+ENA_Assumptions!$G$26)</f>
        <v>415.08242958089369</v>
      </c>
      <c r="I24" s="55">
        <f>H24*(1+ENA_Assumptions!$G$26)</f>
        <v>427.53490246832052</v>
      </c>
      <c r="J24" s="55">
        <f>I24*(1+ENA_Assumptions!$G$26)</f>
        <v>440.36094954237018</v>
      </c>
      <c r="K24" s="55">
        <f>J24*(1+ENA_Assumptions!$G$26)</f>
        <v>453.57177802864129</v>
      </c>
      <c r="L24" s="55">
        <f>K24*(1+ENA_Assumptions!$G$26)</f>
        <v>467.17893136950056</v>
      </c>
      <c r="M24" s="55">
        <f>L24*(1+ENA_Assumptions!$G$26)</f>
        <v>481.19429931058556</v>
      </c>
      <c r="N24" s="55">
        <f>M24*(1+ENA_Assumptions!$G$26)</f>
        <v>495.63012828990315</v>
      </c>
      <c r="O24" s="55">
        <f>N24*(1+ENA_Assumptions!$G$26)</f>
        <v>510.49903213860028</v>
      </c>
      <c r="P24" s="55">
        <f>O24*(1+ENA_Assumptions!$G$26)</f>
        <v>525.81400310275831</v>
      </c>
      <c r="Q24" s="55">
        <f>P24*(1+ENA_Assumptions!$G$26)</f>
        <v>541.58842319584107</v>
      </c>
      <c r="R24" s="55">
        <f>Q24*(1+ENA_Assumptions!$G$26)</f>
        <v>557.83607589171629</v>
      </c>
      <c r="S24" s="55">
        <f>R24*(1+ENA_Assumptions!$G$26)</f>
        <v>574.57115816846783</v>
      </c>
      <c r="T24" s="55">
        <f>S24*(1+ENA_Assumptions!$G$26)</f>
        <v>591.80829291352188</v>
      </c>
      <c r="U24" s="55">
        <f>T24*(1+ENA_Assumptions!$G$26)</f>
        <v>609.56254170092757</v>
      </c>
      <c r="W24" s="55">
        <f t="shared" si="5"/>
        <v>9340.8139317318364</v>
      </c>
    </row>
    <row r="25" spans="1:55">
      <c r="A25" s="4" t="s">
        <v>430</v>
      </c>
      <c r="B25" s="90">
        <f>ENA_Assumptions!G32*(1+ENA_Assumptions!$G$26)</f>
        <v>331.91867714285718</v>
      </c>
      <c r="C25" s="55">
        <f>B25*(1+ENA_Assumptions!$G$26)</f>
        <v>341.87623745714291</v>
      </c>
      <c r="D25" s="55">
        <f>C25*(1+ENA_Assumptions!$G$26)</f>
        <v>352.13252458085719</v>
      </c>
      <c r="E25" s="55">
        <f>D25*(1+ENA_Assumptions!$G$26)</f>
        <v>362.69650031828292</v>
      </c>
      <c r="F25" s="55">
        <f>E25*(1+ENA_Assumptions!$G$26)</f>
        <v>373.57739532783143</v>
      </c>
      <c r="G25" s="55">
        <f>F25*(1+ENA_Assumptions!$G$26)</f>
        <v>384.78471718766639</v>
      </c>
      <c r="H25" s="55">
        <f>G25*(1+ENA_Assumptions!$G$26)</f>
        <v>396.3282587032964</v>
      </c>
      <c r="I25" s="55">
        <f>H25*(1+ENA_Assumptions!$G$26)</f>
        <v>408.21810646439531</v>
      </c>
      <c r="J25" s="55">
        <f>I25*(1+ENA_Assumptions!$G$26)</f>
        <v>420.46464965832718</v>
      </c>
      <c r="K25" s="55">
        <f>J25*(1+ENA_Assumptions!$G$26)</f>
        <v>433.07858914807701</v>
      </c>
      <c r="L25" s="55">
        <f>K25*(1+ENA_Assumptions!$G$26)</f>
        <v>446.07094682251932</v>
      </c>
      <c r="M25" s="55">
        <f>L25*(1+ENA_Assumptions!$G$26)</f>
        <v>459.45307522719492</v>
      </c>
      <c r="N25" s="55">
        <f>M25*(1+ENA_Assumptions!$G$26)</f>
        <v>473.23666748401075</v>
      </c>
      <c r="O25" s="55">
        <f>N25*(1+ENA_Assumptions!$G$26)</f>
        <v>487.4337675085311</v>
      </c>
      <c r="P25" s="55">
        <f>O25*(1+ENA_Assumptions!$G$26)</f>
        <v>502.05678053378705</v>
      </c>
      <c r="Q25" s="55">
        <f>P25*(1+ENA_Assumptions!$G$26)</f>
        <v>517.11848394980063</v>
      </c>
      <c r="R25" s="55">
        <f>Q25*(1+ENA_Assumptions!$G$26)</f>
        <v>532.6320384682947</v>
      </c>
      <c r="S25" s="55">
        <f>R25*(1+ENA_Assumptions!$G$26)</f>
        <v>548.61099962234357</v>
      </c>
      <c r="T25" s="55">
        <f>S25*(1+ENA_Assumptions!$G$26)</f>
        <v>565.06932961101393</v>
      </c>
      <c r="U25" s="55">
        <f>T25*(1+ENA_Assumptions!$G$26)</f>
        <v>582.02140949934437</v>
      </c>
      <c r="W25" s="55">
        <f t="shared" si="5"/>
        <v>8918.7791547155739</v>
      </c>
    </row>
    <row r="26" spans="1:55">
      <c r="A26" s="4" t="s">
        <v>506</v>
      </c>
      <c r="B26" s="336">
        <v>174.46</v>
      </c>
      <c r="C26" s="336">
        <v>348.92</v>
      </c>
      <c r="D26" s="336">
        <v>436.15</v>
      </c>
      <c r="E26" s="336">
        <v>436.15</v>
      </c>
      <c r="F26" s="336">
        <v>436.15</v>
      </c>
      <c r="G26" s="336">
        <v>523.38</v>
      </c>
      <c r="H26" s="336">
        <v>523.38</v>
      </c>
      <c r="I26" s="336">
        <v>523.38</v>
      </c>
      <c r="J26" s="336">
        <v>523.38</v>
      </c>
      <c r="K26" s="336">
        <v>523.38</v>
      </c>
      <c r="L26" s="336">
        <v>523.38</v>
      </c>
      <c r="M26" s="336">
        <v>523.38</v>
      </c>
      <c r="N26" s="336">
        <v>872.3</v>
      </c>
      <c r="O26" s="336">
        <v>872.3</v>
      </c>
      <c r="P26" s="336">
        <v>1308.45</v>
      </c>
      <c r="Q26" s="336">
        <v>743.93104499999993</v>
      </c>
      <c r="R26" s="336">
        <v>758.80966589999991</v>
      </c>
      <c r="S26" s="336">
        <v>773.98585921799997</v>
      </c>
      <c r="T26" s="336">
        <v>789.46557640235994</v>
      </c>
      <c r="U26" s="336">
        <v>805.25488793040722</v>
      </c>
      <c r="W26" s="55">
        <f t="shared" si="5"/>
        <v>12419.987034450767</v>
      </c>
    </row>
    <row r="27" spans="1:55" s="271" customFormat="1">
      <c r="A27" s="4" t="s">
        <v>507</v>
      </c>
      <c r="B27" s="600">
        <f>B84</f>
        <v>608.98829025895418</v>
      </c>
      <c r="C27" s="600">
        <f t="shared" ref="C27:U27" si="6">C84</f>
        <v>590.15360086950193</v>
      </c>
      <c r="D27" s="600">
        <f t="shared" si="6"/>
        <v>571.31891148004979</v>
      </c>
      <c r="E27" s="600">
        <f t="shared" si="6"/>
        <v>552.48422209059765</v>
      </c>
      <c r="F27" s="600">
        <f t="shared" si="6"/>
        <v>533.6495327011454</v>
      </c>
      <c r="G27" s="600">
        <f t="shared" si="6"/>
        <v>514.81484331169327</v>
      </c>
      <c r="H27" s="600">
        <f t="shared" si="6"/>
        <v>495.98015392224107</v>
      </c>
      <c r="I27" s="600">
        <f t="shared" si="6"/>
        <v>477.14546453278894</v>
      </c>
      <c r="J27" s="600">
        <f t="shared" si="6"/>
        <v>458.31077514333674</v>
      </c>
      <c r="K27" s="600">
        <f t="shared" si="6"/>
        <v>439.47608575388455</v>
      </c>
      <c r="L27" s="600">
        <f t="shared" si="6"/>
        <v>420.64139636443235</v>
      </c>
      <c r="M27" s="600">
        <f t="shared" si="6"/>
        <v>401.80670697498022</v>
      </c>
      <c r="N27" s="600">
        <f t="shared" si="6"/>
        <v>382.97201758552802</v>
      </c>
      <c r="O27" s="600">
        <f t="shared" si="6"/>
        <v>364.13732819607583</v>
      </c>
      <c r="P27" s="600">
        <f t="shared" si="6"/>
        <v>345.30263880662363</v>
      </c>
      <c r="Q27" s="600">
        <f t="shared" si="6"/>
        <v>326.4679494171715</v>
      </c>
      <c r="R27" s="600">
        <f t="shared" si="6"/>
        <v>307.6332600277193</v>
      </c>
      <c r="S27" s="600">
        <f t="shared" si="6"/>
        <v>288.79857063826711</v>
      </c>
      <c r="T27" s="600">
        <f t="shared" si="6"/>
        <v>269.96388124881497</v>
      </c>
      <c r="U27" s="600">
        <f t="shared" si="6"/>
        <v>251.12919185936278</v>
      </c>
      <c r="V27" s="55"/>
      <c r="W27" s="55">
        <f t="shared" si="5"/>
        <v>8601.1748211831709</v>
      </c>
    </row>
    <row r="28" spans="1:55">
      <c r="A28" s="4" t="s">
        <v>22</v>
      </c>
      <c r="B28" s="90">
        <f t="shared" ref="B28:U28" si="7">SUM(B22:B27)</f>
        <v>3566.2201856848333</v>
      </c>
      <c r="C28" s="90">
        <f t="shared" si="7"/>
        <v>3805.3286531581575</v>
      </c>
      <c r="D28" s="90">
        <f t="shared" si="7"/>
        <v>3959.7116153373649</v>
      </c>
      <c r="E28" s="90">
        <f t="shared" si="7"/>
        <v>4029.4442070636319</v>
      </c>
      <c r="F28" s="90">
        <f t="shared" si="7"/>
        <v>4101.8338172233707</v>
      </c>
      <c r="G28" s="90">
        <f t="shared" si="7"/>
        <v>4264.1901563695856</v>
      </c>
      <c r="H28" s="90">
        <f t="shared" si="7"/>
        <v>4342.1353263718702</v>
      </c>
      <c r="I28" s="90">
        <f t="shared" si="7"/>
        <v>4422.9838921559067</v>
      </c>
      <c r="J28" s="90">
        <f t="shared" si="7"/>
        <v>4506.8229555951484</v>
      </c>
      <c r="K28" s="90">
        <f t="shared" si="7"/>
        <v>4593.7422316192506</v>
      </c>
      <c r="L28" s="90">
        <f t="shared" si="7"/>
        <v>4683.8341266057605</v>
      </c>
      <c r="M28" s="90">
        <f t="shared" si="7"/>
        <v>4777.1938191235467</v>
      </c>
      <c r="N28" s="90">
        <f t="shared" si="7"/>
        <v>5222.8393430985516</v>
      </c>
      <c r="O28" s="90">
        <f t="shared" si="7"/>
        <v>5323.0316734744911</v>
      </c>
      <c r="P28" s="90">
        <f t="shared" si="7"/>
        <v>5862.9448144433909</v>
      </c>
      <c r="Q28" s="90">
        <f t="shared" si="7"/>
        <v>5405.8669353230425</v>
      </c>
      <c r="R28" s="90">
        <f t="shared" si="7"/>
        <v>5531.9749050607661</v>
      </c>
      <c r="S28" s="90">
        <f t="shared" si="7"/>
        <v>5662.2823683633051</v>
      </c>
      <c r="T28" s="90">
        <f t="shared" si="7"/>
        <v>5796.9123343134243</v>
      </c>
      <c r="U28" s="90">
        <f t="shared" si="7"/>
        <v>5935.9914427518861</v>
      </c>
      <c r="W28" s="55">
        <f t="shared" si="5"/>
        <v>95795.284803137271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31399.471794932761</v>
      </c>
      <c r="C31" s="273">
        <f t="shared" si="8"/>
        <v>31192.94654458779</v>
      </c>
      <c r="D31" s="273">
        <f t="shared" si="8"/>
        <v>31073.273030542274</v>
      </c>
      <c r="E31" s="273">
        <f t="shared" si="8"/>
        <v>36739.397988835553</v>
      </c>
      <c r="F31" s="273">
        <f t="shared" si="8"/>
        <v>38669.824586144743</v>
      </c>
      <c r="G31" s="273">
        <f t="shared" si="8"/>
        <v>39072.974002675459</v>
      </c>
      <c r="H31" s="273">
        <f t="shared" si="8"/>
        <v>39569.41922830273</v>
      </c>
      <c r="I31" s="273">
        <f t="shared" si="8"/>
        <v>40070.871217117085</v>
      </c>
      <c r="J31" s="273">
        <f t="shared" si="8"/>
        <v>40577.360725731742</v>
      </c>
      <c r="K31" s="273">
        <f t="shared" si="8"/>
        <v>41088.917901714194</v>
      </c>
      <c r="L31" s="273">
        <f t="shared" si="8"/>
        <v>41876.94789645027</v>
      </c>
      <c r="M31" s="273">
        <f t="shared" si="8"/>
        <v>42678.718927320871</v>
      </c>
      <c r="N31" s="273">
        <f t="shared" si="8"/>
        <v>43141.185224087392</v>
      </c>
      <c r="O31" s="273">
        <f t="shared" si="8"/>
        <v>43971.149248618633</v>
      </c>
      <c r="P31" s="273">
        <f t="shared" si="8"/>
        <v>44373.970868658202</v>
      </c>
      <c r="Q31" s="273">
        <f t="shared" si="8"/>
        <v>45577.191806746887</v>
      </c>
      <c r="R31" s="273">
        <f t="shared" si="8"/>
        <v>46201.180079901591</v>
      </c>
      <c r="S31" s="273">
        <f t="shared" si="8"/>
        <v>46832.340151221564</v>
      </c>
      <c r="T31" s="273">
        <f t="shared" si="8"/>
        <v>47470.73144270671</v>
      </c>
      <c r="U31" s="273">
        <f t="shared" si="8"/>
        <v>48116.412954396466</v>
      </c>
      <c r="W31" s="55">
        <f>SUM(B31:U31)</f>
        <v>819694.28562069277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ENA_Depreciation!C37</f>
        <v>7533.8757557808767</v>
      </c>
      <c r="C33" s="90">
        <f>ENA_Depreciation!D37</f>
        <v>7533.8757557808767</v>
      </c>
      <c r="D33" s="90">
        <f>ENA_Depreciation!E37</f>
        <v>7533.8757557808767</v>
      </c>
      <c r="E33" s="90">
        <f>ENA_Depreciation!F37</f>
        <v>7533.8757557808767</v>
      </c>
      <c r="F33" s="90">
        <f>ENA_Depreciation!G37</f>
        <v>7533.8757557808767</v>
      </c>
      <c r="G33" s="90">
        <f>ENA_Depreciation!H37</f>
        <v>7533.8757557808767</v>
      </c>
      <c r="H33" s="90">
        <f>ENA_Depreciation!I37</f>
        <v>7533.8757557808767</v>
      </c>
      <c r="I33" s="90">
        <f>ENA_Depreciation!J37</f>
        <v>7533.8757557808767</v>
      </c>
      <c r="J33" s="90">
        <f>ENA_Depreciation!K37</f>
        <v>7533.8757557808767</v>
      </c>
      <c r="K33" s="90">
        <f>ENA_Depreciation!L37</f>
        <v>7533.8757557808767</v>
      </c>
      <c r="L33" s="90">
        <f>ENA_Depreciation!M37</f>
        <v>7533.8757557808767</v>
      </c>
      <c r="M33" s="90">
        <f>ENA_Depreciation!N37</f>
        <v>7533.8757557808767</v>
      </c>
      <c r="N33" s="90">
        <f>ENA_Depreciation!O37</f>
        <v>7533.8757557808767</v>
      </c>
      <c r="O33" s="90">
        <f>ENA_Depreciation!P37</f>
        <v>7533.8757557808767</v>
      </c>
      <c r="P33" s="90">
        <f>ENA_Depreciation!Q37</f>
        <v>7533.8757557808767</v>
      </c>
      <c r="Q33" s="90">
        <f>ENA_Depreciation!R37</f>
        <v>7533.8757557808767</v>
      </c>
      <c r="R33" s="90">
        <f>ENA_Depreciation!S37</f>
        <v>7533.8757557808767</v>
      </c>
      <c r="S33" s="90">
        <f>ENA_Depreciation!T37</f>
        <v>7533.8757557808767</v>
      </c>
      <c r="T33" s="90">
        <f>ENA_Depreciation!U37</f>
        <v>7533.8757557808767</v>
      </c>
      <c r="U33" s="90">
        <f>ENA_Depreciation!V37</f>
        <v>7533.8757557808767</v>
      </c>
      <c r="W33" s="55">
        <f>SUM(B33:U33)</f>
        <v>150677.51511561748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23865.596039151882</v>
      </c>
      <c r="C35" s="93">
        <f t="shared" si="9"/>
        <v>23659.070788806916</v>
      </c>
      <c r="D35" s="93">
        <f t="shared" si="9"/>
        <v>23539.397274761395</v>
      </c>
      <c r="E35" s="93">
        <f t="shared" si="9"/>
        <v>29205.522233054675</v>
      </c>
      <c r="F35" s="93">
        <f t="shared" si="9"/>
        <v>31135.948830363865</v>
      </c>
      <c r="G35" s="93">
        <f t="shared" si="9"/>
        <v>31539.09824689458</v>
      </c>
      <c r="H35" s="93">
        <f t="shared" si="9"/>
        <v>32035.543472521851</v>
      </c>
      <c r="I35" s="93">
        <f t="shared" si="9"/>
        <v>32536.995461336206</v>
      </c>
      <c r="J35" s="93">
        <f t="shared" si="9"/>
        <v>33043.484969950863</v>
      </c>
      <c r="K35" s="93">
        <f t="shared" si="9"/>
        <v>33555.042145933316</v>
      </c>
      <c r="L35" s="93">
        <f t="shared" si="9"/>
        <v>34343.072140669392</v>
      </c>
      <c r="M35" s="93">
        <f t="shared" si="9"/>
        <v>35144.843171539993</v>
      </c>
      <c r="N35" s="93">
        <f t="shared" si="9"/>
        <v>35607.309468306514</v>
      </c>
      <c r="O35" s="93">
        <f t="shared" si="9"/>
        <v>36437.273492837754</v>
      </c>
      <c r="P35" s="93">
        <f t="shared" si="9"/>
        <v>36840.095112877323</v>
      </c>
      <c r="Q35" s="93">
        <f t="shared" si="9"/>
        <v>38043.316050966008</v>
      </c>
      <c r="R35" s="93">
        <f t="shared" si="9"/>
        <v>38667.304324120712</v>
      </c>
      <c r="S35" s="93">
        <f t="shared" si="9"/>
        <v>39298.464395440686</v>
      </c>
      <c r="T35" s="93">
        <f t="shared" si="9"/>
        <v>39936.855686925832</v>
      </c>
      <c r="U35" s="93">
        <f t="shared" si="9"/>
        <v>40582.537198615588</v>
      </c>
      <c r="W35" s="55">
        <f>SUM(B35:U35)</f>
        <v>669016.77050507534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ENA_IS!B38*ENA_Allocation!$E$12</f>
        <v>14038.121018428183</v>
      </c>
      <c r="C37" s="90">
        <f>ENA_IS!C38*ENA_Allocation!$E$12</f>
        <v>13827.484002234436</v>
      </c>
      <c r="D37" s="90">
        <f>ENA_IS!D38*ENA_Allocation!$E$12</f>
        <v>13530.373367832524</v>
      </c>
      <c r="E37" s="90">
        <f>ENA_IS!E38*ENA_Allocation!$E$12</f>
        <v>13297.142510846699</v>
      </c>
      <c r="F37" s="90">
        <f>ENA_IS!F38*ENA_Allocation!$E$12</f>
        <v>12884.507426272858</v>
      </c>
      <c r="G37" s="90">
        <f>ENA_IS!G38*ENA_Allocation!$E$12</f>
        <v>12395.428082244302</v>
      </c>
      <c r="H37" s="90">
        <f>ENA_IS!H38*ENA_Allocation!$E$12</f>
        <v>11845.768749295621</v>
      </c>
      <c r="I37" s="90">
        <f>ENA_IS!I38*ENA_Allocation!$E$12</f>
        <v>11270.724168021539</v>
      </c>
      <c r="J37" s="90">
        <f>ENA_IS!J38*ENA_Allocation!$E$12</f>
        <v>10556.42908014077</v>
      </c>
      <c r="K37" s="90">
        <f>ENA_IS!K38*ENA_Allocation!$E$12</f>
        <v>9764.9369113055454</v>
      </c>
      <c r="L37" s="90">
        <f>ENA_IS!L38*ENA_Allocation!$E$12</f>
        <v>8932.1063208931118</v>
      </c>
      <c r="M37" s="90">
        <f>ENA_IS!M38*ENA_Allocation!$E$12</f>
        <v>8024.0439027996035</v>
      </c>
      <c r="N37" s="90">
        <f>ENA_IS!N38*ENA_Allocation!$E$12</f>
        <v>7070.8524525560042</v>
      </c>
      <c r="O37" s="90">
        <f>ENA_IS!O38*ENA_Allocation!$E$12</f>
        <v>6140.2255183874504</v>
      </c>
      <c r="P37" s="90">
        <f>ENA_IS!P38*ENA_Allocation!$E$12</f>
        <v>5197.8701351855407</v>
      </c>
      <c r="Q37" s="90">
        <f>ENA_IS!Q38*ENA_Allocation!$E$12</f>
        <v>4221.2217868752259</v>
      </c>
      <c r="R37" s="90">
        <f>ENA_IS!R38*ENA_Allocation!$E$12</f>
        <v>3185.2937776897925</v>
      </c>
      <c r="S37" s="90">
        <f>ENA_IS!S38*ENA_Allocation!$E$12</f>
        <v>2208.5179462378119</v>
      </c>
      <c r="T37" s="90">
        <f>ENA_IS!T38*ENA_Allocation!$E$12</f>
        <v>1370.9537054861132</v>
      </c>
      <c r="U37" s="90">
        <f>ENA_IS!U38*ENA_Allocation!$E$12</f>
        <v>535.42919500108565</v>
      </c>
      <c r="W37" s="55">
        <f>SUM(B37:U37)</f>
        <v>170297.43005773419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9827.4750207236993</v>
      </c>
      <c r="C39" s="93">
        <f t="shared" si="10"/>
        <v>9831.5867865724795</v>
      </c>
      <c r="D39" s="93">
        <f t="shared" si="10"/>
        <v>10009.023906928871</v>
      </c>
      <c r="E39" s="93">
        <f t="shared" si="10"/>
        <v>15908.379722207976</v>
      </c>
      <c r="F39" s="93">
        <f t="shared" si="10"/>
        <v>18251.441404091005</v>
      </c>
      <c r="G39" s="93">
        <f t="shared" si="10"/>
        <v>19143.670164650277</v>
      </c>
      <c r="H39" s="93">
        <f t="shared" si="10"/>
        <v>20189.77472322623</v>
      </c>
      <c r="I39" s="93">
        <f t="shared" si="10"/>
        <v>21266.271293314669</v>
      </c>
      <c r="J39" s="93">
        <f t="shared" si="10"/>
        <v>22487.055889810094</v>
      </c>
      <c r="K39" s="93">
        <f t="shared" si="10"/>
        <v>23790.105234627772</v>
      </c>
      <c r="L39" s="93">
        <f t="shared" si="10"/>
        <v>25410.96581977628</v>
      </c>
      <c r="M39" s="93">
        <f t="shared" si="10"/>
        <v>27120.799268740389</v>
      </c>
      <c r="N39" s="93">
        <f t="shared" si="10"/>
        <v>28536.457015750508</v>
      </c>
      <c r="O39" s="93">
        <f t="shared" si="10"/>
        <v>30297.047974450303</v>
      </c>
      <c r="P39" s="93">
        <f t="shared" si="10"/>
        <v>31642.224977691782</v>
      </c>
      <c r="Q39" s="93">
        <f t="shared" si="10"/>
        <v>33822.094264090782</v>
      </c>
      <c r="R39" s="93">
        <f t="shared" si="10"/>
        <v>35482.010546430916</v>
      </c>
      <c r="S39" s="93">
        <f t="shared" si="10"/>
        <v>37089.946449202871</v>
      </c>
      <c r="T39" s="93">
        <f t="shared" si="10"/>
        <v>38565.901981439718</v>
      </c>
      <c r="U39" s="93">
        <f t="shared" si="10"/>
        <v>40047.108003614499</v>
      </c>
      <c r="W39" s="55">
        <f>SUM(B39:U39)</f>
        <v>498719.34044734109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B39*-ENA_Assumptions!$G$39</f>
        <v>-589.64850124342195</v>
      </c>
      <c r="C41" s="90">
        <f>C39*-ENA_Assumptions!$G$39</f>
        <v>-589.8952071943487</v>
      </c>
      <c r="D41" s="90">
        <f>D39*-ENA_Assumptions!$G$39</f>
        <v>-600.54143441573228</v>
      </c>
      <c r="E41" s="90">
        <f>E39*-ENA_Assumptions!$G$39</f>
        <v>-954.50278333247854</v>
      </c>
      <c r="F41" s="90">
        <f>F39*-ENA_Assumptions!$G$39</f>
        <v>-1095.0864842454603</v>
      </c>
      <c r="G41" s="90">
        <f>G39*-ENA_Assumptions!$G$39</f>
        <v>-1148.6202098790166</v>
      </c>
      <c r="H41" s="90">
        <f>H39*-ENA_Assumptions!$G$39</f>
        <v>-1211.3864833935738</v>
      </c>
      <c r="I41" s="90">
        <f>I39*-ENA_Assumptions!$G$39</f>
        <v>-1275.97627759888</v>
      </c>
      <c r="J41" s="90">
        <f>J39*-ENA_Assumptions!$G$39</f>
        <v>-1349.2233533886056</v>
      </c>
      <c r="K41" s="90">
        <f>K39*-ENA_Assumptions!$G$39</f>
        <v>-1427.4063140776664</v>
      </c>
      <c r="L41" s="90">
        <f>L39*-ENA_Assumptions!$G$39</f>
        <v>-1524.6579491865768</v>
      </c>
      <c r="M41" s="90">
        <f>M39*-ENA_Assumptions!$G$39</f>
        <v>-1627.2479561244234</v>
      </c>
      <c r="N41" s="90">
        <f>N39*-ENA_Assumptions!$G$39</f>
        <v>-1712.1874209450305</v>
      </c>
      <c r="O41" s="90">
        <f>O39*-ENA_Assumptions!$G$39</f>
        <v>-1817.8228784670182</v>
      </c>
      <c r="P41" s="90">
        <f>P39*-ENA_Assumptions!$G$39</f>
        <v>-1898.5334986615069</v>
      </c>
      <c r="Q41" s="90">
        <f>Q39*-ENA_Assumptions!$G$39</f>
        <v>-2029.3256558454468</v>
      </c>
      <c r="R41" s="90">
        <f>R39*-ENA_Assumptions!$G$39</f>
        <v>-2128.9206327858551</v>
      </c>
      <c r="S41" s="90">
        <f>S39*-ENA_Assumptions!$G$39</f>
        <v>-2225.3967869521721</v>
      </c>
      <c r="T41" s="90">
        <f>T39*-ENA_Assumptions!$G$39</f>
        <v>-2313.9541188863832</v>
      </c>
      <c r="U41" s="90">
        <f>U39*-ENA_Assumptions!$G$39</f>
        <v>-2402.8264802168701</v>
      </c>
      <c r="W41" s="55">
        <f>SUM(B41:U41)</f>
        <v>-29923.160426840466</v>
      </c>
    </row>
    <row r="42" spans="1:23">
      <c r="A42" s="4" t="s">
        <v>29</v>
      </c>
      <c r="B42" s="89">
        <f>(B39+B41)*-ENA_Assumptions!$G$38</f>
        <v>-3233.239281818097</v>
      </c>
      <c r="C42" s="89">
        <f>(C39+C41)*-ENA_Assumptions!$G$38</f>
        <v>-3234.5920527823455</v>
      </c>
      <c r="D42" s="89">
        <f>(D39+D41)*-ENA_Assumptions!$G$38</f>
        <v>-3292.9688653795984</v>
      </c>
      <c r="E42" s="89">
        <f>(E39+E41)*-ENA_Assumptions!$G$38</f>
        <v>-5233.8569286064239</v>
      </c>
      <c r="F42" s="89">
        <f>(F39+F41)*-ENA_Assumptions!$G$38</f>
        <v>-6004.7242219459404</v>
      </c>
      <c r="G42" s="89">
        <f>(G39+G41)*-ENA_Assumptions!$G$38</f>
        <v>-6298.2674841699409</v>
      </c>
      <c r="H42" s="89">
        <f>(H39+H41)*-ENA_Assumptions!$G$38</f>
        <v>-6642.4358839414299</v>
      </c>
      <c r="I42" s="89">
        <f>(I39+I41)*-ENA_Assumptions!$G$38</f>
        <v>-6996.6032555005258</v>
      </c>
      <c r="J42" s="89">
        <f>(J39+J41)*-ENA_Assumptions!$G$38</f>
        <v>-7398.2413877475201</v>
      </c>
      <c r="K42" s="89">
        <f>(K39+K41)*-ENA_Assumptions!$G$38</f>
        <v>-7826.9446221925364</v>
      </c>
      <c r="L42" s="89">
        <f>(L39+L41)*-ENA_Assumptions!$G$38</f>
        <v>-8360.2077547063946</v>
      </c>
      <c r="M42" s="89">
        <f>(M39+M41)*-ENA_Assumptions!$G$38</f>
        <v>-8922.7429594155874</v>
      </c>
      <c r="N42" s="89">
        <f>(N39+N41)*-ENA_Assumptions!$G$38</f>
        <v>-9388.4943581819171</v>
      </c>
      <c r="O42" s="89">
        <f>(O39+O41)*-ENA_Assumptions!$G$38</f>
        <v>-9967.7287835941497</v>
      </c>
      <c r="P42" s="89">
        <f>(P39+P41)*-ENA_Assumptions!$G$38</f>
        <v>-10410.292017660597</v>
      </c>
      <c r="Q42" s="89">
        <f>(Q39+Q41)*-ENA_Assumptions!$G$38</f>
        <v>-11127.469012885867</v>
      </c>
      <c r="R42" s="89">
        <f>(R39+R41)*-ENA_Assumptions!$G$38</f>
        <v>-11673.581469775771</v>
      </c>
      <c r="S42" s="89">
        <f>(S39+S41)*-ENA_Assumptions!$G$38</f>
        <v>-12202.592381787743</v>
      </c>
      <c r="T42" s="89">
        <f>(T39+T41)*-ENA_Assumptions!$G$38</f>
        <v>-12688.181751893668</v>
      </c>
      <c r="U42" s="89">
        <f>(U39+U41)*-ENA_Assumptions!$G$38</f>
        <v>-13175.498533189169</v>
      </c>
      <c r="W42" s="55">
        <f>SUM(B42:U42)</f>
        <v>-164078.66300717523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6004.5872376621801</v>
      </c>
      <c r="C44" s="239">
        <f t="shared" si="11"/>
        <v>6007.0995265957845</v>
      </c>
      <c r="D44" s="239">
        <f t="shared" si="11"/>
        <v>6115.5136071335401</v>
      </c>
      <c r="E44" s="239">
        <f t="shared" si="11"/>
        <v>9720.0200102690724</v>
      </c>
      <c r="F44" s="239">
        <f t="shared" si="11"/>
        <v>11151.630697899604</v>
      </c>
      <c r="G44" s="239">
        <f t="shared" si="11"/>
        <v>11696.78247060132</v>
      </c>
      <c r="H44" s="239">
        <f t="shared" si="11"/>
        <v>12335.952355891226</v>
      </c>
      <c r="I44" s="239">
        <f t="shared" si="11"/>
        <v>12993.691760215264</v>
      </c>
      <c r="J44" s="239">
        <f t="shared" si="11"/>
        <v>13739.591148673968</v>
      </c>
      <c r="K44" s="239">
        <f t="shared" si="11"/>
        <v>14535.754298357569</v>
      </c>
      <c r="L44" s="239">
        <f t="shared" si="11"/>
        <v>15526.100115883308</v>
      </c>
      <c r="M44" s="239">
        <f t="shared" si="11"/>
        <v>16570.80835320038</v>
      </c>
      <c r="N44" s="239">
        <f t="shared" si="11"/>
        <v>17435.775236623562</v>
      </c>
      <c r="O44" s="239">
        <f t="shared" si="11"/>
        <v>18511.496312389136</v>
      </c>
      <c r="P44" s="239">
        <f t="shared" si="11"/>
        <v>19333.399461369678</v>
      </c>
      <c r="Q44" s="239">
        <f t="shared" si="11"/>
        <v>20665.299595359469</v>
      </c>
      <c r="R44" s="239">
        <f t="shared" si="11"/>
        <v>21679.50844386929</v>
      </c>
      <c r="S44" s="239">
        <f t="shared" si="11"/>
        <v>22661.957280462957</v>
      </c>
      <c r="T44" s="239">
        <f t="shared" si="11"/>
        <v>23563.766110659672</v>
      </c>
      <c r="U44" s="239">
        <f t="shared" si="11"/>
        <v>24468.78299020846</v>
      </c>
      <c r="W44" s="55">
        <f>SUM(B44:U44)</f>
        <v>304717.51701332547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534</v>
      </c>
      <c r="B48" s="20"/>
      <c r="C48" s="24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4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4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4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22360.93782771995</v>
      </c>
      <c r="C54" s="29">
        <f>C31-C12</f>
        <v>22154.412577374984</v>
      </c>
      <c r="D54" s="29">
        <f>D31-D12</f>
        <v>22034.739063329464</v>
      </c>
      <c r="E54" s="20">
        <f t="shared" ref="E54:U54" si="13">E31</f>
        <v>36739.397988835553</v>
      </c>
      <c r="F54" s="20">
        <f t="shared" si="13"/>
        <v>38669.824586144743</v>
      </c>
      <c r="G54" s="20">
        <f t="shared" si="13"/>
        <v>39072.974002675459</v>
      </c>
      <c r="H54" s="20">
        <f t="shared" si="13"/>
        <v>39569.41922830273</v>
      </c>
      <c r="I54" s="20">
        <f t="shared" si="13"/>
        <v>40070.871217117085</v>
      </c>
      <c r="J54" s="20">
        <f t="shared" si="13"/>
        <v>40577.360725731742</v>
      </c>
      <c r="K54" s="20">
        <f t="shared" si="13"/>
        <v>41088.917901714194</v>
      </c>
      <c r="L54" s="20">
        <f t="shared" si="13"/>
        <v>41876.94789645027</v>
      </c>
      <c r="M54" s="20">
        <f t="shared" si="13"/>
        <v>42678.718927320871</v>
      </c>
      <c r="N54" s="20">
        <f t="shared" si="13"/>
        <v>43141.185224087392</v>
      </c>
      <c r="O54" s="20">
        <f t="shared" si="13"/>
        <v>43971.149248618633</v>
      </c>
      <c r="P54" s="20">
        <f t="shared" si="13"/>
        <v>44373.970868658202</v>
      </c>
      <c r="Q54" s="20">
        <f t="shared" si="13"/>
        <v>45577.191806746887</v>
      </c>
      <c r="R54" s="20">
        <f t="shared" si="13"/>
        <v>46201.180079901591</v>
      </c>
      <c r="S54" s="20">
        <f t="shared" si="13"/>
        <v>46832.340151221564</v>
      </c>
      <c r="T54" s="20">
        <f t="shared" si="13"/>
        <v>47470.73144270671</v>
      </c>
      <c r="U54" s="20">
        <f t="shared" si="13"/>
        <v>48116.412954396466</v>
      </c>
      <c r="W54" s="954">
        <f>SUM(B54:U54)</f>
        <v>792578.68371905445</v>
      </c>
    </row>
    <row r="55" spans="1:55">
      <c r="A55" s="15" t="s">
        <v>481</v>
      </c>
      <c r="B55" s="29">
        <f>B26</f>
        <v>174.46</v>
      </c>
      <c r="C55" s="29">
        <f t="shared" ref="C55:U55" si="14">C26</f>
        <v>348.92</v>
      </c>
      <c r="D55" s="29">
        <f t="shared" si="14"/>
        <v>436.15</v>
      </c>
      <c r="E55" s="29">
        <f t="shared" si="14"/>
        <v>436.15</v>
      </c>
      <c r="F55" s="29">
        <f t="shared" si="14"/>
        <v>436.15</v>
      </c>
      <c r="G55" s="29">
        <f t="shared" si="14"/>
        <v>523.38</v>
      </c>
      <c r="H55" s="29">
        <f t="shared" si="14"/>
        <v>523.38</v>
      </c>
      <c r="I55" s="29">
        <f t="shared" si="14"/>
        <v>523.38</v>
      </c>
      <c r="J55" s="29">
        <f t="shared" si="14"/>
        <v>523.38</v>
      </c>
      <c r="K55" s="29">
        <f t="shared" si="14"/>
        <v>523.38</v>
      </c>
      <c r="L55" s="29">
        <f t="shared" si="14"/>
        <v>523.38</v>
      </c>
      <c r="M55" s="29">
        <f t="shared" si="14"/>
        <v>523.38</v>
      </c>
      <c r="N55" s="29">
        <f t="shared" si="14"/>
        <v>872.3</v>
      </c>
      <c r="O55" s="29">
        <f t="shared" si="14"/>
        <v>872.3</v>
      </c>
      <c r="P55" s="29">
        <f t="shared" si="14"/>
        <v>1308.45</v>
      </c>
      <c r="Q55" s="29">
        <f t="shared" si="14"/>
        <v>743.93104499999993</v>
      </c>
      <c r="R55" s="29">
        <f t="shared" si="14"/>
        <v>758.80966589999991</v>
      </c>
      <c r="S55" s="29">
        <f t="shared" si="14"/>
        <v>773.98585921799997</v>
      </c>
      <c r="T55" s="29">
        <f t="shared" si="14"/>
        <v>789.46557640235994</v>
      </c>
      <c r="U55" s="29">
        <f t="shared" si="14"/>
        <v>805.25488793040722</v>
      </c>
      <c r="W55" s="954">
        <f>SUM(B55:U55)</f>
        <v>12419.987034450767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-92.2251014</v>
      </c>
      <c r="C56" s="29">
        <f>-B55</f>
        <v>-174.46</v>
      </c>
      <c r="D56" s="29">
        <f t="shared" ref="D56:U56" si="15">-C55</f>
        <v>-348.92</v>
      </c>
      <c r="E56" s="29">
        <f t="shared" si="15"/>
        <v>-436.15</v>
      </c>
      <c r="F56" s="29">
        <f t="shared" si="15"/>
        <v>-436.15</v>
      </c>
      <c r="G56" s="29">
        <f t="shared" si="15"/>
        <v>-436.15</v>
      </c>
      <c r="H56" s="29">
        <f t="shared" si="15"/>
        <v>-523.38</v>
      </c>
      <c r="I56" s="29">
        <f t="shared" si="15"/>
        <v>-523.38</v>
      </c>
      <c r="J56" s="29">
        <f t="shared" si="15"/>
        <v>-523.38</v>
      </c>
      <c r="K56" s="29">
        <f t="shared" si="15"/>
        <v>-523.38</v>
      </c>
      <c r="L56" s="29">
        <f t="shared" si="15"/>
        <v>-523.38</v>
      </c>
      <c r="M56" s="29">
        <f t="shared" si="15"/>
        <v>-523.38</v>
      </c>
      <c r="N56" s="29">
        <f t="shared" si="15"/>
        <v>-523.38</v>
      </c>
      <c r="O56" s="29">
        <f t="shared" si="15"/>
        <v>-872.3</v>
      </c>
      <c r="P56" s="29">
        <f t="shared" si="15"/>
        <v>-872.3</v>
      </c>
      <c r="Q56" s="29">
        <f t="shared" si="15"/>
        <v>-1308.45</v>
      </c>
      <c r="R56" s="29">
        <f t="shared" si="15"/>
        <v>-743.93104499999993</v>
      </c>
      <c r="S56" s="29">
        <f t="shared" si="15"/>
        <v>-758.80966589999991</v>
      </c>
      <c r="T56" s="29">
        <f t="shared" si="15"/>
        <v>-773.98585921799997</v>
      </c>
      <c r="U56" s="29">
        <f t="shared" si="15"/>
        <v>-789.46557640235994</v>
      </c>
      <c r="W56" s="954">
        <f>SUM(B56:U56)</f>
        <v>-11706.957247920362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-ENA_Debt!B77*ENA_Allocation!$E$12</f>
        <v>-16751.391210738668</v>
      </c>
      <c r="C57" s="1050">
        <f>-ENA_Debt!C77*ENA_Allocation!$E$12</f>
        <v>-16737.685095599714</v>
      </c>
      <c r="D57" s="1050">
        <f>-ENA_Debt!D77*ENA_Allocation!$E$12</f>
        <v>-16659.386573480904</v>
      </c>
      <c r="E57" s="1050">
        <f>-ENA_Debt!E77*ENA_Allocation!$E$12</f>
        <v>-16421.779474249419</v>
      </c>
      <c r="F57" s="1050">
        <f>-ENA_Debt!F77*ENA_Allocation!$E$12</f>
        <v>-17185.478305309542</v>
      </c>
      <c r="G57" s="1050">
        <f>-ENA_Debt!G77*ENA_Allocation!$E$12</f>
        <v>-17284.565919097964</v>
      </c>
      <c r="H57" s="1050">
        <f>-ENA_Debt!H77*ENA_Allocation!$E$12</f>
        <v>-17176.031804512022</v>
      </c>
      <c r="I57" s="1050">
        <f>-ENA_Debt!I77*ENA_Allocation!$E$12</f>
        <v>-17336.195920509166</v>
      </c>
      <c r="J57" s="1050">
        <f>-ENA_Debt!J77*ENA_Allocation!$E$12</f>
        <v>-17210.067790445381</v>
      </c>
      <c r="K57" s="1050">
        <f>-ENA_Debt!K77*ENA_Allocation!$E$12</f>
        <v>-17408.481617578913</v>
      </c>
      <c r="L57" s="1050">
        <f>-ENA_Debt!L77*ENA_Allocation!$E$12</f>
        <v>-17246.966587651044</v>
      </c>
      <c r="M57" s="1050">
        <f>-ENA_Debt!M77*ENA_Allocation!$E$12</f>
        <v>-16338.904169557536</v>
      </c>
      <c r="N57" s="1050">
        <f>-ENA_Debt!N77*ENA_Allocation!$E$12</f>
        <v>-15385.712719313937</v>
      </c>
      <c r="O57" s="1050">
        <f>-ENA_Debt!O77*ENA_Allocation!$E$12</f>
        <v>-14455.085785145382</v>
      </c>
      <c r="P57" s="1050">
        <f>-ENA_Debt!P77*ENA_Allocation!$E$12</f>
        <v>-13928.473415281369</v>
      </c>
      <c r="Q57" s="1050">
        <f>-ENA_Debt!Q77*ENA_Allocation!$E$12</f>
        <v>-13367.568080308951</v>
      </c>
      <c r="R57" s="1050">
        <f>-ENA_Debt!R77*ENA_Allocation!$E$12</f>
        <v>-12331.640071123518</v>
      </c>
      <c r="S57" s="1050">
        <f>-ENA_Debt!S77*ENA_Allocation!$E$12</f>
        <v>-9691.8921863199503</v>
      </c>
      <c r="T57" s="1050">
        <f>-ENA_Debt!T77*ENA_Allocation!$E$12</f>
        <v>-8854.3279455682514</v>
      </c>
      <c r="U57" s="1050">
        <f>-ENA_Debt!U77*ENA_Allocation!$E$12</f>
        <v>-7187.317408407439</v>
      </c>
      <c r="W57" s="954">
        <f>SUM(B57:U57)</f>
        <v>-298958.95208019903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6">SUM(B54:B57)</f>
        <v>5691.7815155812823</v>
      </c>
      <c r="C59" s="95">
        <f t="shared" si="16"/>
        <v>5591.1874817752687</v>
      </c>
      <c r="D59" s="95">
        <f t="shared" si="16"/>
        <v>5462.5824898485625</v>
      </c>
      <c r="E59" s="95">
        <f t="shared" si="16"/>
        <v>20317.618514586135</v>
      </c>
      <c r="F59" s="95">
        <f t="shared" si="16"/>
        <v>21484.346280835201</v>
      </c>
      <c r="G59" s="95">
        <f t="shared" si="16"/>
        <v>21875.638083577491</v>
      </c>
      <c r="H59" s="95">
        <f t="shared" si="16"/>
        <v>22393.387423790708</v>
      </c>
      <c r="I59" s="95">
        <f t="shared" si="16"/>
        <v>22734.675296607918</v>
      </c>
      <c r="J59" s="95">
        <f t="shared" si="16"/>
        <v>23367.292935286361</v>
      </c>
      <c r="K59" s="95">
        <f t="shared" si="16"/>
        <v>23680.436284135281</v>
      </c>
      <c r="L59" s="95">
        <f t="shared" si="16"/>
        <v>24629.981308799226</v>
      </c>
      <c r="M59" s="95">
        <f t="shared" si="16"/>
        <v>26339.814757763335</v>
      </c>
      <c r="N59" s="95">
        <f t="shared" si="16"/>
        <v>28104.392504773459</v>
      </c>
      <c r="O59" s="95">
        <f t="shared" si="16"/>
        <v>29516.063463473249</v>
      </c>
      <c r="P59" s="95">
        <f t="shared" si="16"/>
        <v>30881.647453376827</v>
      </c>
      <c r="Q59" s="95">
        <f t="shared" si="16"/>
        <v>31645.104771437938</v>
      </c>
      <c r="R59" s="95">
        <f t="shared" si="16"/>
        <v>33884.418629678075</v>
      </c>
      <c r="S59" s="95">
        <f t="shared" si="16"/>
        <v>37155.624158219616</v>
      </c>
      <c r="T59" s="95">
        <f t="shared" si="16"/>
        <v>38631.883214322821</v>
      </c>
      <c r="U59" s="95">
        <f t="shared" si="16"/>
        <v>40944.88485751707</v>
      </c>
      <c r="W59" s="954">
        <f>SUM(B59:U59)</f>
        <v>494332.76142538583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ht="15" outlineLevel="1">
      <c r="A61" s="15" t="s">
        <v>511</v>
      </c>
      <c r="B61" s="100">
        <f>-B103</f>
        <v>0</v>
      </c>
      <c r="C61" s="100">
        <f t="shared" ref="C61:U61" si="17">-C103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-161.69173726707015</v>
      </c>
      <c r="H61" s="100">
        <f t="shared" si="17"/>
        <v>-870.41092029008303</v>
      </c>
      <c r="I61" s="100">
        <f t="shared" si="17"/>
        <v>-933.65663295564309</v>
      </c>
      <c r="J61" s="100">
        <f t="shared" si="17"/>
        <v>-1008.2477902851151</v>
      </c>
      <c r="K61" s="100">
        <f t="shared" si="17"/>
        <v>-1085.0866694344293</v>
      </c>
      <c r="L61" s="100">
        <f t="shared" si="17"/>
        <v>-1183.6823860830862</v>
      </c>
      <c r="M61" s="100">
        <f t="shared" si="17"/>
        <v>-1284.9283114811863</v>
      </c>
      <c r="N61" s="100">
        <f t="shared" si="17"/>
        <v>-1371.21185784154</v>
      </c>
      <c r="O61" s="100">
        <f t="shared" si="17"/>
        <v>-1475.5032338237811</v>
      </c>
      <c r="P61" s="100">
        <f t="shared" si="17"/>
        <v>-1557.5579355580164</v>
      </c>
      <c r="Q61" s="100">
        <f t="shared" si="17"/>
        <v>-2084.8541469671281</v>
      </c>
      <c r="R61" s="100">
        <f t="shared" si="17"/>
        <v>-2580.9531781327078</v>
      </c>
      <c r="S61" s="100">
        <f t="shared" si="17"/>
        <v>-2677.4293322990247</v>
      </c>
      <c r="T61" s="100">
        <f t="shared" si="17"/>
        <v>-2765.9866642332358</v>
      </c>
      <c r="U61" s="100">
        <f t="shared" si="17"/>
        <v>-2854.8590255637228</v>
      </c>
      <c r="W61" s="954">
        <f>SUM(B61:U61)</f>
        <v>-23896.059822215771</v>
      </c>
    </row>
    <row r="62" spans="1:55" outlineLevel="1">
      <c r="A62" s="15" t="s">
        <v>512</v>
      </c>
      <c r="B62" s="91">
        <f>-ENA_Allocation!$E$12*ENA_Tax!B24</f>
        <v>0</v>
      </c>
      <c r="C62" s="91">
        <f>-ENA_Allocation!$E$12*ENA_Tax!C24</f>
        <v>0</v>
      </c>
      <c r="D62" s="91">
        <f>-ENA_Allocation!$E$12*ENA_Tax!D24</f>
        <v>0</v>
      </c>
      <c r="E62" s="91">
        <f>-ENA_Allocation!$E$12*ENA_Tax!E24</f>
        <v>0</v>
      </c>
      <c r="F62" s="91">
        <f>-ENA_Allocation!$E$12*ENA_Tax!F24</f>
        <v>0</v>
      </c>
      <c r="G62" s="91">
        <f>-ENA_Allocation!$E$12*ENA_Tax!G24</f>
        <v>0</v>
      </c>
      <c r="H62" s="91">
        <f>-ENA_Allocation!$E$12*ENA_Tax!H24</f>
        <v>-3752.771210680944</v>
      </c>
      <c r="I62" s="91">
        <f>-ENA_Allocation!$E$12*ENA_Tax!I24</f>
        <v>-5079.9560925520545</v>
      </c>
      <c r="J62" s="91">
        <f>-ENA_Allocation!$E$12*ENA_Tax!J24</f>
        <v>-5472.4921982520436</v>
      </c>
      <c r="K62" s="91">
        <f>-ENA_Allocation!$E$12*ENA_Tax!K24</f>
        <v>-5879.2325940043193</v>
      </c>
      <c r="L62" s="91">
        <f>-ENA_Allocation!$E$12*ENA_Tax!L24</f>
        <v>-6414.3780763176983</v>
      </c>
      <c r="M62" s="91">
        <f>-ENA_Allocation!$E$12*ENA_Tax!M24</f>
        <v>-6974.0650598916054</v>
      </c>
      <c r="N62" s="91">
        <f>-ENA_Allocation!$E$12*ENA_Tax!N24</f>
        <v>-7538.8256939675421</v>
      </c>
      <c r="O62" s="91">
        <f>-ENA_Allocation!$E$12*ENA_Tax!O24</f>
        <v>-8090.4578631548093</v>
      </c>
      <c r="P62" s="91">
        <f>-ENA_Allocation!$E$12*ENA_Tax!P24</f>
        <v>-8636.7795651373053</v>
      </c>
      <c r="Q62" s="91">
        <f>-ENA_Allocation!$E$12*ENA_Tax!Q24</f>
        <v>-11430.169347184388</v>
      </c>
      <c r="R62" s="91">
        <f>-ENA_Allocation!$E$12*ENA_Tax!R24</f>
        <v>-14211.007242492418</v>
      </c>
      <c r="S62" s="91">
        <f>-ENA_Allocation!$E$12*ENA_Tax!S24</f>
        <v>-14740.281037417748</v>
      </c>
      <c r="T62" s="91">
        <f>-ENA_Allocation!$E$12*ENA_Tax!T24</f>
        <v>-15226.324250746398</v>
      </c>
      <c r="U62" s="91">
        <f>-ENA_Allocation!$E$12*ENA_Tax!U24</f>
        <v>-15714.672814055208</v>
      </c>
      <c r="W62" s="954">
        <f>SUM(B62:U62)</f>
        <v>-129161.41304585448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8">B59+B62+B61</f>
        <v>5691.7815155812823</v>
      </c>
      <c r="C64" s="246">
        <f t="shared" si="18"/>
        <v>5591.1874817752687</v>
      </c>
      <c r="D64" s="246">
        <f t="shared" si="18"/>
        <v>5462.5824898485625</v>
      </c>
      <c r="E64" s="246">
        <f t="shared" si="18"/>
        <v>20317.618514586135</v>
      </c>
      <c r="F64" s="246">
        <f t="shared" si="18"/>
        <v>21484.346280835201</v>
      </c>
      <c r="G64" s="246">
        <f t="shared" si="18"/>
        <v>21713.946346310422</v>
      </c>
      <c r="H64" s="246">
        <f t="shared" si="18"/>
        <v>17770.205292819679</v>
      </c>
      <c r="I64" s="246">
        <f t="shared" si="18"/>
        <v>16721.062571100221</v>
      </c>
      <c r="J64" s="246">
        <f t="shared" si="18"/>
        <v>16886.552946749202</v>
      </c>
      <c r="K64" s="246">
        <f t="shared" si="18"/>
        <v>16716.117020696533</v>
      </c>
      <c r="L64" s="246">
        <f t="shared" si="18"/>
        <v>17031.920846398443</v>
      </c>
      <c r="M64" s="246">
        <f t="shared" si="18"/>
        <v>18080.821386390544</v>
      </c>
      <c r="N64" s="246">
        <f t="shared" si="18"/>
        <v>19194.354952964379</v>
      </c>
      <c r="O64" s="246">
        <f t="shared" si="18"/>
        <v>19950.102366494659</v>
      </c>
      <c r="P64" s="246">
        <f t="shared" si="18"/>
        <v>20687.309952681506</v>
      </c>
      <c r="Q64" s="246">
        <f t="shared" si="18"/>
        <v>18130.081277286419</v>
      </c>
      <c r="R64" s="246">
        <f t="shared" si="18"/>
        <v>17092.458209052951</v>
      </c>
      <c r="S64" s="246">
        <f t="shared" si="18"/>
        <v>19737.913788502843</v>
      </c>
      <c r="T64" s="246">
        <f t="shared" si="18"/>
        <v>20639.572299343188</v>
      </c>
      <c r="U64" s="246">
        <f t="shared" si="18"/>
        <v>22375.353017898138</v>
      </c>
      <c r="W64" s="954">
        <f>SUM(B64:U64)</f>
        <v>341275.28855731559</v>
      </c>
    </row>
    <row r="65" spans="1:23" outlineLevel="1">
      <c r="A65" s="30"/>
      <c r="B65" s="20"/>
      <c r="C65" s="24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 outlineLevel="1">
      <c r="A66" s="30"/>
      <c r="B66" s="20"/>
      <c r="C66" s="24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3" ht="18.75" outlineLevel="1">
      <c r="A68" s="19" t="s">
        <v>535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 outlineLevel="1">
      <c r="A76" s="21" t="s">
        <v>515</v>
      </c>
      <c r="B76" s="1053">
        <f>ENA_Depreciation!C38</f>
        <v>243595.31610358166</v>
      </c>
      <c r="C76" s="1053">
        <f>ENA_Depreciation!D38</f>
        <v>236061.44034780079</v>
      </c>
      <c r="D76" s="1053">
        <f>ENA_Depreciation!E38</f>
        <v>228527.56459201992</v>
      </c>
      <c r="E76" s="1053">
        <f>ENA_Depreciation!F38</f>
        <v>220993.68883623905</v>
      </c>
      <c r="F76" s="1053">
        <f>ENA_Depreciation!G38</f>
        <v>213459.81308045817</v>
      </c>
      <c r="G76" s="1053">
        <f>ENA_Depreciation!H38</f>
        <v>205925.9373246773</v>
      </c>
      <c r="H76" s="1053">
        <f>ENA_Depreciation!I38</f>
        <v>198392.06156889643</v>
      </c>
      <c r="I76" s="1053">
        <f>ENA_Depreciation!J38</f>
        <v>190858.18581311556</v>
      </c>
      <c r="J76" s="1053">
        <f>ENA_Depreciation!K38</f>
        <v>183324.31005733469</v>
      </c>
      <c r="K76" s="1053">
        <f>ENA_Depreciation!L38</f>
        <v>175790.43430155382</v>
      </c>
      <c r="L76" s="1053">
        <f>ENA_Depreciation!M38</f>
        <v>168256.55854577295</v>
      </c>
      <c r="M76" s="1053">
        <f>ENA_Depreciation!N38</f>
        <v>160722.68278999208</v>
      </c>
      <c r="N76" s="1053">
        <f>ENA_Depreciation!O38</f>
        <v>153188.8070342112</v>
      </c>
      <c r="O76" s="1053">
        <f>ENA_Depreciation!P38</f>
        <v>145654.93127843033</v>
      </c>
      <c r="P76" s="1053">
        <f>ENA_Depreciation!Q38</f>
        <v>138121.05552264946</v>
      </c>
      <c r="Q76" s="1053">
        <f>ENA_Depreciation!R38</f>
        <v>130587.17976686859</v>
      </c>
      <c r="R76" s="1053">
        <f>ENA_Depreciation!S38</f>
        <v>123053.30401108772</v>
      </c>
      <c r="S76" s="1053">
        <f>ENA_Depreciation!T38</f>
        <v>115519.42825530685</v>
      </c>
      <c r="T76" s="1053">
        <f>ENA_Depreciation!U38</f>
        <v>107985.55249952598</v>
      </c>
      <c r="U76" s="1053">
        <f>ENA_Depreciation!V38</f>
        <v>100451.67674374511</v>
      </c>
      <c r="W76" s="1054">
        <f t="shared" ref="W76:W84" si="19">SUM(B76:U76)</f>
        <v>3440469.9284732686</v>
      </c>
    </row>
    <row r="77" spans="1:23" outlineLevel="1">
      <c r="A77" s="8" t="s">
        <v>516</v>
      </c>
      <c r="B77" s="1053">
        <f>ENA_Allocation!$C$12*'ENA_Summary Output'!$C$8</f>
        <v>98518.171803053978</v>
      </c>
      <c r="C77" s="1053">
        <f>ENA_Allocation!$C$12*'ENA_Summary Output'!$C$8</f>
        <v>98518.171803053978</v>
      </c>
      <c r="D77" s="1053">
        <f>ENA_Allocation!$C$12*'ENA_Summary Output'!$C$8</f>
        <v>98518.171803053978</v>
      </c>
      <c r="E77" s="1053">
        <f>ENA_Allocation!$C$12*'ENA_Summary Output'!$C$8</f>
        <v>98518.171803053978</v>
      </c>
      <c r="F77" s="1053">
        <f>ENA_Allocation!$C$12*'ENA_Summary Output'!$C$8</f>
        <v>98518.171803053978</v>
      </c>
      <c r="G77" s="1053">
        <f>ENA_Allocation!$C$12*'ENA_Summary Output'!$C$8</f>
        <v>98518.171803053978</v>
      </c>
      <c r="H77" s="1053">
        <f>ENA_Allocation!$C$12*'ENA_Summary Output'!$C$8</f>
        <v>98518.171803053978</v>
      </c>
      <c r="I77" s="1053">
        <f>ENA_Allocation!$C$12*'ENA_Summary Output'!$C$8</f>
        <v>98518.171803053978</v>
      </c>
      <c r="J77" s="1053">
        <f>ENA_Allocation!$C$12*'ENA_Summary Output'!$C$8</f>
        <v>98518.171803053978</v>
      </c>
      <c r="K77" s="1053">
        <f>ENA_Allocation!$C$12*'ENA_Summary Output'!$C$8</f>
        <v>98518.171803053978</v>
      </c>
      <c r="L77" s="1053">
        <f>ENA_Allocation!$C$12*'ENA_Summary Output'!$C$8</f>
        <v>98518.171803053978</v>
      </c>
      <c r="M77" s="1053">
        <f>ENA_Allocation!$C$12*'ENA_Summary Output'!$C$8</f>
        <v>98518.171803053978</v>
      </c>
      <c r="N77" s="1053">
        <f>ENA_Allocation!$C$12*'ENA_Summary Output'!$C$8</f>
        <v>98518.171803053978</v>
      </c>
      <c r="O77" s="1053">
        <f>ENA_Allocation!$C$12*'ENA_Summary Output'!$C$8</f>
        <v>98518.171803053978</v>
      </c>
      <c r="P77" s="1053">
        <f>ENA_Allocation!$C$12*'ENA_Summary Output'!$C$8</f>
        <v>98518.171803053978</v>
      </c>
      <c r="Q77" s="1053">
        <f>ENA_Allocation!$C$12*'ENA_Summary Output'!$C$8</f>
        <v>98518.171803053978</v>
      </c>
      <c r="R77" s="1053">
        <f>ENA_Allocation!$C$12*'ENA_Summary Output'!$C$8</f>
        <v>98518.171803053978</v>
      </c>
      <c r="S77" s="1053">
        <f>ENA_Allocation!$C$12*'ENA_Summary Output'!$C$8</f>
        <v>98518.171803053978</v>
      </c>
      <c r="T77" s="1053">
        <f>ENA_Allocation!$C$12*'ENA_Summary Output'!$C$8</f>
        <v>98518.171803053978</v>
      </c>
      <c r="U77" s="1053">
        <f>ENA_Allocation!$C$12*'ENA_Summary Output'!$C$8</f>
        <v>98518.171803053978</v>
      </c>
      <c r="W77" s="1054">
        <f t="shared" si="19"/>
        <v>1970363.4360610789</v>
      </c>
    </row>
    <row r="78" spans="1:23" outlineLevel="1">
      <c r="A78" s="1055" t="s">
        <v>517</v>
      </c>
      <c r="B78" s="1056">
        <f>B44-B64-B12*(ENA_Assumptions!$G$39+(1-ENA_Assumptions!$G$39)*ENA_Assumptions!$G$38)</f>
        <v>-3203.1839911648844</v>
      </c>
      <c r="C78" s="1056">
        <f>C44-C64-C12*(ENA_Assumptions!$G$39+(1-ENA_Assumptions!$G$39)*ENA_Assumptions!$G$38)+B78</f>
        <v>-6303.2616595901509</v>
      </c>
      <c r="D78" s="1056">
        <f>D44-D64-D12*(ENA_Assumptions!$G$39+(1-ENA_Assumptions!$G$39)*ENA_Assumptions!$G$38)+C78</f>
        <v>-9166.3202555509561</v>
      </c>
      <c r="E78" s="1056">
        <f t="shared" ref="E78:U78" si="20">E44-E64+D78</f>
        <v>-19763.918759868018</v>
      </c>
      <c r="F78" s="1056">
        <f t="shared" si="20"/>
        <v>-30096.634342803616</v>
      </c>
      <c r="G78" s="1056">
        <f t="shared" si="20"/>
        <v>-40113.798218512718</v>
      </c>
      <c r="H78" s="1056">
        <f t="shared" si="20"/>
        <v>-45548.051155441171</v>
      </c>
      <c r="I78" s="1056">
        <f t="shared" si="20"/>
        <v>-49275.421966326132</v>
      </c>
      <c r="J78" s="1056">
        <f t="shared" si="20"/>
        <v>-52422.383764401369</v>
      </c>
      <c r="K78" s="1056">
        <f t="shared" si="20"/>
        <v>-54602.746486740332</v>
      </c>
      <c r="L78" s="1056">
        <f t="shared" si="20"/>
        <v>-56108.56721725547</v>
      </c>
      <c r="M78" s="1056">
        <f t="shared" si="20"/>
        <v>-57618.580250445637</v>
      </c>
      <c r="N78" s="1056">
        <f t="shared" si="20"/>
        <v>-59377.15996678645</v>
      </c>
      <c r="O78" s="1056">
        <f t="shared" si="20"/>
        <v>-60815.76602089197</v>
      </c>
      <c r="P78" s="1056">
        <f t="shared" si="20"/>
        <v>-62169.676512203798</v>
      </c>
      <c r="Q78" s="1056">
        <f t="shared" si="20"/>
        <v>-59634.458194130748</v>
      </c>
      <c r="R78" s="1056">
        <f t="shared" si="20"/>
        <v>-55047.407959314412</v>
      </c>
      <c r="S78" s="1056">
        <f t="shared" si="20"/>
        <v>-52123.364467354302</v>
      </c>
      <c r="T78" s="1056">
        <f t="shared" si="20"/>
        <v>-49199.170656037822</v>
      </c>
      <c r="U78" s="1056">
        <f t="shared" si="20"/>
        <v>-47105.740683727505</v>
      </c>
      <c r="W78" s="1054">
        <f t="shared" si="19"/>
        <v>-869695.61252854753</v>
      </c>
    </row>
    <row r="79" spans="1:23" outlineLevel="1">
      <c r="A79" s="1055" t="s">
        <v>518</v>
      </c>
      <c r="B79" s="1057">
        <f>ENA_Debt!B73*ENA_Allocation!$E$12</f>
        <v>125948.25183015436</v>
      </c>
      <c r="C79" s="1057">
        <f>ENA_Debt!C73*ENA_Allocation!$E$12</f>
        <v>123038.05073678908</v>
      </c>
      <c r="D79" s="1057">
        <f>ENA_Debt!D73*ENA_Allocation!$E$12</f>
        <v>119909.0375311407</v>
      </c>
      <c r="E79" s="1057">
        <f>ENA_Debt!E73*ENA_Allocation!$E$12</f>
        <v>116784.40056773799</v>
      </c>
      <c r="F79" s="1057">
        <f>ENA_Debt!F73*ENA_Allocation!$E$12</f>
        <v>112483.4296887013</v>
      </c>
      <c r="G79" s="1057">
        <f>ENA_Debt!G73*ENA_Allocation!$E$12</f>
        <v>107594.29185184764</v>
      </c>
      <c r="H79" s="1057">
        <f>ENA_Debt!H73*ENA_Allocation!$E$12</f>
        <v>102264.02879663125</v>
      </c>
      <c r="I79" s="1057">
        <f>ENA_Debt!I73*ENA_Allocation!$E$12</f>
        <v>96198.557044143614</v>
      </c>
      <c r="J79" s="1057">
        <f>ENA_Debt!J73*ENA_Allocation!$E$12</f>
        <v>89544.918333838999</v>
      </c>
      <c r="K79" s="1057">
        <f>ENA_Debt!K73*ENA_Allocation!$E$12</f>
        <v>81901.373627565627</v>
      </c>
      <c r="L79" s="1057">
        <f>ENA_Debt!L73*ENA_Allocation!$E$12</f>
        <v>73586.513360807701</v>
      </c>
      <c r="M79" s="1057">
        <f>ENA_Debt!M73*ENA_Allocation!$E$12</f>
        <v>65271.653094049769</v>
      </c>
      <c r="N79" s="1057">
        <f>ENA_Debt!N73*ENA_Allocation!$E$12</f>
        <v>56956.792827291836</v>
      </c>
      <c r="O79" s="1057">
        <f>ENA_Debt!O73*ENA_Allocation!$E$12</f>
        <v>48641.932560533904</v>
      </c>
      <c r="P79" s="1057">
        <f>ENA_Debt!P73*ENA_Allocation!$E$12</f>
        <v>39911.329280438076</v>
      </c>
      <c r="Q79" s="1057">
        <f>ENA_Debt!Q73*ENA_Allocation!$E$12</f>
        <v>30764.982987004347</v>
      </c>
      <c r="R79" s="1057">
        <f>ENA_Debt!R73*ENA_Allocation!$E$12</f>
        <v>21618.636693570625</v>
      </c>
      <c r="S79" s="1057">
        <f>ENA_Debt!S73*ENA_Allocation!$E$12</f>
        <v>14135.262453488485</v>
      </c>
      <c r="T79" s="1057">
        <f>ENA_Debt!T73*ENA_Allocation!$E$12</f>
        <v>6651.888213406346</v>
      </c>
      <c r="U79" s="1057">
        <f>ENA_Debt!U73*ENA_Allocation!$E$12</f>
        <v>-7.0050976795439438E-12</v>
      </c>
      <c r="W79" s="1054">
        <f t="shared" si="19"/>
        <v>1433205.331479142</v>
      </c>
    </row>
    <row r="80" spans="1:23" outlineLevel="1">
      <c r="A80" s="21" t="s">
        <v>519</v>
      </c>
      <c r="B80" s="1058">
        <f>SUM(B77:B79)</f>
        <v>221263.23964204345</v>
      </c>
      <c r="C80" s="1058">
        <f t="shared" ref="C80:U80" si="21">SUM(C77:C79)</f>
        <v>215252.96088025291</v>
      </c>
      <c r="D80" s="1058">
        <f t="shared" si="21"/>
        <v>209260.88907864373</v>
      </c>
      <c r="E80" s="1058">
        <f t="shared" si="21"/>
        <v>195538.65361092397</v>
      </c>
      <c r="F80" s="1058">
        <f t="shared" si="21"/>
        <v>180904.96714895166</v>
      </c>
      <c r="G80" s="1058">
        <f t="shared" si="21"/>
        <v>165998.6654363889</v>
      </c>
      <c r="H80" s="1058">
        <f t="shared" si="21"/>
        <v>155234.14944424405</v>
      </c>
      <c r="I80" s="1058">
        <f t="shared" si="21"/>
        <v>145441.30688087147</v>
      </c>
      <c r="J80" s="1058">
        <f t="shared" si="21"/>
        <v>135640.70637249161</v>
      </c>
      <c r="K80" s="1058">
        <f t="shared" si="21"/>
        <v>125816.79894387927</v>
      </c>
      <c r="L80" s="1058">
        <f t="shared" si="21"/>
        <v>115996.11794660622</v>
      </c>
      <c r="M80" s="1058">
        <f t="shared" si="21"/>
        <v>106171.2446466581</v>
      </c>
      <c r="N80" s="1058">
        <f t="shared" si="21"/>
        <v>96097.804663559364</v>
      </c>
      <c r="O80" s="1058">
        <f t="shared" si="21"/>
        <v>86344.338342695904</v>
      </c>
      <c r="P80" s="1058">
        <f t="shared" si="21"/>
        <v>76259.824571288249</v>
      </c>
      <c r="Q80" s="1058">
        <f t="shared" si="21"/>
        <v>69648.696595927584</v>
      </c>
      <c r="R80" s="1058">
        <f t="shared" si="21"/>
        <v>65089.40053731019</v>
      </c>
      <c r="S80" s="1058">
        <f t="shared" si="21"/>
        <v>60530.069789188157</v>
      </c>
      <c r="T80" s="1058">
        <f t="shared" si="21"/>
        <v>55970.889360422501</v>
      </c>
      <c r="U80" s="1058">
        <f t="shared" si="21"/>
        <v>51412.431119326466</v>
      </c>
      <c r="W80" s="1054">
        <f t="shared" si="19"/>
        <v>2533873.1550116735</v>
      </c>
    </row>
    <row r="81" spans="1:44" outlineLevel="1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/>
    </row>
    <row r="82" spans="1:44" outlineLevel="1">
      <c r="A82" s="21" t="s">
        <v>536</v>
      </c>
      <c r="B82" s="1058">
        <f>MAX(B80,B76)</f>
        <v>243595.31610358166</v>
      </c>
      <c r="C82" s="1058">
        <f t="shared" ref="C82:U82" si="22">MAX(C80,C76)</f>
        <v>236061.44034780079</v>
      </c>
      <c r="D82" s="1058">
        <f t="shared" si="22"/>
        <v>228527.56459201992</v>
      </c>
      <c r="E82" s="1058">
        <f t="shared" si="22"/>
        <v>220993.68883623905</v>
      </c>
      <c r="F82" s="1058">
        <f t="shared" si="22"/>
        <v>213459.81308045817</v>
      </c>
      <c r="G82" s="1058">
        <f t="shared" si="22"/>
        <v>205925.9373246773</v>
      </c>
      <c r="H82" s="1058">
        <f t="shared" si="22"/>
        <v>198392.06156889643</v>
      </c>
      <c r="I82" s="1058">
        <f t="shared" si="22"/>
        <v>190858.18581311556</v>
      </c>
      <c r="J82" s="1058">
        <f t="shared" si="22"/>
        <v>183324.31005733469</v>
      </c>
      <c r="K82" s="1058">
        <f t="shared" si="22"/>
        <v>175790.43430155382</v>
      </c>
      <c r="L82" s="1058">
        <f t="shared" si="22"/>
        <v>168256.55854577295</v>
      </c>
      <c r="M82" s="1058">
        <f t="shared" si="22"/>
        <v>160722.68278999208</v>
      </c>
      <c r="N82" s="1058">
        <f t="shared" si="22"/>
        <v>153188.8070342112</v>
      </c>
      <c r="O82" s="1058">
        <f t="shared" si="22"/>
        <v>145654.93127843033</v>
      </c>
      <c r="P82" s="1058">
        <f t="shared" si="22"/>
        <v>138121.05552264946</v>
      </c>
      <c r="Q82" s="1058">
        <f t="shared" si="22"/>
        <v>130587.17976686859</v>
      </c>
      <c r="R82" s="1058">
        <f t="shared" si="22"/>
        <v>123053.30401108772</v>
      </c>
      <c r="S82" s="1058">
        <f t="shared" si="22"/>
        <v>115519.42825530685</v>
      </c>
      <c r="T82" s="1058">
        <f t="shared" si="22"/>
        <v>107985.55249952598</v>
      </c>
      <c r="U82" s="1058">
        <f t="shared" si="22"/>
        <v>100451.67674374511</v>
      </c>
      <c r="W82" s="1054">
        <f t="shared" si="19"/>
        <v>3440469.9284732686</v>
      </c>
    </row>
    <row r="83" spans="1:44" outlineLevel="1">
      <c r="A83" s="1055" t="s">
        <v>521</v>
      </c>
      <c r="B83" s="1059">
        <f>ENA_Assumptions!$G$42</f>
        <v>2.5000000000000001E-3</v>
      </c>
      <c r="C83" s="1059">
        <f>ENA_Assumptions!$G$43</f>
        <v>2.5000000000000001E-3</v>
      </c>
      <c r="D83" s="1059">
        <f>ENA_Assumptions!$G$43</f>
        <v>2.5000000000000001E-3</v>
      </c>
      <c r="E83" s="1059">
        <f>ENA_Assumptions!$G$43</f>
        <v>2.5000000000000001E-3</v>
      </c>
      <c r="F83" s="1059">
        <f>ENA_Assumptions!$G$43</f>
        <v>2.5000000000000001E-3</v>
      </c>
      <c r="G83" s="1059">
        <f>ENA_Assumptions!$G$43</f>
        <v>2.5000000000000001E-3</v>
      </c>
      <c r="H83" s="1059">
        <f>ENA_Assumptions!$G$43</f>
        <v>2.5000000000000001E-3</v>
      </c>
      <c r="I83" s="1059">
        <f>ENA_Assumptions!$G$43</f>
        <v>2.5000000000000001E-3</v>
      </c>
      <c r="J83" s="1059">
        <f>ENA_Assumptions!$G$43</f>
        <v>2.5000000000000001E-3</v>
      </c>
      <c r="K83" s="1059">
        <f>ENA_Assumptions!$G$43</f>
        <v>2.5000000000000001E-3</v>
      </c>
      <c r="L83" s="1059">
        <f>ENA_Assumptions!$G$43</f>
        <v>2.5000000000000001E-3</v>
      </c>
      <c r="M83" s="1059">
        <f>ENA_Assumptions!$G$43</f>
        <v>2.5000000000000001E-3</v>
      </c>
      <c r="N83" s="1059">
        <f>ENA_Assumptions!$G$43</f>
        <v>2.5000000000000001E-3</v>
      </c>
      <c r="O83" s="1059">
        <f>ENA_Assumptions!$G$43</f>
        <v>2.5000000000000001E-3</v>
      </c>
      <c r="P83" s="1059">
        <f>ENA_Assumptions!$G$43</f>
        <v>2.5000000000000001E-3</v>
      </c>
      <c r="Q83" s="1059">
        <f>ENA_Assumptions!$G$43</f>
        <v>2.5000000000000001E-3</v>
      </c>
      <c r="R83" s="1059">
        <f>ENA_Assumptions!$G$43</f>
        <v>2.5000000000000001E-3</v>
      </c>
      <c r="S83" s="1059">
        <f>ENA_Assumptions!$G$43</f>
        <v>2.5000000000000001E-3</v>
      </c>
      <c r="T83" s="1059">
        <f>ENA_Assumptions!$G$43</f>
        <v>2.5000000000000001E-3</v>
      </c>
      <c r="U83" s="1059">
        <f>ENA_Assumptions!$G$43</f>
        <v>2.5000000000000001E-3</v>
      </c>
      <c r="W83" s="1054"/>
    </row>
    <row r="84" spans="1:44" outlineLevel="1">
      <c r="A84" s="291" t="s">
        <v>522</v>
      </c>
      <c r="B84" s="1060">
        <v>608.98829025895418</v>
      </c>
      <c r="C84" s="1060">
        <v>590.15360086950193</v>
      </c>
      <c r="D84" s="1060">
        <v>571.31891148004979</v>
      </c>
      <c r="E84" s="1060">
        <v>552.48422209059765</v>
      </c>
      <c r="F84" s="1060">
        <v>533.6495327011454</v>
      </c>
      <c r="G84" s="1060">
        <v>514.81484331169327</v>
      </c>
      <c r="H84" s="1060">
        <v>495.98015392224107</v>
      </c>
      <c r="I84" s="1060">
        <v>477.14546453278894</v>
      </c>
      <c r="J84" s="1060">
        <v>458.31077514333674</v>
      </c>
      <c r="K84" s="1060">
        <v>439.47608575388455</v>
      </c>
      <c r="L84" s="1060">
        <v>420.64139636443235</v>
      </c>
      <c r="M84" s="1060">
        <v>401.80670697498022</v>
      </c>
      <c r="N84" s="1060">
        <v>382.97201758552802</v>
      </c>
      <c r="O84" s="1060">
        <v>364.13732819607583</v>
      </c>
      <c r="P84" s="1060">
        <v>345.30263880662363</v>
      </c>
      <c r="Q84" s="1060">
        <v>326.4679494171715</v>
      </c>
      <c r="R84" s="1060">
        <v>307.6332600277193</v>
      </c>
      <c r="S84" s="1060">
        <v>288.79857063826711</v>
      </c>
      <c r="T84" s="1060">
        <v>269.96388124881497</v>
      </c>
      <c r="U84" s="1060">
        <v>251.12919185936278</v>
      </c>
      <c r="W84" s="1054">
        <f t="shared" si="19"/>
        <v>8601.1748211831709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outlineLevel="1">
      <c r="A85" s="1055"/>
      <c r="B85" s="1061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 outlineLevel="1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 outlineLevel="1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 outlineLevel="1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 outlineLevel="1">
      <c r="A89" s="598" t="s">
        <v>523</v>
      </c>
      <c r="B89" s="316">
        <f>B39-B12</f>
        <v>788.94105351089092</v>
      </c>
      <c r="C89" s="316">
        <f>C39-C12</f>
        <v>793.05281935967105</v>
      </c>
      <c r="D89" s="316">
        <f>D39-D12</f>
        <v>970.48993971606251</v>
      </c>
      <c r="E89" s="316">
        <f t="shared" ref="E89:U89" si="23">E39</f>
        <v>15908.379722207976</v>
      </c>
      <c r="F89" s="316">
        <f t="shared" si="23"/>
        <v>18251.441404091005</v>
      </c>
      <c r="G89" s="316">
        <f t="shared" si="23"/>
        <v>19143.670164650277</v>
      </c>
      <c r="H89" s="316">
        <f t="shared" si="23"/>
        <v>20189.77472322623</v>
      </c>
      <c r="I89" s="316">
        <f t="shared" si="23"/>
        <v>21266.271293314669</v>
      </c>
      <c r="J89" s="316">
        <f t="shared" si="23"/>
        <v>22487.055889810094</v>
      </c>
      <c r="K89" s="316">
        <f t="shared" si="23"/>
        <v>23790.105234627772</v>
      </c>
      <c r="L89" s="316">
        <f t="shared" si="23"/>
        <v>25410.96581977628</v>
      </c>
      <c r="M89" s="316">
        <f t="shared" si="23"/>
        <v>27120.799268740389</v>
      </c>
      <c r="N89" s="316">
        <f t="shared" si="23"/>
        <v>28536.457015750508</v>
      </c>
      <c r="O89" s="316">
        <f t="shared" si="23"/>
        <v>30297.047974450303</v>
      </c>
      <c r="P89" s="316">
        <f t="shared" si="23"/>
        <v>31642.224977691782</v>
      </c>
      <c r="Q89" s="316">
        <f t="shared" si="23"/>
        <v>33822.094264090782</v>
      </c>
      <c r="R89" s="316">
        <f t="shared" si="23"/>
        <v>35482.010546430916</v>
      </c>
      <c r="S89" s="316">
        <f t="shared" si="23"/>
        <v>37089.946449202871</v>
      </c>
      <c r="T89" s="316">
        <f t="shared" si="23"/>
        <v>38565.901981439718</v>
      </c>
      <c r="U89" s="316">
        <f t="shared" si="23"/>
        <v>40047.108003614499</v>
      </c>
      <c r="W89" s="1054">
        <f>SUM(B89:U89)</f>
        <v>471603.73854570277</v>
      </c>
    </row>
    <row r="90" spans="1:44" outlineLevel="1">
      <c r="A90" s="598" t="s">
        <v>502</v>
      </c>
      <c r="B90" s="316">
        <f>B33</f>
        <v>7533.8757557808767</v>
      </c>
      <c r="C90" s="316">
        <f t="shared" ref="C90:U90" si="24">C33</f>
        <v>7533.8757557808767</v>
      </c>
      <c r="D90" s="316">
        <f t="shared" si="24"/>
        <v>7533.8757557808767</v>
      </c>
      <c r="E90" s="316">
        <f t="shared" si="24"/>
        <v>7533.8757557808767</v>
      </c>
      <c r="F90" s="316">
        <f t="shared" si="24"/>
        <v>7533.8757557808767</v>
      </c>
      <c r="G90" s="316">
        <f t="shared" si="24"/>
        <v>7533.8757557808767</v>
      </c>
      <c r="H90" s="316">
        <f t="shared" si="24"/>
        <v>7533.8757557808767</v>
      </c>
      <c r="I90" s="316">
        <f t="shared" si="24"/>
        <v>7533.8757557808767</v>
      </c>
      <c r="J90" s="316">
        <f t="shared" si="24"/>
        <v>7533.8757557808767</v>
      </c>
      <c r="K90" s="316">
        <f t="shared" si="24"/>
        <v>7533.8757557808767</v>
      </c>
      <c r="L90" s="316">
        <f t="shared" si="24"/>
        <v>7533.8757557808767</v>
      </c>
      <c r="M90" s="316">
        <f t="shared" si="24"/>
        <v>7533.8757557808767</v>
      </c>
      <c r="N90" s="316">
        <f t="shared" si="24"/>
        <v>7533.8757557808767</v>
      </c>
      <c r="O90" s="316">
        <f t="shared" si="24"/>
        <v>7533.8757557808767</v>
      </c>
      <c r="P90" s="316">
        <f t="shared" si="24"/>
        <v>7533.8757557808767</v>
      </c>
      <c r="Q90" s="316">
        <f t="shared" si="24"/>
        <v>7533.8757557808767</v>
      </c>
      <c r="R90" s="316">
        <f t="shared" si="24"/>
        <v>7533.8757557808767</v>
      </c>
      <c r="S90" s="316">
        <f t="shared" si="24"/>
        <v>7533.8757557808767</v>
      </c>
      <c r="T90" s="316">
        <f t="shared" si="24"/>
        <v>7533.8757557808767</v>
      </c>
      <c r="U90" s="316">
        <f t="shared" si="24"/>
        <v>7533.8757557808767</v>
      </c>
      <c r="W90" s="1054">
        <f>SUM(B90:U90)</f>
        <v>150677.51511561748</v>
      </c>
    </row>
    <row r="91" spans="1:44" ht="15" outlineLevel="1">
      <c r="A91" s="598" t="s">
        <v>352</v>
      </c>
      <c r="B91" s="1062">
        <f>-ENA_Depreciation!C87</f>
        <v>-11200.679497886205</v>
      </c>
      <c r="C91" s="1062">
        <f>-ENA_Depreciation!D87</f>
        <v>-21281.291045983788</v>
      </c>
      <c r="D91" s="1062">
        <f>-ENA_Depreciation!E87</f>
        <v>-19153.16194138541</v>
      </c>
      <c r="E91" s="1062">
        <f>-ENA_Depreciation!F87</f>
        <v>-17249.046426744753</v>
      </c>
      <c r="F91" s="1062">
        <f>-ENA_Depreciation!G87</f>
        <v>-15524.14178407028</v>
      </c>
      <c r="G91" s="1062">
        <f>-ENA_Depreciation!H87</f>
        <v>-13956.046654366211</v>
      </c>
      <c r="H91" s="1062">
        <f>-ENA_Depreciation!I87</f>
        <v>-13216.801807505721</v>
      </c>
      <c r="I91" s="1062">
        <f>-ENA_Depreciation!J87</f>
        <v>-13239.203166501495</v>
      </c>
      <c r="J91" s="1062">
        <f>-ENA_Depreciation!K87</f>
        <v>-13216.801807505721</v>
      </c>
      <c r="K91" s="1062">
        <f>-ENA_Depreciation!L87</f>
        <v>-13239.203166501495</v>
      </c>
      <c r="L91" s="1062">
        <f>-ENA_Depreciation!M87</f>
        <v>-13216.801807505721</v>
      </c>
      <c r="M91" s="1062">
        <f>-ENA_Depreciation!N87</f>
        <v>-13239.203166501495</v>
      </c>
      <c r="N91" s="1062">
        <f>-ENA_Depreciation!O87</f>
        <v>-13216.801807505721</v>
      </c>
      <c r="O91" s="1062">
        <f>-ENA_Depreciation!P87</f>
        <v>-13239.203166501495</v>
      </c>
      <c r="P91" s="1062">
        <f>-ENA_Depreciation!Q87</f>
        <v>-13216.801807505721</v>
      </c>
      <c r="Q91" s="1062">
        <f>-ENA_Depreciation!R87</f>
        <v>-6608.4009037528604</v>
      </c>
      <c r="R91" s="1062">
        <f>-ENA_Depreciation!S87</f>
        <v>0</v>
      </c>
      <c r="S91" s="1062">
        <f>-ENA_Depreciation!T87</f>
        <v>0</v>
      </c>
      <c r="T91" s="1062">
        <f>-ENA_Depreciation!U87</f>
        <v>0</v>
      </c>
      <c r="U91" s="1062">
        <f>-ENA_Depreciation!V87</f>
        <v>0</v>
      </c>
      <c r="W91" s="1063">
        <f>SUM(B91:U91)</f>
        <v>-224013.58995772406</v>
      </c>
    </row>
    <row r="92" spans="1:44" outlineLevel="1">
      <c r="A92" s="318" t="s">
        <v>524</v>
      </c>
      <c r="B92" s="296">
        <f t="shared" ref="B92:U92" si="25">SUM(B89:B91)</f>
        <v>-2877.8626885944377</v>
      </c>
      <c r="C92" s="296">
        <f t="shared" si="25"/>
        <v>-12954.36247084324</v>
      </c>
      <c r="D92" s="296">
        <f t="shared" si="25"/>
        <v>-10648.79624588847</v>
      </c>
      <c r="E92" s="296">
        <f t="shared" si="25"/>
        <v>6193.2090512440991</v>
      </c>
      <c r="F92" s="296">
        <f t="shared" si="25"/>
        <v>10261.175375801604</v>
      </c>
      <c r="G92" s="296">
        <f t="shared" si="25"/>
        <v>12721.499266064944</v>
      </c>
      <c r="H92" s="296">
        <f t="shared" si="25"/>
        <v>14506.848671501384</v>
      </c>
      <c r="I92" s="296">
        <f t="shared" si="25"/>
        <v>15560.943882594052</v>
      </c>
      <c r="J92" s="296">
        <f t="shared" si="25"/>
        <v>16804.129838085253</v>
      </c>
      <c r="K92" s="296">
        <f t="shared" si="25"/>
        <v>18084.777823907156</v>
      </c>
      <c r="L92" s="296">
        <f t="shared" si="25"/>
        <v>19728.039768051436</v>
      </c>
      <c r="M92" s="296">
        <f t="shared" si="25"/>
        <v>21415.471858019773</v>
      </c>
      <c r="N92" s="296">
        <f t="shared" si="25"/>
        <v>22853.530964025667</v>
      </c>
      <c r="O92" s="296">
        <f t="shared" si="25"/>
        <v>24591.720563729687</v>
      </c>
      <c r="P92" s="296">
        <f t="shared" si="25"/>
        <v>25959.298925966941</v>
      </c>
      <c r="Q92" s="296">
        <f t="shared" si="25"/>
        <v>34747.569116118801</v>
      </c>
      <c r="R92" s="296">
        <f t="shared" si="25"/>
        <v>43015.886302211795</v>
      </c>
      <c r="S92" s="296">
        <f t="shared" si="25"/>
        <v>44623.82220498375</v>
      </c>
      <c r="T92" s="296">
        <f t="shared" si="25"/>
        <v>46099.777737220596</v>
      </c>
      <c r="U92" s="296">
        <f t="shared" si="25"/>
        <v>47580.983759395378</v>
      </c>
      <c r="W92" s="1054">
        <f>SUM(B92:U92)</f>
        <v>398267.66370359616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434</v>
      </c>
      <c r="B94" s="1064">
        <f>ENA_Assumptions!$G$39</f>
        <v>0.06</v>
      </c>
      <c r="C94" s="1064">
        <f>ENA_Assumptions!$G$39</f>
        <v>0.06</v>
      </c>
      <c r="D94" s="1064">
        <f>ENA_Assumptions!$G$39</f>
        <v>0.06</v>
      </c>
      <c r="E94" s="1064">
        <f>ENA_Assumptions!$G$39</f>
        <v>0.06</v>
      </c>
      <c r="F94" s="1064">
        <f>ENA_Assumptions!$G$39</f>
        <v>0.06</v>
      </c>
      <c r="G94" s="1064">
        <f>ENA_Assumptions!$G$39</f>
        <v>0.06</v>
      </c>
      <c r="H94" s="1064">
        <f>ENA_Assumptions!$G$39</f>
        <v>0.06</v>
      </c>
      <c r="I94" s="1064">
        <f>ENA_Assumptions!$G$39</f>
        <v>0.06</v>
      </c>
      <c r="J94" s="1064">
        <f>ENA_Assumptions!$G$39</f>
        <v>0.06</v>
      </c>
      <c r="K94" s="1064">
        <f>ENA_Assumptions!$G$39</f>
        <v>0.06</v>
      </c>
      <c r="L94" s="1064">
        <f>ENA_Assumptions!$G$39</f>
        <v>0.06</v>
      </c>
      <c r="M94" s="1064">
        <f>ENA_Assumptions!$G$39</f>
        <v>0.06</v>
      </c>
      <c r="N94" s="1064">
        <f>ENA_Assumptions!$G$39</f>
        <v>0.06</v>
      </c>
      <c r="O94" s="1064">
        <f>ENA_Assumptions!$G$39</f>
        <v>0.06</v>
      </c>
      <c r="P94" s="1064">
        <f>ENA_Assumptions!$G$39</f>
        <v>0.06</v>
      </c>
      <c r="Q94" s="1064">
        <f>ENA_Assumptions!$G$39</f>
        <v>0.06</v>
      </c>
      <c r="R94" s="1064">
        <f>ENA_Assumptions!$G$39</f>
        <v>0.06</v>
      </c>
      <c r="S94" s="1064">
        <f>ENA_Assumptions!$G$39</f>
        <v>0.06</v>
      </c>
      <c r="T94" s="1064">
        <f>ENA_Assumptions!$G$39</f>
        <v>0.06</v>
      </c>
      <c r="U94" s="1064">
        <f>ENA_Assumptions!$G$39</f>
        <v>0.06</v>
      </c>
    </row>
    <row r="95" spans="1:44" outlineLevel="1">
      <c r="A95" s="598" t="s">
        <v>262</v>
      </c>
      <c r="B95" s="316">
        <f>B92*B94</f>
        <v>-172.67176131566626</v>
      </c>
      <c r="C95" s="316">
        <f t="shared" ref="C95:U95" si="26">C92*C94</f>
        <v>-777.26174825059434</v>
      </c>
      <c r="D95" s="316">
        <f t="shared" si="26"/>
        <v>-638.9277747533082</v>
      </c>
      <c r="E95" s="316">
        <f t="shared" si="26"/>
        <v>371.59254307464596</v>
      </c>
      <c r="F95" s="316">
        <f t="shared" si="26"/>
        <v>615.67052254809619</v>
      </c>
      <c r="G95" s="316">
        <f t="shared" si="26"/>
        <v>763.28995596389666</v>
      </c>
      <c r="H95" s="316">
        <f t="shared" si="26"/>
        <v>870.41092029008303</v>
      </c>
      <c r="I95" s="316">
        <f t="shared" si="26"/>
        <v>933.65663295564309</v>
      </c>
      <c r="J95" s="316">
        <f t="shared" si="26"/>
        <v>1008.2477902851151</v>
      </c>
      <c r="K95" s="316">
        <f t="shared" si="26"/>
        <v>1085.0866694344293</v>
      </c>
      <c r="L95" s="316">
        <f t="shared" si="26"/>
        <v>1183.6823860830862</v>
      </c>
      <c r="M95" s="316">
        <f t="shared" si="26"/>
        <v>1284.9283114811863</v>
      </c>
      <c r="N95" s="316">
        <f t="shared" si="26"/>
        <v>1371.21185784154</v>
      </c>
      <c r="O95" s="316">
        <f t="shared" si="26"/>
        <v>1475.5032338237811</v>
      </c>
      <c r="P95" s="316">
        <f t="shared" si="26"/>
        <v>1557.5579355580164</v>
      </c>
      <c r="Q95" s="316">
        <f t="shared" si="26"/>
        <v>2084.8541469671281</v>
      </c>
      <c r="R95" s="316">
        <f t="shared" si="26"/>
        <v>2580.9531781327078</v>
      </c>
      <c r="S95" s="316">
        <f t="shared" si="26"/>
        <v>2677.4293322990247</v>
      </c>
      <c r="T95" s="316">
        <f t="shared" si="26"/>
        <v>2765.9866642332358</v>
      </c>
      <c r="U95" s="316">
        <f t="shared" si="26"/>
        <v>2854.8590255637228</v>
      </c>
    </row>
    <row r="96" spans="1:44" outlineLevel="1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outlineLevel="1">
      <c r="A97" s="598" t="s">
        <v>258</v>
      </c>
      <c r="B97" s="316">
        <v>0</v>
      </c>
      <c r="C97" s="316">
        <f t="shared" ref="C97:U97" si="27">B101</f>
        <v>172.67176131566626</v>
      </c>
      <c r="D97" s="316">
        <f t="shared" si="27"/>
        <v>949.93350956626057</v>
      </c>
      <c r="E97" s="316">
        <f t="shared" si="27"/>
        <v>1588.8612843195688</v>
      </c>
      <c r="F97" s="316">
        <f t="shared" si="27"/>
        <v>1217.2687412449227</v>
      </c>
      <c r="G97" s="316">
        <f t="shared" si="27"/>
        <v>601.59821869682651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 outlineLevel="1">
      <c r="A98" s="598" t="s">
        <v>259</v>
      </c>
      <c r="B98" s="319">
        <f t="shared" ref="B98:U98" si="28">IF(B68&gt;2020,0,IF(B95&lt;0,-B95,0))</f>
        <v>172.67176131566626</v>
      </c>
      <c r="C98" s="319">
        <f t="shared" si="28"/>
        <v>777.26174825059434</v>
      </c>
      <c r="D98" s="319">
        <f t="shared" si="28"/>
        <v>638.9277747533082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 outlineLevel="1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 outlineLevel="1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-371.59254307464596</v>
      </c>
      <c r="F100" s="330">
        <f t="shared" si="29"/>
        <v>-615.67052254809619</v>
      </c>
      <c r="G100" s="330">
        <f t="shared" si="29"/>
        <v>-601.59821869682651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 outlineLevel="1">
      <c r="A101" s="313" t="s">
        <v>261</v>
      </c>
      <c r="B101" s="330">
        <f t="shared" ref="B101:U101" si="30">SUM(B97:B100)</f>
        <v>172.67176131566626</v>
      </c>
      <c r="C101" s="330">
        <f t="shared" si="30"/>
        <v>949.93350956626057</v>
      </c>
      <c r="D101" s="330">
        <f t="shared" si="30"/>
        <v>1588.8612843195688</v>
      </c>
      <c r="E101" s="330">
        <f t="shared" si="30"/>
        <v>1217.2687412449227</v>
      </c>
      <c r="F101" s="330">
        <f t="shared" si="30"/>
        <v>601.59821869682651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 outlineLevel="1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outlineLevel="1" thickBot="1">
      <c r="A103" s="314" t="s">
        <v>221</v>
      </c>
      <c r="B103" s="635">
        <f>IF('NewCo_Summary Output'!$P$8=1,IF(B95&lt;0,0,B95+B100),B95)</f>
        <v>0</v>
      </c>
      <c r="C103" s="635">
        <f>IF('NewCo_Summary Output'!$P$8=1,IF(C95&lt;0,0,C95+C100),C95)</f>
        <v>0</v>
      </c>
      <c r="D103" s="635">
        <f>IF('NewCo_Summary Output'!$P$8=1,IF(D95&lt;0,0,D95+D100),D95)</f>
        <v>0</v>
      </c>
      <c r="E103" s="635">
        <f>IF('NewCo_Summary Output'!$P$8=1,IF(E95&lt;0,0,E95+E100),E95)</f>
        <v>0</v>
      </c>
      <c r="F103" s="635">
        <f>IF('NewCo_Summary Output'!$P$8=1,IF(F95&lt;0,0,F95+F100),F95)</f>
        <v>0</v>
      </c>
      <c r="G103" s="635">
        <f>IF('NewCo_Summary Output'!$P$8=1,IF(G95&lt;0,0,G95+G100),G95)</f>
        <v>161.69173726707015</v>
      </c>
      <c r="H103" s="635">
        <f>IF('NewCo_Summary Output'!$P$8=1,IF(H95&lt;0,0,H95+H100),H95)</f>
        <v>870.41092029008303</v>
      </c>
      <c r="I103" s="635">
        <f>IF('NewCo_Summary Output'!$P$8=1,IF(I95&lt;0,0,I95+I100),I95)</f>
        <v>933.65663295564309</v>
      </c>
      <c r="J103" s="635">
        <f>IF('NewCo_Summary Output'!$P$8=1,IF(J95&lt;0,0,J95+J100),J95)</f>
        <v>1008.2477902851151</v>
      </c>
      <c r="K103" s="635">
        <f>IF('NewCo_Summary Output'!$P$8=1,IF(K95&lt;0,0,K95+K100),K95)</f>
        <v>1085.0866694344293</v>
      </c>
      <c r="L103" s="635">
        <f>IF('NewCo_Summary Output'!$P$8=1,IF(L95&lt;0,0,L95+L100),L95)</f>
        <v>1183.6823860830862</v>
      </c>
      <c r="M103" s="635">
        <f>IF('NewCo_Summary Output'!$P$8=1,IF(M95&lt;0,0,M95+M100),M95)</f>
        <v>1284.9283114811863</v>
      </c>
      <c r="N103" s="635">
        <f>IF('NewCo_Summary Output'!$P$8=1,IF(N95&lt;0,0,N95+N100),N95)</f>
        <v>1371.21185784154</v>
      </c>
      <c r="O103" s="635">
        <f>IF('NewCo_Summary Output'!$P$8=1,IF(O95&lt;0,0,O95+O100),O95)</f>
        <v>1475.5032338237811</v>
      </c>
      <c r="P103" s="635">
        <f>IF('NewCo_Summary Output'!$P$8=1,IF(P95&lt;0,0,P95+P100),P95)</f>
        <v>1557.5579355580164</v>
      </c>
      <c r="Q103" s="635">
        <f>IF('NewCo_Summary Output'!$P$8=1,IF(Q95&lt;0,0,Q95+Q100),Q95)</f>
        <v>2084.8541469671281</v>
      </c>
      <c r="R103" s="635">
        <f>IF('NewCo_Summary Output'!$P$8=1,IF(R95&lt;0,0,R95+R100),R95)</f>
        <v>2580.9531781327078</v>
      </c>
      <c r="S103" s="635">
        <f>IF('NewCo_Summary Output'!$P$8=1,IF(S95&lt;0,0,S95+S100),S95)</f>
        <v>2677.4293322990247</v>
      </c>
      <c r="T103" s="635">
        <f>IF('NewCo_Summary Output'!$P$8=1,IF(T95&lt;0,0,T95+T100),T95)</f>
        <v>2765.9866642332358</v>
      </c>
      <c r="U103" s="635">
        <f>IF('NewCo_Summary Output'!$P$8=1,IF(U95&lt;0,0,U95+U100),U95)</f>
        <v>2854.8590255637228</v>
      </c>
      <c r="W103" s="1054">
        <f>SUM(B103:U103)</f>
        <v>23896.059822215771</v>
      </c>
    </row>
    <row r="104" spans="1:25" ht="12.75" customHeight="1" outlineLevel="1">
      <c r="A104" s="8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 ht="12.75" customHeight="1" outlineLevel="1">
      <c r="A105" s="8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2.75" customHeight="1" outlineLevel="1">
      <c r="A106" s="107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24"/>
      <c r="M106" s="24"/>
      <c r="N106" s="24"/>
      <c r="O106" s="24"/>
      <c r="P106" s="24"/>
      <c r="Q106" s="24"/>
      <c r="R106" s="24"/>
      <c r="S106" s="24"/>
      <c r="T106" s="24"/>
      <c r="U106" s="24"/>
    </row>
    <row r="107" spans="1:25" ht="12.75" customHeight="1" outlineLevel="1">
      <c r="A107" s="1065"/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</row>
    <row r="108" spans="1:25" ht="12.75" customHeight="1" outlineLevel="1">
      <c r="A108" s="42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-2877.8626885944377</v>
      </c>
      <c r="C111" s="296">
        <f t="shared" ref="C111:U111" si="31">C92</f>
        <v>-12954.36247084324</v>
      </c>
      <c r="D111" s="296">
        <f t="shared" si="31"/>
        <v>-10648.79624588847</v>
      </c>
      <c r="E111" s="296">
        <f t="shared" si="31"/>
        <v>6193.2090512440991</v>
      </c>
      <c r="F111" s="296">
        <f t="shared" si="31"/>
        <v>10261.175375801604</v>
      </c>
      <c r="G111" s="296">
        <f t="shared" si="31"/>
        <v>12721.499266064944</v>
      </c>
      <c r="H111" s="296">
        <f t="shared" si="31"/>
        <v>14506.848671501384</v>
      </c>
      <c r="I111" s="296">
        <f t="shared" si="31"/>
        <v>15560.943882594052</v>
      </c>
      <c r="J111" s="296">
        <f t="shared" si="31"/>
        <v>16804.129838085253</v>
      </c>
      <c r="K111" s="296">
        <f t="shared" si="31"/>
        <v>18084.777823907156</v>
      </c>
      <c r="L111" s="296">
        <f t="shared" si="31"/>
        <v>19728.039768051436</v>
      </c>
      <c r="M111" s="296">
        <f t="shared" si="31"/>
        <v>21415.471858019773</v>
      </c>
      <c r="N111" s="296">
        <f t="shared" si="31"/>
        <v>22853.530964025667</v>
      </c>
      <c r="O111" s="296">
        <f t="shared" si="31"/>
        <v>24591.720563729687</v>
      </c>
      <c r="P111" s="296">
        <f t="shared" si="31"/>
        <v>25959.298925966941</v>
      </c>
      <c r="Q111" s="296">
        <f t="shared" si="31"/>
        <v>34747.569116118801</v>
      </c>
      <c r="R111" s="296">
        <f t="shared" si="31"/>
        <v>43015.886302211795</v>
      </c>
      <c r="S111" s="296">
        <f t="shared" si="31"/>
        <v>44623.82220498375</v>
      </c>
      <c r="T111" s="296">
        <f t="shared" si="31"/>
        <v>46099.777737220596</v>
      </c>
      <c r="U111" s="296">
        <f t="shared" si="31"/>
        <v>47580.983759395378</v>
      </c>
      <c r="W111" s="1054">
        <f>SUM(B111:U111)</f>
        <v>398267.66370359616</v>
      </c>
      <c r="X111" s="1054">
        <f>W92</f>
        <v>398267.66370359616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Output'!$C$11*ENA_Allocation!$E$12*NewCo_IS!B13</f>
        <v>1811.602297381758</v>
      </c>
      <c r="C113" s="296">
        <f>'NewCo_Summary Output'!$C$11*ENA_Allocation!$E$12*NewCo_IS!C13</f>
        <v>1865.9503663032106</v>
      </c>
      <c r="D113" s="296">
        <f>'NewCo_Summary Output'!$C$11*ENA_Allocation!$E$12*NewCo_IS!D13</f>
        <v>1921.9288772923071</v>
      </c>
      <c r="E113" s="296">
        <f>'NewCo_Summary Output'!$C$11*ENA_Allocation!$E$12*NewCo_IS!E13</f>
        <v>1979.5867436110764</v>
      </c>
      <c r="F113" s="296">
        <f>'NewCo_Summary Output'!$C$11*ENA_Allocation!$E$12*NewCo_IS!F13</f>
        <v>2038.9743459194087</v>
      </c>
      <c r="G113" s="296">
        <f>'NewCo_Summary Output'!$C$11*ENA_Allocation!$E$12*NewCo_IS!G13</f>
        <v>2100.1435762969913</v>
      </c>
      <c r="H113" s="296">
        <f>'NewCo_Summary Output'!$C$11*ENA_Allocation!$E$12*NewCo_IS!H13</f>
        <v>2163.1478835859011</v>
      </c>
      <c r="I113" s="296">
        <f>'NewCo_Summary Output'!$C$11*ENA_Allocation!$E$12*NewCo_IS!I13</f>
        <v>2228.0423200934783</v>
      </c>
      <c r="J113" s="296">
        <f>'NewCo_Summary Output'!$C$11*ENA_Allocation!$E$12*NewCo_IS!J13</f>
        <v>2294.8835896962828</v>
      </c>
      <c r="K113" s="296">
        <f>'NewCo_Summary Output'!$C$11*ENA_Allocation!$E$12*NewCo_IS!K13</f>
        <v>2363.7300973871711</v>
      </c>
      <c r="L113" s="296">
        <f>'NewCo_Summary Output'!$C$11*ENA_Allocation!$E$12*NewCo_IS!L13</f>
        <v>2434.6420003087865</v>
      </c>
      <c r="M113" s="296">
        <f>'NewCo_Summary Output'!$C$11*ENA_Allocation!$E$12*NewCo_IS!M13</f>
        <v>2507.6812603180501</v>
      </c>
      <c r="N113" s="296">
        <f>'NewCo_Summary Output'!$C$11*ENA_Allocation!$E$12*NewCo_IS!N13</f>
        <v>2582.911698127592</v>
      </c>
      <c r="O113" s="296">
        <f>'NewCo_Summary Output'!$C$11*ENA_Allocation!$E$12*NewCo_IS!O13</f>
        <v>2660.3990490714195</v>
      </c>
      <c r="P113" s="296">
        <f>'NewCo_Summary Output'!$C$11*ENA_Allocation!$E$12*NewCo_IS!P13</f>
        <v>2740.2110205435624</v>
      </c>
      <c r="Q113" s="296">
        <f>'NewCo_Summary Output'!$C$11*ENA_Allocation!$E$12*NewCo_IS!Q13</f>
        <v>2822.4173511598692</v>
      </c>
      <c r="R113" s="296">
        <f>'NewCo_Summary Output'!$C$11*ENA_Allocation!$E$12*NewCo_IS!R13</f>
        <v>2907.0898716946654</v>
      </c>
      <c r="S113" s="296">
        <f>'NewCo_Summary Output'!$C$11*ENA_Allocation!$E$12*NewCo_IS!S13</f>
        <v>2994.3025678455056</v>
      </c>
      <c r="T113" s="296">
        <f>'NewCo_Summary Output'!$C$11*ENA_Allocation!$E$12*NewCo_IS!T13</f>
        <v>3084.1316448808707</v>
      </c>
      <c r="U113" s="296">
        <f>'NewCo_Summary Output'!$C$11*ENA_Allocation!$E$12*NewCo_IS!U13</f>
        <v>3176.6555942272971</v>
      </c>
      <c r="W113" s="1054">
        <f>SUM(B113:U113)</f>
        <v>48678.43215574522</v>
      </c>
      <c r="X113" s="1054">
        <f>NewCo_IS!X13*'NewCo_Summary Output'!C11*ENA_Allocation!E12</f>
        <v>48678.432155745206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-4689.4649859761957</v>
      </c>
      <c r="C115" s="296">
        <f t="shared" ref="C115:U115" si="32">C111-C113</f>
        <v>-14820.31283714645</v>
      </c>
      <c r="D115" s="296">
        <f t="shared" si="32"/>
        <v>-12570.725123180777</v>
      </c>
      <c r="E115" s="296">
        <f t="shared" si="32"/>
        <v>4213.6223076330225</v>
      </c>
      <c r="F115" s="296">
        <f t="shared" si="32"/>
        <v>8222.2010298821951</v>
      </c>
      <c r="G115" s="296">
        <f t="shared" si="32"/>
        <v>10621.355689767952</v>
      </c>
      <c r="H115" s="296">
        <f t="shared" si="32"/>
        <v>12343.700787915483</v>
      </c>
      <c r="I115" s="296">
        <f t="shared" si="32"/>
        <v>13332.901562500574</v>
      </c>
      <c r="J115" s="296">
        <f t="shared" si="32"/>
        <v>14509.24624838897</v>
      </c>
      <c r="K115" s="296">
        <f t="shared" si="32"/>
        <v>15721.047726519984</v>
      </c>
      <c r="L115" s="296">
        <f t="shared" si="32"/>
        <v>17293.397767742648</v>
      </c>
      <c r="M115" s="296">
        <f t="shared" si="32"/>
        <v>18907.790597701722</v>
      </c>
      <c r="N115" s="296">
        <f t="shared" si="32"/>
        <v>20270.619265898076</v>
      </c>
      <c r="O115" s="296">
        <f t="shared" si="32"/>
        <v>21931.321514658266</v>
      </c>
      <c r="P115" s="296">
        <f t="shared" si="32"/>
        <v>23219.087905423377</v>
      </c>
      <c r="Q115" s="296">
        <f t="shared" si="32"/>
        <v>31925.15176495893</v>
      </c>
      <c r="R115" s="296">
        <f t="shared" si="32"/>
        <v>40108.796430517126</v>
      </c>
      <c r="S115" s="296">
        <f t="shared" si="32"/>
        <v>41629.519637138241</v>
      </c>
      <c r="T115" s="296">
        <f t="shared" si="32"/>
        <v>43015.646092339724</v>
      </c>
      <c r="U115" s="296">
        <f t="shared" si="32"/>
        <v>44404.328165168081</v>
      </c>
      <c r="W115" s="1054">
        <f>SUM(B115:U115)</f>
        <v>349589.23154785088</v>
      </c>
      <c r="X115" s="1054">
        <f>X111-X113</f>
        <v>349589.23154785094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-281.36789915857173</v>
      </c>
      <c r="C118" s="316">
        <f t="shared" ref="C118:U118" si="34">C115*C117</f>
        <v>-889.21877022878698</v>
      </c>
      <c r="D118" s="316">
        <f t="shared" si="34"/>
        <v>-754.24350739084662</v>
      </c>
      <c r="E118" s="316">
        <f t="shared" si="34"/>
        <v>252.81733845798135</v>
      </c>
      <c r="F118" s="316">
        <f t="shared" si="34"/>
        <v>493.33206179293171</v>
      </c>
      <c r="G118" s="316">
        <f t="shared" si="34"/>
        <v>637.28134138607709</v>
      </c>
      <c r="H118" s="316">
        <f t="shared" si="34"/>
        <v>740.62204727492895</v>
      </c>
      <c r="I118" s="316">
        <f t="shared" si="34"/>
        <v>799.9740937500344</v>
      </c>
      <c r="J118" s="316">
        <f t="shared" si="34"/>
        <v>870.55477490333817</v>
      </c>
      <c r="K118" s="316">
        <f t="shared" si="34"/>
        <v>943.26286359119899</v>
      </c>
      <c r="L118" s="316">
        <f t="shared" si="34"/>
        <v>1037.6038660645588</v>
      </c>
      <c r="M118" s="316">
        <f t="shared" si="34"/>
        <v>1134.4674358621032</v>
      </c>
      <c r="N118" s="316">
        <f t="shared" si="34"/>
        <v>1216.2371559538844</v>
      </c>
      <c r="O118" s="316">
        <f t="shared" si="34"/>
        <v>1315.879290879496</v>
      </c>
      <c r="P118" s="316">
        <f t="shared" si="34"/>
        <v>1393.1452743254026</v>
      </c>
      <c r="Q118" s="316">
        <f t="shared" si="34"/>
        <v>1915.5091058975356</v>
      </c>
      <c r="R118" s="316">
        <f t="shared" si="34"/>
        <v>2406.5277858310274</v>
      </c>
      <c r="S118" s="316">
        <f t="shared" si="34"/>
        <v>2497.7711782282945</v>
      </c>
      <c r="T118" s="316">
        <f t="shared" si="34"/>
        <v>2580.9387655403834</v>
      </c>
      <c r="U118" s="316">
        <f t="shared" si="34"/>
        <v>2664.2596899100849</v>
      </c>
      <c r="W118" s="1054">
        <f>SUM(B118:U118)</f>
        <v>20975.353892871059</v>
      </c>
      <c r="X118" s="1054">
        <f>X115*U117</f>
        <v>20975.353892871055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M120" si="35">B124</f>
        <v>281.36789915857173</v>
      </c>
      <c r="D120" s="316">
        <f t="shared" si="35"/>
        <v>1170.5866693873586</v>
      </c>
      <c r="E120" s="316">
        <f t="shared" si="35"/>
        <v>1924.8301767782052</v>
      </c>
      <c r="F120" s="316">
        <f t="shared" si="35"/>
        <v>1672.0128383202239</v>
      </c>
      <c r="G120" s="316">
        <f t="shared" si="35"/>
        <v>1178.6807765272922</v>
      </c>
      <c r="H120" s="316">
        <f t="shared" si="35"/>
        <v>541.39943514121512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>M124</f>
        <v>0</v>
      </c>
      <c r="O120" s="316">
        <f>N124</f>
        <v>0</v>
      </c>
      <c r="P120" s="316">
        <f>O124</f>
        <v>0</v>
      </c>
      <c r="Q120" s="316">
        <f>P124</f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281.36789915857173</v>
      </c>
      <c r="C121" s="319">
        <f t="shared" si="36"/>
        <v>889.21877022878698</v>
      </c>
      <c r="D121" s="319">
        <f t="shared" si="36"/>
        <v>754.24350739084662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-252.81733845798135</v>
      </c>
      <c r="F123" s="330">
        <f t="shared" si="37"/>
        <v>-493.33206179293171</v>
      </c>
      <c r="G123" s="330">
        <f t="shared" si="37"/>
        <v>-637.28134138607709</v>
      </c>
      <c r="H123" s="330">
        <f t="shared" si="37"/>
        <v>-541.39943514121512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281.36789915857173</v>
      </c>
      <c r="C124" s="330">
        <f t="shared" si="38"/>
        <v>1170.5866693873586</v>
      </c>
      <c r="D124" s="330">
        <f t="shared" si="38"/>
        <v>1924.8301767782052</v>
      </c>
      <c r="E124" s="330">
        <f t="shared" si="38"/>
        <v>1672.0128383202239</v>
      </c>
      <c r="F124" s="330">
        <f t="shared" si="38"/>
        <v>1178.6807765272922</v>
      </c>
      <c r="G124" s="330">
        <f t="shared" si="38"/>
        <v>541.39943514121512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0</v>
      </c>
      <c r="H126" s="635">
        <f>IF('NewCo_Summary Output'!$P$8=1,IF(H118&lt;0,0,H118+H123),H118)</f>
        <v>199.22261213371382</v>
      </c>
      <c r="I126" s="635">
        <f>IF('NewCo_Summary Output'!$P$8=1,IF(I118&lt;0,0,I118+I123),I118)</f>
        <v>799.9740937500344</v>
      </c>
      <c r="J126" s="635">
        <f>IF('NewCo_Summary Output'!$P$8=1,IF(J118&lt;0,0,J118+J123),J118)</f>
        <v>870.55477490333817</v>
      </c>
      <c r="K126" s="635">
        <f>IF('NewCo_Summary Output'!$P$8=1,IF(K118&lt;0,0,K118+K123),K118)</f>
        <v>943.26286359119899</v>
      </c>
      <c r="L126" s="635">
        <f>IF('NewCo_Summary Output'!$P$8=1,IF(L118&lt;0,0,L118+L123),L118)</f>
        <v>1037.6038660645588</v>
      </c>
      <c r="M126" s="635">
        <f>IF('NewCo_Summary Output'!$P$8=1,IF(M118&lt;0,0,M118+M123),M118)</f>
        <v>1134.4674358621032</v>
      </c>
      <c r="N126" s="635">
        <f>IF('NewCo_Summary Output'!$P$8=1,IF(N118&lt;0,0,N118+N123),N118)</f>
        <v>1216.2371559538844</v>
      </c>
      <c r="O126" s="635">
        <f>IF('NewCo_Summary Output'!$P$8=1,IF(O118&lt;0,0,O118+O123),O118)</f>
        <v>1315.879290879496</v>
      </c>
      <c r="P126" s="635">
        <f>IF('NewCo_Summary Output'!$P$8=1,IF(P118&lt;0,0,P118+P123),P118)</f>
        <v>1393.1452743254026</v>
      </c>
      <c r="Q126" s="635">
        <f>IF('NewCo_Summary Output'!$P$8=1,IF(Q118&lt;0,0,Q118+Q123),Q118)</f>
        <v>1915.5091058975356</v>
      </c>
      <c r="R126" s="635">
        <f>IF('NewCo_Summary Output'!$P$8=1,IF(R118&lt;0,0,R118+R123),R118)</f>
        <v>2406.5277858310274</v>
      </c>
      <c r="S126" s="635">
        <f>IF('NewCo_Summary Output'!$P$8=1,IF(S118&lt;0,0,S118+S123),S118)</f>
        <v>2497.7711782282945</v>
      </c>
      <c r="T126" s="635">
        <f>IF('NewCo_Summary Output'!$P$8=1,IF(T118&lt;0,0,T118+T123),T118)</f>
        <v>2580.9387655403834</v>
      </c>
      <c r="U126" s="635">
        <f>IF('NewCo_Summary Output'!$P$8=1,IF(U118&lt;0,0,U118+U123),U118)</f>
        <v>2664.2596899100849</v>
      </c>
      <c r="W126" s="1054">
        <f>SUM(B126:U126)</f>
        <v>20975.353892871059</v>
      </c>
      <c r="X126" s="1054">
        <f>W118</f>
        <v>20975.353892871059</v>
      </c>
      <c r="Y126" s="1249">
        <f>W126-X126</f>
        <v>0</v>
      </c>
    </row>
    <row r="127" spans="1:25" outlineLevel="1">
      <c r="A127" s="44"/>
      <c r="B127" s="31"/>
      <c r="C127" s="31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 ht="14.25" customHeight="1" outlineLevel="1">
      <c r="A128" s="44"/>
      <c r="B128" s="31"/>
      <c r="C128" s="31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9827.4750207236993</v>
      </c>
      <c r="C131" s="93">
        <f t="shared" ref="C131:U131" si="39">C39</f>
        <v>9831.5867865724795</v>
      </c>
      <c r="D131" s="93">
        <f t="shared" si="39"/>
        <v>10009.023906928871</v>
      </c>
      <c r="E131" s="93">
        <f t="shared" si="39"/>
        <v>15908.379722207976</v>
      </c>
      <c r="F131" s="93">
        <f t="shared" si="39"/>
        <v>18251.441404091005</v>
      </c>
      <c r="G131" s="93">
        <f t="shared" si="39"/>
        <v>19143.670164650277</v>
      </c>
      <c r="H131" s="93">
        <f t="shared" si="39"/>
        <v>20189.77472322623</v>
      </c>
      <c r="I131" s="93">
        <f t="shared" si="39"/>
        <v>21266.271293314669</v>
      </c>
      <c r="J131" s="93">
        <f t="shared" si="39"/>
        <v>22487.055889810094</v>
      </c>
      <c r="K131" s="93">
        <f t="shared" si="39"/>
        <v>23790.105234627772</v>
      </c>
      <c r="L131" s="93">
        <f t="shared" si="39"/>
        <v>25410.96581977628</v>
      </c>
      <c r="M131" s="93">
        <f t="shared" si="39"/>
        <v>27120.799268740389</v>
      </c>
      <c r="N131" s="93">
        <f t="shared" si="39"/>
        <v>28536.457015750508</v>
      </c>
      <c r="O131" s="93">
        <f t="shared" si="39"/>
        <v>30297.047974450303</v>
      </c>
      <c r="P131" s="93">
        <f t="shared" si="39"/>
        <v>31642.224977691782</v>
      </c>
      <c r="Q131" s="93">
        <f t="shared" si="39"/>
        <v>33822.094264090782</v>
      </c>
      <c r="R131" s="93">
        <f t="shared" si="39"/>
        <v>35482.010546430916</v>
      </c>
      <c r="S131" s="93">
        <f t="shared" si="39"/>
        <v>37089.946449202871</v>
      </c>
      <c r="T131" s="93">
        <f t="shared" si="39"/>
        <v>38565.901981439718</v>
      </c>
      <c r="U131" s="93">
        <f t="shared" si="39"/>
        <v>40047.108003614499</v>
      </c>
      <c r="W131" s="1054">
        <f>SUM(B131:U131)</f>
        <v>498719.34044734109</v>
      </c>
      <c r="X131" s="1054">
        <f>W39</f>
        <v>498719.34044734109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1811.602297381758</v>
      </c>
      <c r="C133" s="90">
        <f t="shared" ref="C133:U133" si="40">C113</f>
        <v>1865.9503663032106</v>
      </c>
      <c r="D133" s="90">
        <f t="shared" si="40"/>
        <v>1921.9288772923071</v>
      </c>
      <c r="E133" s="90">
        <f t="shared" si="40"/>
        <v>1979.5867436110764</v>
      </c>
      <c r="F133" s="90">
        <f t="shared" si="40"/>
        <v>2038.9743459194087</v>
      </c>
      <c r="G133" s="90">
        <f t="shared" si="40"/>
        <v>2100.1435762969913</v>
      </c>
      <c r="H133" s="90">
        <f t="shared" si="40"/>
        <v>2163.1478835859011</v>
      </c>
      <c r="I133" s="90">
        <f t="shared" si="40"/>
        <v>2228.0423200934783</v>
      </c>
      <c r="J133" s="90">
        <f t="shared" si="40"/>
        <v>2294.8835896962828</v>
      </c>
      <c r="K133" s="90">
        <f t="shared" si="40"/>
        <v>2363.7300973871711</v>
      </c>
      <c r="L133" s="90">
        <f t="shared" si="40"/>
        <v>2434.6420003087865</v>
      </c>
      <c r="M133" s="90">
        <f t="shared" si="40"/>
        <v>2507.6812603180501</v>
      </c>
      <c r="N133" s="90">
        <f t="shared" si="40"/>
        <v>2582.911698127592</v>
      </c>
      <c r="O133" s="90">
        <f t="shared" si="40"/>
        <v>2660.3990490714195</v>
      </c>
      <c r="P133" s="90">
        <f t="shared" si="40"/>
        <v>2740.2110205435624</v>
      </c>
      <c r="Q133" s="90">
        <f t="shared" si="40"/>
        <v>2822.4173511598692</v>
      </c>
      <c r="R133" s="90">
        <f t="shared" si="40"/>
        <v>2907.0898716946654</v>
      </c>
      <c r="S133" s="90">
        <f t="shared" si="40"/>
        <v>2994.3025678455056</v>
      </c>
      <c r="T133" s="90">
        <f t="shared" si="40"/>
        <v>3084.1316448808707</v>
      </c>
      <c r="U133" s="90">
        <f t="shared" si="40"/>
        <v>3176.6555942272971</v>
      </c>
      <c r="W133" s="1054">
        <f>SUM(B133:U133)</f>
        <v>48678.43215574522</v>
      </c>
      <c r="X133" s="1054">
        <f>NewCo_IS!X13*'NewCo_Summary Output'!C11*ENA_Allocation!E12</f>
        <v>48678.432155745206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8015.8727233419413</v>
      </c>
      <c r="C135" s="93">
        <f t="shared" ref="C135:U135" si="41">C131-C133</f>
        <v>7965.6364202692694</v>
      </c>
      <c r="D135" s="93">
        <f t="shared" si="41"/>
        <v>8087.0950296365636</v>
      </c>
      <c r="E135" s="93">
        <f t="shared" si="41"/>
        <v>13928.792978596899</v>
      </c>
      <c r="F135" s="93">
        <f t="shared" si="41"/>
        <v>16212.467058171596</v>
      </c>
      <c r="G135" s="93">
        <f t="shared" si="41"/>
        <v>17043.526588353285</v>
      </c>
      <c r="H135" s="93">
        <f t="shared" si="41"/>
        <v>18026.626839640328</v>
      </c>
      <c r="I135" s="93">
        <f t="shared" si="41"/>
        <v>19038.22897322119</v>
      </c>
      <c r="J135" s="93">
        <f t="shared" si="41"/>
        <v>20192.172300113809</v>
      </c>
      <c r="K135" s="93">
        <f t="shared" si="41"/>
        <v>21426.3751372406</v>
      </c>
      <c r="L135" s="93">
        <f t="shared" si="41"/>
        <v>22976.323819467492</v>
      </c>
      <c r="M135" s="93">
        <f t="shared" si="41"/>
        <v>24613.118008422338</v>
      </c>
      <c r="N135" s="93">
        <f t="shared" si="41"/>
        <v>25953.545317622917</v>
      </c>
      <c r="O135" s="93">
        <f t="shared" si="41"/>
        <v>27636.648925378882</v>
      </c>
      <c r="P135" s="93">
        <f t="shared" si="41"/>
        <v>28902.013957148218</v>
      </c>
      <c r="Q135" s="93">
        <f t="shared" si="41"/>
        <v>30999.67691293091</v>
      </c>
      <c r="R135" s="93">
        <f t="shared" si="41"/>
        <v>32574.920674736251</v>
      </c>
      <c r="S135" s="93">
        <f t="shared" si="41"/>
        <v>34095.643881357362</v>
      </c>
      <c r="T135" s="93">
        <f t="shared" si="41"/>
        <v>35481.770336558846</v>
      </c>
      <c r="U135" s="93">
        <f t="shared" si="41"/>
        <v>36870.452409387202</v>
      </c>
      <c r="W135" s="1054">
        <f>SUM(B135:U135)</f>
        <v>450040.90829159593</v>
      </c>
      <c r="X135" s="1054">
        <f>X131-X133</f>
        <v>450040.90829159587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 t="shared" ref="B137:U137" si="42">-B117*B135</f>
        <v>-480.95236340051645</v>
      </c>
      <c r="C137" s="90">
        <f t="shared" si="42"/>
        <v>-477.93818521615617</v>
      </c>
      <c r="D137" s="90">
        <f t="shared" si="42"/>
        <v>-485.22570177819381</v>
      </c>
      <c r="E137" s="90">
        <f t="shared" si="42"/>
        <v>-835.72757871581393</v>
      </c>
      <c r="F137" s="90">
        <f t="shared" si="42"/>
        <v>-972.74802349029574</v>
      </c>
      <c r="G137" s="90">
        <f t="shared" si="42"/>
        <v>-1022.6115953011971</v>
      </c>
      <c r="H137" s="90">
        <f t="shared" si="42"/>
        <v>-1081.5976103784196</v>
      </c>
      <c r="I137" s="90">
        <f t="shared" si="42"/>
        <v>-1142.2937383932713</v>
      </c>
      <c r="J137" s="90">
        <f t="shared" si="42"/>
        <v>-1211.5303380068285</v>
      </c>
      <c r="K137" s="90">
        <f t="shared" si="42"/>
        <v>-1285.5825082344361</v>
      </c>
      <c r="L137" s="90">
        <f t="shared" si="42"/>
        <v>-1378.5794291680495</v>
      </c>
      <c r="M137" s="90">
        <f t="shared" si="42"/>
        <v>-1476.7870805053403</v>
      </c>
      <c r="N137" s="90">
        <f t="shared" si="42"/>
        <v>-1557.2127190573749</v>
      </c>
      <c r="O137" s="90">
        <f t="shared" si="42"/>
        <v>-1658.1989355227329</v>
      </c>
      <c r="P137" s="90">
        <f t="shared" si="42"/>
        <v>-1734.1208374288931</v>
      </c>
      <c r="Q137" s="90">
        <f t="shared" si="42"/>
        <v>-1859.9806147758545</v>
      </c>
      <c r="R137" s="90">
        <f t="shared" si="42"/>
        <v>-1954.4952404841749</v>
      </c>
      <c r="S137" s="90">
        <f t="shared" si="42"/>
        <v>-2045.7386328814416</v>
      </c>
      <c r="T137" s="90">
        <f t="shared" si="42"/>
        <v>-2128.9062201935308</v>
      </c>
      <c r="U137" s="90">
        <f t="shared" si="42"/>
        <v>-2212.2271445632323</v>
      </c>
      <c r="W137" s="1054">
        <f>SUM(B137:U137)</f>
        <v>-27002.454497495753</v>
      </c>
      <c r="X137" s="1054">
        <f>-X135*U117</f>
        <v>-27002.45449749575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ht="18.75" outlineLevel="1">
      <c r="A138" s="1067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</row>
    <row r="139" spans="1:55" outlineLevel="1">
      <c r="A139" s="2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</row>
    <row r="140" spans="1:55" outlineLevel="1">
      <c r="A140" s="2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</row>
    <row r="141" spans="1:55" outlineLevel="1">
      <c r="A141" s="8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8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3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55" outlineLevel="1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2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31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3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3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3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31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31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4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3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5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2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3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4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1066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5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2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4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4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4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44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4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4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8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</row>
    <row r="187" spans="1:21" outlineLevel="1">
      <c r="A187" s="8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</row>
    <row r="188" spans="1:21" outlineLevel="1">
      <c r="A188" s="8"/>
      <c r="B188" s="8"/>
      <c r="C188" s="8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</row>
    <row r="189" spans="1:21" ht="18.75" outlineLevel="1">
      <c r="A189" s="106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3"/>
      <c r="B193" s="11"/>
      <c r="C193" s="11"/>
      <c r="D193" s="11"/>
      <c r="E193" s="11"/>
      <c r="F193" s="11"/>
      <c r="G193" s="11"/>
      <c r="H193" s="11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4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4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21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48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21"/>
      <c r="B238" s="8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21"/>
      <c r="B239" s="8"/>
      <c r="C239" s="24"/>
      <c r="D239" s="24"/>
      <c r="E239" s="24"/>
      <c r="F239" s="24"/>
      <c r="G239" s="24"/>
      <c r="H239" s="24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24"/>
      <c r="D240" s="24"/>
      <c r="E240" s="24"/>
      <c r="F240" s="24"/>
      <c r="G240" s="24"/>
      <c r="H240" s="24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ht="18.75" outlineLevel="1">
      <c r="A242" s="106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s="54" customFormat="1" outlineLevel="1">
      <c r="A246" s="53"/>
    </row>
    <row r="247" spans="1:21" outlineLevel="1">
      <c r="A247" s="21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7"/>
      <c r="D250" s="57"/>
      <c r="E250" s="57"/>
      <c r="F250" s="57"/>
      <c r="G250" s="57"/>
      <c r="H250" s="57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3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59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59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59"/>
      <c r="B256" s="8"/>
      <c r="C256" s="24"/>
      <c r="D256" s="24"/>
      <c r="E256" s="24"/>
      <c r="F256" s="24"/>
      <c r="G256" s="24"/>
      <c r="H256" s="24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59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60"/>
      <c r="D258" s="60"/>
      <c r="E258" s="60"/>
      <c r="F258" s="60"/>
      <c r="G258" s="60"/>
      <c r="H258" s="60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59"/>
      <c r="B259" s="8"/>
      <c r="C259" s="61"/>
      <c r="D259" s="61"/>
      <c r="E259" s="61"/>
      <c r="F259" s="61"/>
      <c r="G259" s="61"/>
      <c r="H259" s="61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59"/>
      <c r="B260" s="8"/>
      <c r="C260" s="61"/>
      <c r="D260" s="61"/>
      <c r="E260" s="61"/>
      <c r="F260" s="61"/>
      <c r="G260" s="61"/>
      <c r="H260" s="61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59"/>
      <c r="B261" s="8"/>
      <c r="C261" s="61"/>
      <c r="D261" s="61"/>
      <c r="E261" s="61"/>
      <c r="F261" s="61"/>
      <c r="G261" s="61"/>
      <c r="H261" s="61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59"/>
      <c r="B262" s="8"/>
      <c r="C262" s="61"/>
      <c r="D262" s="61"/>
      <c r="E262" s="61"/>
      <c r="F262" s="61"/>
      <c r="G262" s="61"/>
      <c r="H262" s="61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9"/>
      <c r="B263" s="8"/>
      <c r="C263" s="60"/>
      <c r="D263" s="60"/>
      <c r="E263" s="60"/>
      <c r="F263" s="60"/>
      <c r="G263" s="60"/>
      <c r="H263" s="60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8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62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21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55"/>
      <c r="D271" s="55"/>
      <c r="E271" s="55"/>
      <c r="F271" s="55"/>
      <c r="G271" s="55"/>
      <c r="H271" s="55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55"/>
      <c r="D273" s="55"/>
      <c r="E273" s="55"/>
      <c r="F273" s="55"/>
      <c r="G273" s="55"/>
      <c r="H273" s="55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62"/>
      <c r="C274" s="55"/>
      <c r="D274" s="55"/>
      <c r="E274" s="55"/>
      <c r="F274" s="55"/>
      <c r="G274" s="55"/>
      <c r="H274" s="5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8"/>
      <c r="B275" s="8"/>
      <c r="C275" s="55"/>
      <c r="D275" s="55"/>
      <c r="E275" s="55"/>
      <c r="F275" s="55"/>
      <c r="G275" s="55"/>
      <c r="H275" s="5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55"/>
      <c r="D276" s="55"/>
      <c r="E276" s="55"/>
      <c r="F276" s="55"/>
      <c r="G276" s="55"/>
      <c r="H276" s="5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55"/>
      <c r="D277" s="55"/>
      <c r="E277" s="55"/>
      <c r="F277" s="55"/>
      <c r="G277" s="55"/>
      <c r="H277" s="5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55"/>
      <c r="D278" s="55"/>
      <c r="E278" s="55"/>
      <c r="F278" s="55"/>
      <c r="G278" s="55"/>
      <c r="H278" s="5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8"/>
      <c r="C279" s="55"/>
      <c r="D279" s="55"/>
      <c r="E279" s="55"/>
      <c r="F279" s="55"/>
      <c r="G279" s="55"/>
      <c r="H279" s="55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55"/>
      <c r="D280" s="55"/>
      <c r="E280" s="55"/>
      <c r="F280" s="55"/>
      <c r="G280" s="55"/>
      <c r="H280" s="55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21"/>
      <c r="B282" s="63"/>
      <c r="C282" s="63"/>
      <c r="D282" s="63"/>
      <c r="E282" s="63"/>
      <c r="F282" s="63"/>
      <c r="G282" s="63"/>
      <c r="H282" s="6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21"/>
      <c r="B283" s="62"/>
      <c r="C283" s="63"/>
      <c r="D283" s="63"/>
      <c r="E283" s="63"/>
      <c r="F283" s="63"/>
      <c r="G283" s="63"/>
      <c r="H283" s="6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21"/>
      <c r="B284" s="63"/>
      <c r="C284" s="63"/>
      <c r="D284" s="63"/>
      <c r="E284" s="63"/>
      <c r="F284" s="63"/>
      <c r="G284" s="63"/>
      <c r="H284" s="6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21"/>
      <c r="B285" s="8"/>
      <c r="C285" s="63"/>
      <c r="D285" s="63"/>
      <c r="E285" s="63"/>
      <c r="F285" s="63"/>
      <c r="G285" s="63"/>
      <c r="H285" s="6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21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21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49"/>
      <c r="D290" s="49"/>
      <c r="E290" s="49"/>
      <c r="F290" s="49"/>
      <c r="G290" s="49"/>
      <c r="H290" s="49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63"/>
      <c r="D291" s="63"/>
      <c r="E291" s="63"/>
      <c r="F291" s="63"/>
      <c r="G291" s="63"/>
      <c r="H291" s="6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64"/>
      <c r="D292" s="64"/>
      <c r="E292" s="64"/>
      <c r="F292" s="64"/>
      <c r="G292" s="64"/>
      <c r="H292" s="64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8"/>
      <c r="B293" s="8"/>
      <c r="C293" s="49"/>
      <c r="D293" s="49"/>
      <c r="E293" s="49"/>
      <c r="F293" s="49"/>
      <c r="G293" s="49"/>
      <c r="H293" s="49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8"/>
      <c r="B294" s="8"/>
      <c r="C294" s="64"/>
      <c r="D294" s="64"/>
      <c r="E294" s="64"/>
      <c r="F294" s="64"/>
      <c r="G294" s="64"/>
      <c r="H294" s="64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65"/>
      <c r="D295" s="65"/>
      <c r="E295" s="65"/>
      <c r="F295" s="65"/>
      <c r="G295" s="65"/>
      <c r="H295" s="6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65"/>
      <c r="D296" s="65"/>
      <c r="E296" s="65"/>
      <c r="F296" s="65"/>
      <c r="G296" s="65"/>
      <c r="H296" s="65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hidden="1" outlineLevel="2">
      <c r="A297" s="1067"/>
      <c r="B297" s="8"/>
      <c r="C297" s="65"/>
      <c r="D297" s="65"/>
      <c r="E297" s="65"/>
      <c r="F297" s="65"/>
      <c r="G297" s="65"/>
      <c r="H297" s="65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hidden="1" outlineLevel="2">
      <c r="A298" s="21"/>
      <c r="B298" s="8"/>
      <c r="C298" s="65"/>
      <c r="D298" s="65"/>
      <c r="E298" s="65"/>
      <c r="F298" s="65"/>
      <c r="G298" s="65"/>
      <c r="H298" s="65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hidden="1" outlineLevel="2">
      <c r="A299" s="8"/>
      <c r="B299" s="8"/>
      <c r="C299" s="65"/>
      <c r="D299" s="65"/>
      <c r="E299" s="65"/>
      <c r="F299" s="65"/>
      <c r="G299" s="65"/>
      <c r="H299" s="65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hidden="1" outlineLevel="2">
      <c r="A300" s="21"/>
      <c r="B300" s="13"/>
      <c r="C300" s="13"/>
      <c r="D300" s="12"/>
      <c r="E300" s="12"/>
      <c r="F300" s="13"/>
      <c r="G300" s="13"/>
      <c r="H300" s="12"/>
      <c r="I300" s="13"/>
      <c r="J300" s="13"/>
      <c r="K300" s="13"/>
      <c r="L300" s="12"/>
      <c r="M300" s="13"/>
      <c r="N300" s="13"/>
      <c r="O300" s="8"/>
      <c r="P300" s="8"/>
      <c r="Q300" s="8"/>
      <c r="R300" s="8"/>
      <c r="S300" s="8"/>
      <c r="T300" s="13"/>
      <c r="U300" s="8"/>
    </row>
    <row r="301" spans="1:21" hidden="1" outlineLevel="2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hidden="1" outlineLevel="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hidden="1" outlineLevel="2">
      <c r="A303" s="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8"/>
      <c r="P303" s="8"/>
      <c r="Q303" s="8"/>
      <c r="R303" s="8"/>
      <c r="S303" s="8"/>
      <c r="T303" s="49"/>
      <c r="U303" s="8"/>
    </row>
    <row r="304" spans="1:21" hidden="1" outlineLevel="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hidden="1" outlineLevel="2">
      <c r="A305" s="8"/>
      <c r="B305" s="63"/>
      <c r="C305" s="63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8"/>
      <c r="P305" s="8"/>
      <c r="Q305" s="8"/>
      <c r="R305" s="8"/>
      <c r="S305" s="8"/>
      <c r="T305" s="49"/>
      <c r="U305" s="8"/>
    </row>
    <row r="306" spans="1:26" hidden="1" outlineLevel="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hidden="1" outlineLevel="2">
      <c r="A307" s="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8"/>
      <c r="P307" s="8"/>
      <c r="Q307" s="8"/>
      <c r="R307" s="8"/>
      <c r="S307" s="8"/>
      <c r="T307" s="49"/>
      <c r="U307" s="49"/>
      <c r="V307" s="49"/>
      <c r="W307" s="49"/>
      <c r="X307" s="49"/>
      <c r="Y307" s="49"/>
      <c r="Z307" s="49"/>
    </row>
    <row r="308" spans="1:26" hidden="1" outlineLevel="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hidden="1" outlineLevel="2">
      <c r="A309" s="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8"/>
      <c r="P309" s="8"/>
      <c r="Q309" s="8"/>
      <c r="R309" s="8"/>
      <c r="S309" s="8"/>
      <c r="T309" s="49"/>
      <c r="U309" s="8"/>
    </row>
    <row r="310" spans="1:26" hidden="1" outlineLevel="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hidden="1" outlineLevel="2">
      <c r="A311" s="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8"/>
      <c r="P311" s="8"/>
      <c r="Q311" s="8"/>
      <c r="R311" s="8"/>
      <c r="S311" s="8"/>
      <c r="T311" s="49"/>
      <c r="U311" s="49"/>
    </row>
    <row r="312" spans="1:26" hidden="1" outlineLevel="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hidden="1" outlineLevel="2">
      <c r="A313" s="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8"/>
      <c r="P313" s="8"/>
      <c r="Q313" s="8"/>
      <c r="R313" s="8"/>
      <c r="S313" s="8"/>
      <c r="T313" s="49"/>
      <c r="U313" s="49"/>
    </row>
    <row r="314" spans="1:26" hidden="1" outlineLevel="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6" outlineLevel="1" collapsed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6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ht="18.75" outlineLevel="1">
      <c r="A318" s="106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1:26" outlineLevel="1">
      <c r="A319" s="21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1">
      <c r="A320" s="21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1:2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1">
      <c r="A322" s="3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 outlineLevel="1">
      <c r="A323" s="21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21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4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48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21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21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21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48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48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3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1:21" outlineLevel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1:21" ht="18.75" outlineLevel="1">
      <c r="A368" s="106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1:21" outlineLevel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1:21" outlineLevel="1">
      <c r="A372" s="3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48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48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48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48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48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48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48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48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21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21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21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21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spans="1:21" outlineLevel="1">
      <c r="A407" s="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spans="1:21" outlineLevel="1">
      <c r="A408" s="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spans="1:21" outlineLevel="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spans="1:21" outlineLevel="1">
      <c r="A410" s="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spans="1:21" outlineLevel="1">
      <c r="A411" s="8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spans="1:21" outlineLevel="1">
      <c r="A413" s="8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spans="1:21" outlineLevel="1">
      <c r="A414" s="8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spans="1:21" outlineLevel="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spans="1:21" outlineLevel="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spans="1:21" outlineLevel="1">
      <c r="A417" s="8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8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8"/>
      <c r="P424" s="8"/>
      <c r="Q424" s="8"/>
      <c r="R424" s="8"/>
      <c r="S424" s="8"/>
      <c r="T424" s="8"/>
      <c r="U424" s="8"/>
    </row>
    <row r="425" spans="1:21" outlineLevel="1">
      <c r="A425" s="21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8"/>
      <c r="P426" s="8"/>
      <c r="Q426" s="8"/>
      <c r="R426" s="8"/>
      <c r="S426" s="8"/>
      <c r="T426" s="8"/>
      <c r="U426" s="8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8"/>
      <c r="P428" s="8"/>
      <c r="Q428" s="8"/>
      <c r="R428" s="8"/>
      <c r="S428" s="8"/>
      <c r="T428" s="8"/>
      <c r="U428" s="8"/>
    </row>
    <row r="429" spans="1:21" outlineLevel="1">
      <c r="A429" s="21"/>
      <c r="B429" s="67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ht="18.75" outlineLevel="1">
      <c r="A431" s="106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:21" outlineLevel="1">
      <c r="A432" s="21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:21" outlineLevel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:21" outlineLevel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:21" outlineLevel="1">
      <c r="A435" s="3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 outlineLevel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8"/>
      <c r="C437" s="35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8"/>
      <c r="P437" s="8"/>
      <c r="Q437" s="8"/>
      <c r="R437" s="8"/>
      <c r="S437" s="8"/>
      <c r="T437" s="8"/>
      <c r="U437" s="8"/>
    </row>
    <row r="438" spans="1:21" outlineLevel="1">
      <c r="A438" s="8"/>
      <c r="B438" s="8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8"/>
      <c r="P438" s="8"/>
      <c r="Q438" s="8"/>
      <c r="R438" s="8"/>
      <c r="S438" s="8"/>
      <c r="T438" s="8"/>
      <c r="U438" s="8"/>
    </row>
    <row r="439" spans="1:21" outlineLevel="1">
      <c r="A439" s="8"/>
      <c r="B439" s="8"/>
      <c r="C439" s="35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8"/>
      <c r="P439" s="8"/>
      <c r="Q439" s="8"/>
      <c r="R439" s="8"/>
      <c r="S439" s="8"/>
      <c r="T439" s="8"/>
      <c r="U439" s="8"/>
    </row>
    <row r="440" spans="1:21" outlineLevel="1">
      <c r="A440" s="8"/>
      <c r="B440" s="8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8"/>
      <c r="P441" s="8"/>
      <c r="Q441" s="8"/>
      <c r="R441" s="8"/>
      <c r="S441" s="8"/>
      <c r="T441" s="8"/>
      <c r="U441" s="8"/>
    </row>
    <row r="442" spans="1:21" outlineLevel="1">
      <c r="A442" s="59"/>
      <c r="B442" s="8"/>
      <c r="C442" s="35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8"/>
      <c r="P442" s="8"/>
      <c r="Q442" s="8"/>
      <c r="R442" s="8"/>
      <c r="S442" s="8"/>
      <c r="T442" s="8"/>
      <c r="U442" s="8"/>
    </row>
    <row r="443" spans="1:21" outlineLevel="1">
      <c r="A443" s="59"/>
      <c r="B443" s="8"/>
      <c r="C443" s="35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8"/>
      <c r="P443" s="8"/>
      <c r="Q443" s="8"/>
      <c r="R443" s="8"/>
      <c r="S443" s="8"/>
      <c r="T443" s="8"/>
      <c r="U443" s="8"/>
    </row>
    <row r="444" spans="1:21" outlineLevel="1">
      <c r="A444" s="21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67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8"/>
      <c r="P445" s="8"/>
      <c r="Q445" s="8"/>
      <c r="R445" s="8"/>
      <c r="S445" s="8"/>
      <c r="T445" s="8"/>
      <c r="U445" s="8"/>
    </row>
    <row r="446" spans="1:21" outlineLevel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 outlineLevel="1">
      <c r="A447" s="21"/>
      <c r="B447" s="8"/>
      <c r="C447" s="35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8"/>
      <c r="P447" s="8"/>
      <c r="Q447" s="8"/>
      <c r="R447" s="8"/>
      <c r="S447" s="8"/>
      <c r="T447" s="8"/>
      <c r="U447" s="8"/>
    </row>
    <row r="448" spans="1:21" outlineLevel="1">
      <c r="A448" s="8"/>
      <c r="B448" s="8"/>
      <c r="C448" s="35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8"/>
      <c r="P448" s="8"/>
      <c r="Q448" s="8"/>
      <c r="R448" s="8"/>
      <c r="S448" s="8"/>
      <c r="T448" s="8"/>
      <c r="U448" s="8"/>
    </row>
    <row r="449" spans="1:21" outlineLevel="1">
      <c r="A449" s="21"/>
      <c r="B449" s="8"/>
      <c r="C449" s="35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 s="71" customFormat="1" ht="18.75" outlineLevel="1">
      <c r="A452" s="1069"/>
      <c r="B452" s="70"/>
      <c r="C452" s="70"/>
    </row>
    <row r="453" spans="1:21" s="71" customFormat="1" outlineLevel="1">
      <c r="A453" s="70"/>
      <c r="B453" s="72"/>
      <c r="C453" s="73"/>
      <c r="D453" s="70"/>
      <c r="E453" s="74"/>
    </row>
    <row r="454" spans="1:21" s="71" customFormat="1" outlineLevel="1">
      <c r="A454" s="70"/>
      <c r="B454" s="75"/>
      <c r="C454" s="51"/>
      <c r="D454" s="51"/>
      <c r="E454" s="74"/>
    </row>
    <row r="455" spans="1:21" s="71" customFormat="1" outlineLevel="1">
      <c r="A455" s="70"/>
      <c r="B455" s="51"/>
      <c r="C455" s="74"/>
      <c r="D455" s="51"/>
      <c r="E455" s="75"/>
    </row>
    <row r="456" spans="1:21" s="71" customFormat="1" outlineLevel="1">
      <c r="A456" s="76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spans="1:21" s="71" customFormat="1" outlineLevel="1">
      <c r="A457" s="44"/>
      <c r="B457" s="70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2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71" customFormat="1" outlineLevel="1">
      <c r="A462" s="3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 s="44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 s="8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80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80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80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80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6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80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80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80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80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80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4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4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44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3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3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44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5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s="71" customFormat="1" outlineLevel="1">
      <c r="A483" s="43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ht="13.9" customHeight="1" outlineLevel="1">
      <c r="A484" s="42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1071" customFormat="1" outlineLevel="1">
      <c r="A485" s="107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2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3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3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3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1071" customFormat="1" outlineLevel="1">
      <c r="A492" s="1072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3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 outlineLevel="1">
      <c r="A494" s="45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outlineLevel="1">
      <c r="A495" s="45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 outlineLevel="1">
      <c r="A496" s="45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3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1071" customFormat="1" outlineLevel="1">
      <c r="A498" s="1070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5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1071" customFormat="1" outlineLevel="1">
      <c r="A502" s="1072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 outlineLevel="1">
      <c r="A503" s="44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1071" customFormat="1" outlineLevel="1">
      <c r="A504" s="1072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 s="44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 s="44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outlineLevel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:21" outlineLevel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:21" outlineLevel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t="18.75" outlineLevel="1">
      <c r="A511" s="106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87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3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21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4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48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8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hidden="1" outlineLevel="2">
      <c r="A520" s="48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hidden="1" outlineLevel="2">
      <c r="A521" s="8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idden="1" outlineLevel="2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hidden="1" outlineLevel="2">
      <c r="A523" s="4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hidden="1" outlineLevel="2">
      <c r="A524" s="4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hidden="1" outlineLevel="2">
      <c r="A525" s="48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idden="1" outlineLevel="2">
      <c r="A526" s="48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48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4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21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1" collapsed="1">
      <c r="A541" s="21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1">
      <c r="A542" s="21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1">
      <c r="A543" s="21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1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1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1">
      <c r="A546" s="21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1">
      <c r="A547" s="21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1">
      <c r="A548" s="21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1">
      <c r="A549" s="21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IV742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9.85546875" style="8" bestFit="1" customWidth="1"/>
    <col min="26" max="26" width="7.85546875" style="8" customWidth="1"/>
    <col min="27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537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1888.9563105357156</v>
      </c>
      <c r="AA7" s="950">
        <f>C10+C11</f>
        <v>1945.6249998517872</v>
      </c>
      <c r="AB7" s="950">
        <f>D10+D11</f>
        <v>2003.993749847341</v>
      </c>
      <c r="AC7" s="950">
        <f t="shared" ref="AC7:AS7" si="1">E16</f>
        <v>1726.4609193427605</v>
      </c>
      <c r="AD7" s="950">
        <f t="shared" si="1"/>
        <v>1778.2547469230433</v>
      </c>
      <c r="AE7" s="950">
        <f t="shared" si="1"/>
        <v>1831.6023893307347</v>
      </c>
      <c r="AF7" s="950">
        <f t="shared" si="1"/>
        <v>1886.5504610106568</v>
      </c>
      <c r="AG7" s="950">
        <f t="shared" si="1"/>
        <v>1943.1469748409763</v>
      </c>
      <c r="AH7" s="950">
        <f t="shared" si="1"/>
        <v>2001.441384086206</v>
      </c>
      <c r="AI7" s="950">
        <f t="shared" si="1"/>
        <v>2061.4846256087922</v>
      </c>
      <c r="AJ7" s="950">
        <f t="shared" si="1"/>
        <v>2123.3291643770558</v>
      </c>
      <c r="AK7" s="950">
        <f t="shared" si="1"/>
        <v>2187.0290393083674</v>
      </c>
      <c r="AL7" s="950">
        <f t="shared" si="1"/>
        <v>2252.6399104876177</v>
      </c>
      <c r="AM7" s="950">
        <f t="shared" si="1"/>
        <v>2320.219107802247</v>
      </c>
      <c r="AN7" s="950">
        <f t="shared" si="1"/>
        <v>2389.8256810363146</v>
      </c>
      <c r="AO7" s="950">
        <f t="shared" si="1"/>
        <v>2461.5204514674033</v>
      </c>
      <c r="AP7" s="950">
        <f t="shared" si="1"/>
        <v>2535.3660650114257</v>
      </c>
      <c r="AQ7" s="950">
        <f t="shared" si="1"/>
        <v>2611.4270469617682</v>
      </c>
      <c r="AR7" s="950">
        <f t="shared" si="1"/>
        <v>2689.7698583706215</v>
      </c>
      <c r="AS7" s="950">
        <f t="shared" si="1"/>
        <v>2770.4629541217396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1888.9563105357156</v>
      </c>
      <c r="AA8" s="1048">
        <f>C23+C24</f>
        <v>1945.6249998517872</v>
      </c>
      <c r="AB8" s="1048">
        <f>D23+D24</f>
        <v>2003.993749847341</v>
      </c>
      <c r="AC8" s="1048">
        <f t="shared" ref="AC8:AS8" si="2">E23+1/3*E24</f>
        <v>1726.4609193427605</v>
      </c>
      <c r="AD8" s="1048">
        <f t="shared" si="2"/>
        <v>1778.2547469230433</v>
      </c>
      <c r="AE8" s="1048">
        <f t="shared" si="2"/>
        <v>1831.6023893307347</v>
      </c>
      <c r="AF8" s="1048">
        <f t="shared" si="2"/>
        <v>1886.5504610106568</v>
      </c>
      <c r="AG8" s="1048">
        <f t="shared" si="2"/>
        <v>1943.1469748409766</v>
      </c>
      <c r="AH8" s="1048">
        <f t="shared" si="2"/>
        <v>2001.4413840862062</v>
      </c>
      <c r="AI8" s="1048">
        <f t="shared" si="2"/>
        <v>2061.4846256087922</v>
      </c>
      <c r="AJ8" s="1048">
        <f t="shared" si="2"/>
        <v>2123.3291643770558</v>
      </c>
      <c r="AK8" s="1048">
        <f t="shared" si="2"/>
        <v>2187.0290393083674</v>
      </c>
      <c r="AL8" s="1048">
        <f t="shared" si="2"/>
        <v>2252.6399104876182</v>
      </c>
      <c r="AM8" s="1048">
        <f t="shared" si="2"/>
        <v>2320.219107802247</v>
      </c>
      <c r="AN8" s="1048">
        <f t="shared" si="2"/>
        <v>2389.8256810363146</v>
      </c>
      <c r="AO8" s="1048">
        <f t="shared" si="2"/>
        <v>2461.5204514674033</v>
      </c>
      <c r="AP8" s="1048">
        <f t="shared" si="2"/>
        <v>2535.3660650114257</v>
      </c>
      <c r="AQ8" s="1048">
        <f t="shared" si="2"/>
        <v>2611.4270469617686</v>
      </c>
      <c r="AR8" s="1048">
        <f t="shared" si="2"/>
        <v>2689.7698583706215</v>
      </c>
      <c r="AS8" s="1048">
        <f t="shared" si="2"/>
        <v>2770.46295412174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Assumption'!C40*12*ENA_Assumptions!$H$9</f>
        <v>22560</v>
      </c>
      <c r="C9" s="20">
        <f>'ENA_Power Price Assumption'!D40*12*ENA_Assumptions!$H$9</f>
        <v>22560</v>
      </c>
      <c r="D9" s="20">
        <f>'ENA_Power Price Assumption'!E40*12*ENA_Assumptions!$H$9</f>
        <v>22560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67680</v>
      </c>
      <c r="X9" s="271"/>
      <c r="Y9" s="949"/>
      <c r="Z9" s="1077">
        <f>Z7-Z8</f>
        <v>0</v>
      </c>
      <c r="AA9" s="1077">
        <f t="shared" ref="AA9:AS9" si="3">AA7-AA8</f>
        <v>0</v>
      </c>
      <c r="AB9" s="1077">
        <f t="shared" si="3"/>
        <v>0</v>
      </c>
      <c r="AC9" s="1077">
        <f t="shared" si="3"/>
        <v>0</v>
      </c>
      <c r="AD9" s="1077">
        <f t="shared" si="3"/>
        <v>0</v>
      </c>
      <c r="AE9" s="1077">
        <f t="shared" si="3"/>
        <v>0</v>
      </c>
      <c r="AF9" s="1077">
        <f t="shared" si="3"/>
        <v>0</v>
      </c>
      <c r="AG9" s="1077">
        <f t="shared" si="3"/>
        <v>0</v>
      </c>
      <c r="AH9" s="1077">
        <f t="shared" si="3"/>
        <v>0</v>
      </c>
      <c r="AI9" s="1077">
        <f t="shared" si="3"/>
        <v>0</v>
      </c>
      <c r="AJ9" s="1077">
        <f t="shared" si="3"/>
        <v>0</v>
      </c>
      <c r="AK9" s="1077">
        <f t="shared" si="3"/>
        <v>0</v>
      </c>
      <c r="AL9" s="1077">
        <f t="shared" si="3"/>
        <v>0</v>
      </c>
      <c r="AM9" s="1077">
        <f t="shared" si="3"/>
        <v>0</v>
      </c>
      <c r="AN9" s="1077">
        <f t="shared" si="3"/>
        <v>0</v>
      </c>
      <c r="AO9" s="1077">
        <f t="shared" si="3"/>
        <v>0</v>
      </c>
      <c r="AP9" s="1077">
        <f t="shared" si="3"/>
        <v>0</v>
      </c>
      <c r="AQ9" s="1077">
        <f t="shared" si="3"/>
        <v>0</v>
      </c>
      <c r="AR9" s="1077">
        <f t="shared" si="3"/>
        <v>0</v>
      </c>
      <c r="AS9" s="1077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ENA_Assumptions!H20*ENA_Assumptions!H18/1000*(1+ENA_Assumptions!$H$26)</f>
        <v>1425.4563105357156</v>
      </c>
      <c r="C10" s="20">
        <f>B10*(1+ENA_Assumptions!$H$26)</f>
        <v>1468.2199998517872</v>
      </c>
      <c r="D10" s="20">
        <f>C10*(1+ENA_Assumptions!$H$26)</f>
        <v>1512.2665998473408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4405.942910234844</v>
      </c>
      <c r="X10" s="271"/>
      <c r="Y10" s="271"/>
      <c r="Z10" s="271"/>
      <c r="AA10" s="271"/>
      <c r="AB10" s="313"/>
      <c r="AC10" s="313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ENA_Assumptions!$H$19*ENA_Assumptions!$H$11*ENA_Assumptions!$H$8/1000*(1+ENA_Assumptions!$H$26)</f>
        <v>463.5</v>
      </c>
      <c r="C11" s="55">
        <f>B11*(1+ENA_Assumptions!$H$26)</f>
        <v>477.40500000000003</v>
      </c>
      <c r="D11" s="55">
        <f>C11*(1+ENA_Assumptions!$H$26)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Contract'!$C$35/3</f>
        <v>9602.8202017346139</v>
      </c>
      <c r="C12" s="90">
        <f>'Amortization of Power Contract'!$C$35/3</f>
        <v>9602.8202017346139</v>
      </c>
      <c r="D12" s="90">
        <f>'Amortization of Power Contract'!$C$35/3</f>
        <v>9602.8202017346139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28808.460605203843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313"/>
      <c r="AC13" s="313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313"/>
      <c r="AC14" s="313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Assumption'!F40*ENA_Assumptions!$H$9*12</f>
        <v>38186.125205806944</v>
      </c>
      <c r="F15" s="295">
        <f>'ENA_Power Price Assumption'!G40*ENA_Assumptions!$H$9*12</f>
        <v>40210.726030066122</v>
      </c>
      <c r="G15" s="295">
        <f>'ENA_Power Price Assumption'!H40*ENA_Assumptions!$H$9*12</f>
        <v>41027.476548845225</v>
      </c>
      <c r="H15" s="295">
        <f>'ENA_Power Price Assumption'!I40*ENA_Assumptions!$H$9*12</f>
        <v>41860.816706155776</v>
      </c>
      <c r="I15" s="295">
        <f>'ENA_Power Price Assumption'!J40*ENA_Assumptions!$H$9*12</f>
        <v>42711.083466713768</v>
      </c>
      <c r="J15" s="295">
        <f>'ENA_Power Price Assumption'!K40*ENA_Assumptions!$H$9*12</f>
        <v>43578.620639580855</v>
      </c>
      <c r="K15" s="295">
        <f>'ENA_Power Price Assumption'!L40*ENA_Assumptions!$H$9*12</f>
        <v>44463.779017184934</v>
      </c>
      <c r="L15" s="295">
        <f>'ENA_Power Price Assumption'!M40*ENA_Assumptions!$H$9*12</f>
        <v>45033.969458996071</v>
      </c>
      <c r="M15" s="295">
        <f>'ENA_Power Price Assumption'!N40*ENA_Assumptions!$H$9*12</f>
        <v>45611.471855551499</v>
      </c>
      <c r="N15" s="295">
        <f>'ENA_Power Price Assumption'!O40*ENA_Assumptions!$H$9*12</f>
        <v>46196.379973211093</v>
      </c>
      <c r="O15" s="295">
        <f>'ENA_Power Price Assumption'!P40*ENA_Assumptions!$H$9*12</f>
        <v>46788.788780767012</v>
      </c>
      <c r="P15" s="295">
        <f>'ENA_Power Price Assumption'!Q40*ENA_Assumptions!$H$9*12</f>
        <v>47388.794464863364</v>
      </c>
      <c r="Q15" s="295">
        <f>'ENA_Power Price Assumption'!R40*ENA_Assumptions!$H$9*12</f>
        <v>48105.317812997419</v>
      </c>
      <c r="R15" s="295">
        <f>'ENA_Power Price Assumption'!S40*ENA_Assumptions!$H$9*12</f>
        <v>48832.675066366217</v>
      </c>
      <c r="S15" s="295">
        <f>'ENA_Power Price Assumption'!T40*ENA_Assumptions!$H$9*12</f>
        <v>49571.030034708747</v>
      </c>
      <c r="T15" s="295">
        <f>'ENA_Power Price Assumption'!U40*ENA_Assumptions!$H$9*12</f>
        <v>50320.549004583765</v>
      </c>
      <c r="U15" s="295">
        <f>'ENA_Power Price Assumption'!V40*ENA_Assumptions!$H$9*12</f>
        <v>51081.400776819544</v>
      </c>
      <c r="W15" s="55">
        <f>SUM(B15:U15)</f>
        <v>770969.00484321837</v>
      </c>
      <c r="X15" s="271"/>
      <c r="Y15" s="271"/>
      <c r="Z15" s="271"/>
      <c r="AA15" s="271"/>
      <c r="AB15" s="313"/>
      <c r="AC15" s="313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1/3*ENA_Assumptions!$H$19*ENA_Assumptions!$H$11*ENA_Assumptions!$H$8/1000*(1+ENA_Assumptions!$H$26)^(E5-2000)+ENA_Assumptions!$H$20*ENA_Assumptions!$H$18*(1+ENA_Assumptions!$H$26)^(E5-2000)/1000</f>
        <v>1726.4609193427605</v>
      </c>
      <c r="F16" s="90">
        <f>1/3*ENA_Assumptions!$H$19*ENA_Assumptions!$H$11*ENA_Assumptions!$H$8/1000*(1+ENA_Assumptions!$H$26)^(F5-2000)+ENA_Assumptions!$H$20*ENA_Assumptions!$H$18*(1+ENA_Assumptions!$H$26)^(F5-2000)/1000</f>
        <v>1778.2547469230433</v>
      </c>
      <c r="G16" s="90">
        <f>1/3*ENA_Assumptions!$H$19*ENA_Assumptions!$H$11*ENA_Assumptions!$H$8/1000*(1+ENA_Assumptions!$H$26)^(G5-2000)+ENA_Assumptions!$H$20*ENA_Assumptions!$H$18*(1+ENA_Assumptions!$H$26)^(G5-2000)/1000</f>
        <v>1831.6023893307347</v>
      </c>
      <c r="H16" s="90">
        <f>1/3*ENA_Assumptions!$H$19*ENA_Assumptions!$H$11*ENA_Assumptions!$H$8/1000*(1+ENA_Assumptions!$H$26)^(H5-2000)+ENA_Assumptions!$H$20*ENA_Assumptions!$H$18*(1+ENA_Assumptions!$H$26)^(H5-2000)/1000</f>
        <v>1886.5504610106568</v>
      </c>
      <c r="I16" s="90">
        <f>1/3*ENA_Assumptions!$H$19*ENA_Assumptions!$H$11*ENA_Assumptions!$H$8/1000*(1+ENA_Assumptions!$H$26)^(I5-2000)+ENA_Assumptions!$H$20*ENA_Assumptions!$H$18*(1+ENA_Assumptions!$H$26)^(I5-2000)/1000</f>
        <v>1943.1469748409763</v>
      </c>
      <c r="J16" s="90">
        <f>1/3*ENA_Assumptions!$H$19*ENA_Assumptions!$H$11*ENA_Assumptions!$H$8/1000*(1+ENA_Assumptions!$H$26)^(J5-2000)+ENA_Assumptions!$H$20*ENA_Assumptions!$H$18*(1+ENA_Assumptions!$H$26)^(J5-2000)/1000</f>
        <v>2001.441384086206</v>
      </c>
      <c r="K16" s="90">
        <f>1/3*ENA_Assumptions!$H$19*ENA_Assumptions!$H$11*ENA_Assumptions!$H$8/1000*(1+ENA_Assumptions!$H$26)^(K5-2000)+ENA_Assumptions!$H$20*ENA_Assumptions!$H$18*(1+ENA_Assumptions!$H$26)^(K5-2000)/1000</f>
        <v>2061.4846256087922</v>
      </c>
      <c r="L16" s="90">
        <f>1/3*ENA_Assumptions!$H$19*ENA_Assumptions!$H$11*ENA_Assumptions!$H$8/1000*(1+ENA_Assumptions!$H$26)^(L5-2000)+ENA_Assumptions!$H$20*ENA_Assumptions!$H$18*(1+ENA_Assumptions!$H$26)^(L5-2000)/1000</f>
        <v>2123.3291643770558</v>
      </c>
      <c r="M16" s="90">
        <f>1/3*ENA_Assumptions!$H$19*ENA_Assumptions!$H$11*ENA_Assumptions!$H$8/1000*(1+ENA_Assumptions!$H$26)^(M5-2000)+ENA_Assumptions!$H$20*ENA_Assumptions!$H$18*(1+ENA_Assumptions!$H$26)^(M5-2000)/1000</f>
        <v>2187.0290393083674</v>
      </c>
      <c r="N16" s="90">
        <f>1/3*ENA_Assumptions!$H$19*ENA_Assumptions!$H$11*ENA_Assumptions!$H$8/1000*(1+ENA_Assumptions!$H$26)^(N5-2000)+ENA_Assumptions!$H$20*ENA_Assumptions!$H$18*(1+ENA_Assumptions!$H$26)^(N5-2000)/1000</f>
        <v>2252.6399104876177</v>
      </c>
      <c r="O16" s="90">
        <f>1/3*ENA_Assumptions!$H$19*ENA_Assumptions!$H$11*ENA_Assumptions!$H$8/1000*(1+ENA_Assumptions!$H$26)^(O5-2000)+ENA_Assumptions!$H$20*ENA_Assumptions!$H$18*(1+ENA_Assumptions!$H$26)^(O5-2000)/1000</f>
        <v>2320.219107802247</v>
      </c>
      <c r="P16" s="90">
        <f>1/3*ENA_Assumptions!$H$19*ENA_Assumptions!$H$11*ENA_Assumptions!$H$8/1000*(1+ENA_Assumptions!$H$26)^(P5-2000)+ENA_Assumptions!$H$20*ENA_Assumptions!$H$18*(1+ENA_Assumptions!$H$26)^(P5-2000)/1000</f>
        <v>2389.8256810363146</v>
      </c>
      <c r="Q16" s="90">
        <f>1/3*ENA_Assumptions!$H$19*ENA_Assumptions!$H$11*ENA_Assumptions!$H$8/1000*(1+ENA_Assumptions!$H$26)^(Q5-2000)+ENA_Assumptions!$H$20*ENA_Assumptions!$H$18*(1+ENA_Assumptions!$H$26)^(Q5-2000)/1000</f>
        <v>2461.5204514674033</v>
      </c>
      <c r="R16" s="90">
        <f>1/3*ENA_Assumptions!$H$19*ENA_Assumptions!$H$11*ENA_Assumptions!$H$8/1000*(1+ENA_Assumptions!$H$26)^(R5-2000)+ENA_Assumptions!$H$20*ENA_Assumptions!$H$18*(1+ENA_Assumptions!$H$26)^(R5-2000)/1000</f>
        <v>2535.3660650114257</v>
      </c>
      <c r="S16" s="90">
        <f>1/3*ENA_Assumptions!$H$19*ENA_Assumptions!$H$11*ENA_Assumptions!$H$8/1000*(1+ENA_Assumptions!$H$26)^(S5-2000)+ENA_Assumptions!$H$20*ENA_Assumptions!$H$18*(1+ENA_Assumptions!$H$26)^(S5-2000)/1000</f>
        <v>2611.4270469617682</v>
      </c>
      <c r="T16" s="90">
        <f>1/3*ENA_Assumptions!$H$19*ENA_Assumptions!$H$11*ENA_Assumptions!$H$8/1000*(1+ENA_Assumptions!$H$26)^(T5-2000)+ENA_Assumptions!$H$20*ENA_Assumptions!$H$18*(1+ENA_Assumptions!$H$26)^(T5-2000)/1000</f>
        <v>2689.7698583706215</v>
      </c>
      <c r="U16" s="90">
        <f>1/3*ENA_Assumptions!$H$19*ENA_Assumptions!$H$11*ENA_Assumptions!$H$8/1000*(1+ENA_Assumptions!$H$26)^(U5-2000)+ENA_Assumptions!$H$20*ENA_Assumptions!$H$18*(1+ENA_Assumptions!$H$26)^(U5-2000)/1000</f>
        <v>2770.4629541217396</v>
      </c>
      <c r="W16" s="55">
        <f>SUM(B16:U16)</f>
        <v>37570.530780087734</v>
      </c>
      <c r="X16" s="271"/>
      <c r="Y16" s="271"/>
      <c r="Z16" s="271"/>
      <c r="AA16" s="271"/>
      <c r="AB16" s="313"/>
      <c r="AC16" s="313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313"/>
      <c r="AC17" s="313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258.54100325000002</v>
      </c>
      <c r="C18" s="297">
        <f>(SUM(C9:C11)-SUM(C22:C27))*'ENA_Summary Output'!$B$29/4</f>
        <v>256.36239584749995</v>
      </c>
      <c r="D18" s="297">
        <f>(SUM(D9:D11)-SUM(D22:D27))*'ENA_Summary Output'!$B$29/4</f>
        <v>254.40181284792499</v>
      </c>
      <c r="E18" s="297">
        <f>(SUM(E9:E16)-SUM(E22:E27))*'ENA_Summary Output'!$B$29/4</f>
        <v>443.77181539344957</v>
      </c>
      <c r="F18" s="297">
        <f>(SUM(F9:F16)-SUM(F22:F27))*'ENA_Summary Output'!$B$29/4</f>
        <v>467.55535258131516</v>
      </c>
      <c r="G18" s="297">
        <f>(SUM(G9:G16)-SUM(G22:G27))*'ENA_Summary Output'!$B$29/4</f>
        <v>475.31214150721866</v>
      </c>
      <c r="H18" s="297">
        <f>(SUM(H9:H16)-SUM(H22:H27))*'ENA_Summary Output'!$B$29/4</f>
        <v>482.62367538800009</v>
      </c>
      <c r="I18" s="297">
        <f>(SUM(I9:I16)-SUM(I22:I27))*'ENA_Summary Output'!$B$29/4</f>
        <v>490.87114851680656</v>
      </c>
      <c r="J18" s="297">
        <f>(SUM(J9:J16)-SUM(J22:J27))*'ENA_Summary Output'!$B$29/4</f>
        <v>500.55645333313169</v>
      </c>
      <c r="K18" s="297">
        <f>(SUM(K9:K16)-SUM(K22:K27))*'ENA_Summary Output'!$B$29/4</f>
        <v>511.40815641333387</v>
      </c>
      <c r="L18" s="297">
        <f>(SUM(L9:L16)-SUM(L22:L27))*'ENA_Summary Output'!$B$29/4</f>
        <v>515.52764874692878</v>
      </c>
      <c r="M18" s="297">
        <f>(SUM(M9:M16)-SUM(M22:M27))*'ENA_Summary Output'!$B$29/4</f>
        <v>521.64530699415593</v>
      </c>
      <c r="N18" s="297">
        <f>(SUM(N9:N16)-SUM(N22:N27))*'ENA_Summary Output'!$B$29/4</f>
        <v>527.8220782288937</v>
      </c>
      <c r="O18" s="297">
        <f>(SUM(O9:O16)-SUM(O22:O27))*'ENA_Summary Output'!$B$29/4</f>
        <v>534.05857068025523</v>
      </c>
      <c r="P18" s="297">
        <f>(SUM(P9:P16)-SUM(P22:P27))*'ENA_Summary Output'!$B$29/4</f>
        <v>540.3549655590798</v>
      </c>
      <c r="Q18" s="297">
        <f>(SUM(Q9:Q16)-SUM(Q22:Q27))*'ENA_Summary Output'!$B$29/4</f>
        <v>548.07172095320402</v>
      </c>
      <c r="R18" s="297">
        <f>(SUM(R9:R16)-SUM(R22:R27))*'ENA_Summary Output'!$B$29/4</f>
        <v>555.88670656903605</v>
      </c>
      <c r="S18" s="297">
        <f>(SUM(S9:S16)-SUM(S22:S27))*'ENA_Summary Output'!$B$29/4</f>
        <v>563.80085422050149</v>
      </c>
      <c r="T18" s="297">
        <f>(SUM(T9:T16)-SUM(T22:T27))*'ENA_Summary Output'!$B$29/4</f>
        <v>571.81509320753855</v>
      </c>
      <c r="U18" s="297">
        <f>(SUM(U9:U16)-SUM(U22:U27))*'ENA_Summary Output'!$B$29/4</f>
        <v>579.93034977999287</v>
      </c>
      <c r="W18" s="55">
        <f>SUM(B18:U18)</f>
        <v>9600.3172500182663</v>
      </c>
      <c r="X18" s="271"/>
      <c r="Y18" s="271"/>
      <c r="Z18" s="271"/>
      <c r="AA18" s="271"/>
      <c r="AB18" s="313"/>
      <c r="AC18" s="313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34310.317515520328</v>
      </c>
      <c r="C19" s="20">
        <f t="shared" ref="C19:U19" si="4">SUM(C9:C18)</f>
        <v>34364.807597433901</v>
      </c>
      <c r="D19" s="20">
        <f t="shared" si="4"/>
        <v>34421.215764429879</v>
      </c>
      <c r="E19" s="20">
        <f t="shared" si="4"/>
        <v>40356.357940543152</v>
      </c>
      <c r="F19" s="20">
        <f t="shared" si="4"/>
        <v>42456.536129570479</v>
      </c>
      <c r="G19" s="20">
        <f t="shared" si="4"/>
        <v>43334.391079683177</v>
      </c>
      <c r="H19" s="20">
        <f t="shared" si="4"/>
        <v>44229.990842554434</v>
      </c>
      <c r="I19" s="20">
        <f t="shared" si="4"/>
        <v>45145.10159007155</v>
      </c>
      <c r="J19" s="20">
        <f t="shared" si="4"/>
        <v>46080.618477000193</v>
      </c>
      <c r="K19" s="20">
        <f t="shared" si="4"/>
        <v>47036.671799207055</v>
      </c>
      <c r="L19" s="20">
        <f t="shared" si="4"/>
        <v>47672.826272120059</v>
      </c>
      <c r="M19" s="20">
        <f t="shared" si="4"/>
        <v>48320.146201854026</v>
      </c>
      <c r="N19" s="20">
        <f t="shared" si="4"/>
        <v>48976.841961927603</v>
      </c>
      <c r="O19" s="20">
        <f t="shared" si="4"/>
        <v>49643.066459249509</v>
      </c>
      <c r="P19" s="20">
        <f t="shared" si="4"/>
        <v>50318.975111458763</v>
      </c>
      <c r="Q19" s="20">
        <f t="shared" si="4"/>
        <v>51114.909985418024</v>
      </c>
      <c r="R19" s="20">
        <f t="shared" si="4"/>
        <v>51923.927837946678</v>
      </c>
      <c r="S19" s="20">
        <f t="shared" si="4"/>
        <v>52746.257935891015</v>
      </c>
      <c r="T19" s="20">
        <f t="shared" si="4"/>
        <v>53582.133956161924</v>
      </c>
      <c r="U19" s="20">
        <f t="shared" si="4"/>
        <v>54431.794080721273</v>
      </c>
      <c r="W19" s="55">
        <f>SUM(B19:U19)</f>
        <v>920466.88853876316</v>
      </c>
      <c r="X19" s="271"/>
      <c r="Y19" s="271"/>
      <c r="Z19" s="271"/>
      <c r="AA19" s="271"/>
      <c r="AB19" s="313"/>
      <c r="AC19" s="313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ENA_Assumptions!H29*(1+ENA_Assumptions!$H$26)</f>
        <v>1561.2639942857145</v>
      </c>
      <c r="C22" s="55">
        <f>B22*(1+ENA_Assumptions!$H$26)</f>
        <v>1608.101914114286</v>
      </c>
      <c r="D22" s="55">
        <f>C22*(1+ENA_Assumptions!$H$26)</f>
        <v>1656.3449715377146</v>
      </c>
      <c r="E22" s="55">
        <f>D22*(1+ENA_Assumptions!$H$26)</f>
        <v>1706.0353206838461</v>
      </c>
      <c r="F22" s="55">
        <f>E22*(1+ENA_Assumptions!$H$26)</f>
        <v>1757.2163803043616</v>
      </c>
      <c r="G22" s="55">
        <f>F22*(1+ENA_Assumptions!$H$26)</f>
        <v>1809.9328717134924</v>
      </c>
      <c r="H22" s="55">
        <f>G22*(1+ENA_Assumptions!$H$26)</f>
        <v>1864.2308578648972</v>
      </c>
      <c r="I22" s="55">
        <f>H22*(1+ENA_Assumptions!$H$26)</f>
        <v>1920.1577836008441</v>
      </c>
      <c r="J22" s="55">
        <f>I22*(1+ENA_Assumptions!$H$26)</f>
        <v>1977.7625171088696</v>
      </c>
      <c r="K22" s="55">
        <f>J22*(1+ENA_Assumptions!$H$26)</f>
        <v>2037.0953926221357</v>
      </c>
      <c r="L22" s="55">
        <f>K22*(1+ENA_Assumptions!$H$26)</f>
        <v>2098.2082544007999</v>
      </c>
      <c r="M22" s="55">
        <f>L22*(1+ENA_Assumptions!$H$26)</f>
        <v>2161.154502032824</v>
      </c>
      <c r="N22" s="55">
        <f>M22*(1+ENA_Assumptions!$H$26)</f>
        <v>2225.9891370938089</v>
      </c>
      <c r="O22" s="55">
        <f>N22*(1+ENA_Assumptions!$H$26)</f>
        <v>2292.7688112066235</v>
      </c>
      <c r="P22" s="55">
        <f>O22*(1+ENA_Assumptions!$H$26)</f>
        <v>2361.551875542822</v>
      </c>
      <c r="Q22" s="55">
        <f>P22*(1+ENA_Assumptions!$H$26)</f>
        <v>2432.3984318091066</v>
      </c>
      <c r="R22" s="55">
        <f>Q22*(1+ENA_Assumptions!$H$26)</f>
        <v>2505.3703847633797</v>
      </c>
      <c r="S22" s="55">
        <f>R22*(1+ENA_Assumptions!$H$26)</f>
        <v>2580.531496306281</v>
      </c>
      <c r="T22" s="55">
        <f>S22*(1+ENA_Assumptions!$H$26)</f>
        <v>2657.9474411954698</v>
      </c>
      <c r="U22" s="55">
        <f>T22*(1+ENA_Assumptions!$H$26)</f>
        <v>2737.6858644313338</v>
      </c>
      <c r="W22" s="55">
        <f t="shared" ref="W22:W28" si="5">SUM(B22:U22)</f>
        <v>41951.748202618604</v>
      </c>
    </row>
    <row r="23" spans="1:55">
      <c r="A23" s="4" t="s">
        <v>428</v>
      </c>
      <c r="B23" s="90">
        <f>ENA_Assumptions!$H$30*(1+ENA_Assumptions!$H$26)</f>
        <v>1425.4563105357156</v>
      </c>
      <c r="C23" s="20">
        <f>B23*(1+ENA_Assumptions!$H$26)</f>
        <v>1468.2199998517872</v>
      </c>
      <c r="D23" s="20">
        <f>C23*(1+ENA_Assumptions!$H$26)</f>
        <v>1512.2665998473408</v>
      </c>
      <c r="E23" s="90">
        <f>ENA_Assumptions!$H$20*ENA_Assumptions!$H$24*(1+ENA_Assumptions!$H$26)^(E5-2000)/1000</f>
        <v>1557.6345978427605</v>
      </c>
      <c r="F23" s="90">
        <f>ENA_Assumptions!$H$20*ENA_Assumptions!$H$24*(1+ENA_Assumptions!$H$26)^(F5-2000)/1000</f>
        <v>1604.3636357780433</v>
      </c>
      <c r="G23" s="90">
        <f>ENA_Assumptions!$H$20*ENA_Assumptions!$H$24*(1+ENA_Assumptions!$H$26)^(G5-2000)/1000</f>
        <v>1652.4945448513847</v>
      </c>
      <c r="H23" s="90">
        <f>ENA_Assumptions!$H$20*ENA_Assumptions!$H$24*(1+ENA_Assumptions!$H$26)^(H5-2000)/1000</f>
        <v>1702.0693811969263</v>
      </c>
      <c r="I23" s="90">
        <f>ENA_Assumptions!$H$20*ENA_Assumptions!$H$24*(1+ENA_Assumptions!$H$26)^(I5-2000)/1000</f>
        <v>1753.131462632834</v>
      </c>
      <c r="J23" s="90">
        <f>ENA_Assumptions!$H$20*ENA_Assumptions!$H$24*(1+ENA_Assumptions!$H$26)^(J5-2000)/1000</f>
        <v>1805.7254065118193</v>
      </c>
      <c r="K23" s="90">
        <f>ENA_Assumptions!$H$20*ENA_Assumptions!$H$24*(1+ENA_Assumptions!$H$26)^(K5-2000)/1000</f>
        <v>1859.8971687071737</v>
      </c>
      <c r="L23" s="90">
        <f>ENA_Assumptions!$H$20*ENA_Assumptions!$H$24*(1+ENA_Assumptions!$H$26)^(L5-2000)/1000</f>
        <v>1915.694083768389</v>
      </c>
      <c r="M23" s="90">
        <f>ENA_Assumptions!$H$20*ENA_Assumptions!$H$24*(1+ENA_Assumptions!$H$26)^(M5-2000)/1000</f>
        <v>1973.1649062814404</v>
      </c>
      <c r="N23" s="90">
        <f>ENA_Assumptions!$H$20*ENA_Assumptions!$H$24*(1+ENA_Assumptions!$H$26)^(N5-2000)/1000</f>
        <v>2032.3598534698833</v>
      </c>
      <c r="O23" s="90">
        <f>ENA_Assumptions!$H$20*ENA_Assumptions!$H$24*(1+ENA_Assumptions!$H$26)^(O5-2000)/1000</f>
        <v>2093.3306490739801</v>
      </c>
      <c r="P23" s="90">
        <f>ENA_Assumptions!$H$20*ENA_Assumptions!$H$24*(1+ENA_Assumptions!$H$26)^(P5-2000)/1000</f>
        <v>2156.1305685461998</v>
      </c>
      <c r="Q23" s="90">
        <f>ENA_Assumptions!$H$20*ENA_Assumptions!$H$24*(1+ENA_Assumptions!$H$26)^(Q5-2000)/1000</f>
        <v>2220.8144856025851</v>
      </c>
      <c r="R23" s="90">
        <f>ENA_Assumptions!$H$20*ENA_Assumptions!$H$24*(1+ENA_Assumptions!$H$26)^(R5-2000)/1000</f>
        <v>2287.4389201706631</v>
      </c>
      <c r="S23" s="90">
        <f>ENA_Assumptions!$H$20*ENA_Assumptions!$H$24*(1+ENA_Assumptions!$H$26)^(S5-2000)/1000</f>
        <v>2356.0620877757829</v>
      </c>
      <c r="T23" s="90">
        <f>ENA_Assumptions!$H$20*ENA_Assumptions!$H$24*(1+ENA_Assumptions!$H$26)^(T5-2000)/1000</f>
        <v>2426.7439504090562</v>
      </c>
      <c r="U23" s="90">
        <f>ENA_Assumptions!$H$20*ENA_Assumptions!$H$24*(1+ENA_Assumptions!$H$26)^(U5-2000)/1000</f>
        <v>2499.5462689213277</v>
      </c>
      <c r="W23" s="55">
        <f t="shared" si="5"/>
        <v>38302.544881775102</v>
      </c>
    </row>
    <row r="24" spans="1:55">
      <c r="A24" s="4" t="s">
        <v>461</v>
      </c>
      <c r="B24" s="90">
        <f>ENA_Assumptions!$H$25*ENA_Assumptions!$H$11*ENA_Assumptions!$H$8/1000*(1+ENA_Assumptions!$H$26)</f>
        <v>463.5</v>
      </c>
      <c r="C24" s="55">
        <f>B24*(1+ENA_Assumptions!$H$26)</f>
        <v>477.40500000000003</v>
      </c>
      <c r="D24" s="55">
        <f>C24*(1+ENA_Assumptions!$H$26)</f>
        <v>491.72715000000005</v>
      </c>
      <c r="E24" s="55">
        <f>D24*(1+ENA_Assumptions!$H$26)</f>
        <v>506.47896450000007</v>
      </c>
      <c r="F24" s="55">
        <f>E24*(1+ENA_Assumptions!$H$26)</f>
        <v>521.67333343500013</v>
      </c>
      <c r="G24" s="55">
        <f>F24*(1+ENA_Assumptions!$H$26)</f>
        <v>537.32353343805016</v>
      </c>
      <c r="H24" s="55">
        <f>G24*(1+ENA_Assumptions!$H$26)</f>
        <v>553.44323944119174</v>
      </c>
      <c r="I24" s="55">
        <f>H24*(1+ENA_Assumptions!$H$26)</f>
        <v>570.04653662442752</v>
      </c>
      <c r="J24" s="55">
        <f>I24*(1+ENA_Assumptions!$H$26)</f>
        <v>587.14793272316035</v>
      </c>
      <c r="K24" s="55">
        <f>J24*(1+ENA_Assumptions!$H$26)</f>
        <v>604.76237070485513</v>
      </c>
      <c r="L24" s="55">
        <f>K24*(1+ENA_Assumptions!$H$26)</f>
        <v>622.90524182600075</v>
      </c>
      <c r="M24" s="55">
        <f>L24*(1+ENA_Assumptions!$H$26)</f>
        <v>641.59239908078075</v>
      </c>
      <c r="N24" s="55">
        <f>M24*(1+ENA_Assumptions!$H$26)</f>
        <v>660.84017105320424</v>
      </c>
      <c r="O24" s="55">
        <f>N24*(1+ENA_Assumptions!$H$26)</f>
        <v>680.66537618480038</v>
      </c>
      <c r="P24" s="55">
        <f>O24*(1+ENA_Assumptions!$H$26)</f>
        <v>701.08533747034437</v>
      </c>
      <c r="Q24" s="55">
        <f>P24*(1+ENA_Assumptions!$H$26)</f>
        <v>722.11789759445469</v>
      </c>
      <c r="R24" s="55">
        <f>Q24*(1+ENA_Assumptions!$H$26)</f>
        <v>743.78143452228835</v>
      </c>
      <c r="S24" s="55">
        <f>R24*(1+ENA_Assumptions!$H$26)</f>
        <v>766.09487755795703</v>
      </c>
      <c r="T24" s="55">
        <f>S24*(1+ENA_Assumptions!$H$26)</f>
        <v>789.07772388469573</v>
      </c>
      <c r="U24" s="55">
        <f>T24*(1+ENA_Assumptions!$H$26)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ENA_Assumptions!H32*(1+ENA_Assumptions!$H$26)</f>
        <v>315.45574571428568</v>
      </c>
      <c r="C25" s="55">
        <f>B25*(1+ENA_Assumptions!$H$26)</f>
        <v>324.91941808571426</v>
      </c>
      <c r="D25" s="55">
        <f>C25*(1+ENA_Assumptions!$H$26)</f>
        <v>334.66700062828568</v>
      </c>
      <c r="E25" s="55">
        <f>D25*(1+ENA_Assumptions!$H$26)</f>
        <v>344.70701064713427</v>
      </c>
      <c r="F25" s="55">
        <f>E25*(1+ENA_Assumptions!$H$26)</f>
        <v>355.04822096654829</v>
      </c>
      <c r="G25" s="55">
        <f>F25*(1+ENA_Assumptions!$H$26)</f>
        <v>365.69966759554472</v>
      </c>
      <c r="H25" s="55">
        <f>G25*(1+ENA_Assumptions!$H$26)</f>
        <v>376.6706576234111</v>
      </c>
      <c r="I25" s="55">
        <f>H25*(1+ENA_Assumptions!$H$26)</f>
        <v>387.97077735211343</v>
      </c>
      <c r="J25" s="55">
        <f>I25*(1+ENA_Assumptions!$H$26)</f>
        <v>399.60990067267682</v>
      </c>
      <c r="K25" s="55">
        <f>J25*(1+ENA_Assumptions!$H$26)</f>
        <v>411.59819769285713</v>
      </c>
      <c r="L25" s="55">
        <f>K25*(1+ENA_Assumptions!$H$26)</f>
        <v>423.94614362364285</v>
      </c>
      <c r="M25" s="55">
        <f>L25*(1+ENA_Assumptions!$H$26)</f>
        <v>436.66452793235214</v>
      </c>
      <c r="N25" s="55">
        <f>M25*(1+ENA_Assumptions!$H$26)</f>
        <v>449.76446377032272</v>
      </c>
      <c r="O25" s="55">
        <f>N25*(1+ENA_Assumptions!$H$26)</f>
        <v>463.25739768343243</v>
      </c>
      <c r="P25" s="55">
        <f>O25*(1+ENA_Assumptions!$H$26)</f>
        <v>477.15511961393543</v>
      </c>
      <c r="Q25" s="55">
        <f>P25*(1+ENA_Assumptions!$H$26)</f>
        <v>491.46977320235351</v>
      </c>
      <c r="R25" s="55">
        <f>Q25*(1+ENA_Assumptions!$H$26)</f>
        <v>506.2138663984241</v>
      </c>
      <c r="S25" s="55">
        <f>R25*(1+ENA_Assumptions!$H$26)</f>
        <v>521.40028239037679</v>
      </c>
      <c r="T25" s="55">
        <f>S25*(1+ENA_Assumptions!$H$26)</f>
        <v>537.04229086208807</v>
      </c>
      <c r="U25" s="55">
        <f>T25*(1+ENA_Assumptions!$H$26)</f>
        <v>553.15355958795067</v>
      </c>
      <c r="W25" s="55">
        <f t="shared" si="5"/>
        <v>8476.4140220434492</v>
      </c>
    </row>
    <row r="26" spans="1:55">
      <c r="A26" s="4" t="s">
        <v>506</v>
      </c>
      <c r="B26" s="336">
        <v>0</v>
      </c>
      <c r="C26" s="336">
        <v>117.98699999999999</v>
      </c>
      <c r="D26" s="336">
        <v>216.84299999999999</v>
      </c>
      <c r="E26" s="336">
        <v>295.98500000000001</v>
      </c>
      <c r="F26" s="336">
        <v>346.25099999999998</v>
      </c>
      <c r="G26" s="336">
        <v>468.65699999999998</v>
      </c>
      <c r="H26" s="336">
        <v>641.05899999999997</v>
      </c>
      <c r="I26" s="336">
        <v>753.23199999999997</v>
      </c>
      <c r="J26" s="336">
        <v>765.3</v>
      </c>
      <c r="K26" s="336">
        <v>699.25800000000004</v>
      </c>
      <c r="L26" s="336">
        <v>854.33299999999997</v>
      </c>
      <c r="M26" s="336">
        <v>854.3</v>
      </c>
      <c r="N26" s="336">
        <v>854.3</v>
      </c>
      <c r="O26" s="336">
        <v>854.3</v>
      </c>
      <c r="P26" s="336">
        <v>854.3</v>
      </c>
      <c r="Q26" s="336">
        <v>854.3</v>
      </c>
      <c r="R26" s="336">
        <v>854.3</v>
      </c>
      <c r="S26" s="336">
        <v>854.3</v>
      </c>
      <c r="T26" s="336">
        <v>854.3</v>
      </c>
      <c r="U26" s="336">
        <v>854.3</v>
      </c>
      <c r="W26" s="55">
        <f t="shared" si="5"/>
        <v>12847.604999999996</v>
      </c>
    </row>
    <row r="27" spans="1:55" s="271" customFormat="1">
      <c r="A27" s="4" t="s">
        <v>507</v>
      </c>
      <c r="B27" s="600">
        <v>0</v>
      </c>
      <c r="C27" s="600">
        <v>0</v>
      </c>
      <c r="D27" s="600">
        <v>0</v>
      </c>
      <c r="E27" s="600">
        <v>0</v>
      </c>
      <c r="F27" s="600">
        <v>0</v>
      </c>
      <c r="G27" s="600">
        <v>0</v>
      </c>
      <c r="H27" s="600">
        <v>0</v>
      </c>
      <c r="I27" s="600">
        <v>0</v>
      </c>
      <c r="J27" s="600">
        <v>0</v>
      </c>
      <c r="K27" s="600">
        <v>0</v>
      </c>
      <c r="L27" s="600">
        <v>0</v>
      </c>
      <c r="M27" s="600">
        <v>0</v>
      </c>
      <c r="N27" s="600">
        <v>0</v>
      </c>
      <c r="O27" s="600">
        <v>0</v>
      </c>
      <c r="P27" s="600">
        <v>0</v>
      </c>
      <c r="Q27" s="600">
        <v>0</v>
      </c>
      <c r="R27" s="600">
        <v>0</v>
      </c>
      <c r="S27" s="600">
        <v>0</v>
      </c>
      <c r="T27" s="600">
        <v>0</v>
      </c>
      <c r="U27" s="600">
        <v>0</v>
      </c>
      <c r="V27" s="55"/>
      <c r="W27" s="55">
        <f t="shared" si="5"/>
        <v>0</v>
      </c>
      <c r="AB27" s="313"/>
      <c r="AC27" s="313"/>
    </row>
    <row r="28" spans="1:55" ht="12" customHeight="1">
      <c r="A28" s="4" t="s">
        <v>22</v>
      </c>
      <c r="B28" s="90">
        <f t="shared" ref="B28:U28" si="6">SUM(B22:B27)</f>
        <v>3765.6760505357156</v>
      </c>
      <c r="C28" s="90">
        <f t="shared" si="6"/>
        <v>3996.6333320517879</v>
      </c>
      <c r="D28" s="90">
        <f t="shared" si="6"/>
        <v>4211.8487220133411</v>
      </c>
      <c r="E28" s="90">
        <f t="shared" si="6"/>
        <v>4410.8408936737405</v>
      </c>
      <c r="F28" s="90">
        <f t="shared" si="6"/>
        <v>4584.5525704839529</v>
      </c>
      <c r="G28" s="90">
        <f t="shared" si="6"/>
        <v>4834.1076175984717</v>
      </c>
      <c r="H28" s="90">
        <f t="shared" si="6"/>
        <v>5137.4731361264267</v>
      </c>
      <c r="I28" s="90">
        <f t="shared" si="6"/>
        <v>5384.5385602102187</v>
      </c>
      <c r="J28" s="90">
        <f t="shared" si="6"/>
        <v>5535.5457570165263</v>
      </c>
      <c r="K28" s="90">
        <f t="shared" si="6"/>
        <v>5612.6111297270209</v>
      </c>
      <c r="L28" s="90">
        <f t="shared" si="6"/>
        <v>5915.0867236188315</v>
      </c>
      <c r="M28" s="90">
        <f t="shared" si="6"/>
        <v>6066.8763353273971</v>
      </c>
      <c r="N28" s="90">
        <f t="shared" si="6"/>
        <v>6223.2536253872195</v>
      </c>
      <c r="O28" s="90">
        <f t="shared" si="6"/>
        <v>6384.3222341488372</v>
      </c>
      <c r="P28" s="90">
        <f t="shared" si="6"/>
        <v>6550.2229011733016</v>
      </c>
      <c r="Q28" s="90">
        <f t="shared" si="6"/>
        <v>6721.1005882085001</v>
      </c>
      <c r="R28" s="90">
        <f t="shared" si="6"/>
        <v>6897.1046058547554</v>
      </c>
      <c r="S28" s="90">
        <f t="shared" si="6"/>
        <v>7078.3887440303979</v>
      </c>
      <c r="T28" s="90">
        <f t="shared" si="6"/>
        <v>7265.1114063513096</v>
      </c>
      <c r="U28" s="90">
        <f t="shared" si="6"/>
        <v>7457.4357485418486</v>
      </c>
      <c r="W28" s="55">
        <f t="shared" si="5"/>
        <v>114032.73068207959</v>
      </c>
    </row>
    <row r="29" spans="1:55" s="237" customFormat="1" outlineLevel="1">
      <c r="A29" s="6"/>
      <c r="B29" s="1078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7">B19-B28</f>
        <v>30544.641464984612</v>
      </c>
      <c r="C31" s="273">
        <f t="shared" si="7"/>
        <v>30368.174265382113</v>
      </c>
      <c r="D31" s="273">
        <f t="shared" si="7"/>
        <v>30209.367042416539</v>
      </c>
      <c r="E31" s="273">
        <f t="shared" si="7"/>
        <v>35945.517046869412</v>
      </c>
      <c r="F31" s="273">
        <f t="shared" si="7"/>
        <v>37871.983559086526</v>
      </c>
      <c r="G31" s="273">
        <f t="shared" si="7"/>
        <v>38500.283462084706</v>
      </c>
      <c r="H31" s="273">
        <f t="shared" si="7"/>
        <v>39092.517706428007</v>
      </c>
      <c r="I31" s="273">
        <f t="shared" si="7"/>
        <v>39760.563029861332</v>
      </c>
      <c r="J31" s="273">
        <f t="shared" si="7"/>
        <v>40545.072719983669</v>
      </c>
      <c r="K31" s="273">
        <f t="shared" si="7"/>
        <v>41424.060669480037</v>
      </c>
      <c r="L31" s="273">
        <f t="shared" si="7"/>
        <v>41757.739548501224</v>
      </c>
      <c r="M31" s="273">
        <f t="shared" si="7"/>
        <v>42253.269866526629</v>
      </c>
      <c r="N31" s="273">
        <f t="shared" si="7"/>
        <v>42753.588336540386</v>
      </c>
      <c r="O31" s="273">
        <f t="shared" si="7"/>
        <v>43258.744225100672</v>
      </c>
      <c r="P31" s="273">
        <f t="shared" si="7"/>
        <v>43768.752210285464</v>
      </c>
      <c r="Q31" s="273">
        <f t="shared" si="7"/>
        <v>44393.809397209523</v>
      </c>
      <c r="R31" s="273">
        <f t="shared" si="7"/>
        <v>45026.82323209192</v>
      </c>
      <c r="S31" s="273">
        <f t="shared" si="7"/>
        <v>45667.86919186062</v>
      </c>
      <c r="T31" s="273">
        <f t="shared" si="7"/>
        <v>46317.022549810616</v>
      </c>
      <c r="U31" s="273">
        <f t="shared" si="7"/>
        <v>46974.358332179421</v>
      </c>
      <c r="W31" s="55">
        <f>SUM(B31:U31)</f>
        <v>806434.15785668348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ENA_Depreciation!C45</f>
        <v>7011.6877311229173</v>
      </c>
      <c r="C33" s="90">
        <f>ENA_Depreciation!D45</f>
        <v>7011.6877311229173</v>
      </c>
      <c r="D33" s="90">
        <f>ENA_Depreciation!E45</f>
        <v>7011.6877311229173</v>
      </c>
      <c r="E33" s="90">
        <f>ENA_Depreciation!F45</f>
        <v>7011.6877311229173</v>
      </c>
      <c r="F33" s="90">
        <f>ENA_Depreciation!G45</f>
        <v>7011.6877311229173</v>
      </c>
      <c r="G33" s="90">
        <f>ENA_Depreciation!H45</f>
        <v>7011.6877311229173</v>
      </c>
      <c r="H33" s="90">
        <f>ENA_Depreciation!I45</f>
        <v>7011.6877311229173</v>
      </c>
      <c r="I33" s="90">
        <f>ENA_Depreciation!J45</f>
        <v>7011.6877311229173</v>
      </c>
      <c r="J33" s="90">
        <f>ENA_Depreciation!K45</f>
        <v>7011.6877311229173</v>
      </c>
      <c r="K33" s="90">
        <f>ENA_Depreciation!L45</f>
        <v>7011.6877311229173</v>
      </c>
      <c r="L33" s="90">
        <f>ENA_Depreciation!M45</f>
        <v>7011.6877311229173</v>
      </c>
      <c r="M33" s="90">
        <f>ENA_Depreciation!N45</f>
        <v>7011.6877311229173</v>
      </c>
      <c r="N33" s="90">
        <f>ENA_Depreciation!O45</f>
        <v>7011.6877311229173</v>
      </c>
      <c r="O33" s="90">
        <f>ENA_Depreciation!P45</f>
        <v>7011.6877311229173</v>
      </c>
      <c r="P33" s="90">
        <f>ENA_Depreciation!Q45</f>
        <v>7011.6877311229173</v>
      </c>
      <c r="Q33" s="90">
        <f>ENA_Depreciation!R45</f>
        <v>7011.6877311229173</v>
      </c>
      <c r="R33" s="90">
        <f>ENA_Depreciation!S45</f>
        <v>7011.6877311229173</v>
      </c>
      <c r="S33" s="90">
        <f>ENA_Depreciation!T45</f>
        <v>7011.6877311229173</v>
      </c>
      <c r="T33" s="90">
        <f>ENA_Depreciation!U45</f>
        <v>7011.6877311229173</v>
      </c>
      <c r="U33" s="90">
        <f>ENA_Depreciation!V45</f>
        <v>7011.6877311229173</v>
      </c>
      <c r="W33" s="55">
        <f>SUM(B33:U33)</f>
        <v>140233.75462245833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23532.953733861694</v>
      </c>
      <c r="C35" s="93">
        <f t="shared" si="8"/>
        <v>23356.486534259195</v>
      </c>
      <c r="D35" s="93">
        <f t="shared" si="8"/>
        <v>23197.679311293621</v>
      </c>
      <c r="E35" s="93">
        <f t="shared" si="8"/>
        <v>28933.829315746494</v>
      </c>
      <c r="F35" s="93">
        <f t="shared" si="8"/>
        <v>30860.295827963608</v>
      </c>
      <c r="G35" s="93">
        <f t="shared" si="8"/>
        <v>31488.595730961788</v>
      </c>
      <c r="H35" s="93">
        <f t="shared" si="8"/>
        <v>32080.829975305089</v>
      </c>
      <c r="I35" s="93">
        <f t="shared" si="8"/>
        <v>32748.875298738414</v>
      </c>
      <c r="J35" s="93">
        <f t="shared" si="8"/>
        <v>33533.384988860751</v>
      </c>
      <c r="K35" s="93">
        <f t="shared" si="8"/>
        <v>34412.372938357119</v>
      </c>
      <c r="L35" s="93">
        <f t="shared" si="8"/>
        <v>34746.051817378306</v>
      </c>
      <c r="M35" s="93">
        <f t="shared" si="8"/>
        <v>35241.582135403711</v>
      </c>
      <c r="N35" s="93">
        <f t="shared" si="8"/>
        <v>35741.900605417468</v>
      </c>
      <c r="O35" s="93">
        <f t="shared" si="8"/>
        <v>36247.056493977754</v>
      </c>
      <c r="P35" s="93">
        <f t="shared" si="8"/>
        <v>36757.064479162545</v>
      </c>
      <c r="Q35" s="93">
        <f t="shared" si="8"/>
        <v>37382.121666086605</v>
      </c>
      <c r="R35" s="93">
        <f t="shared" si="8"/>
        <v>38015.135500969001</v>
      </c>
      <c r="S35" s="93">
        <f t="shared" si="8"/>
        <v>38656.181460737702</v>
      </c>
      <c r="T35" s="93">
        <f t="shared" si="8"/>
        <v>39305.334818687697</v>
      </c>
      <c r="U35" s="93">
        <f t="shared" si="8"/>
        <v>39962.670601056503</v>
      </c>
      <c r="W35" s="55">
        <f>SUM(B35:U35)</f>
        <v>666200.40323422512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ENA_IS!B38*ENA_Allocation!$E$13</f>
        <v>13772.860189426332</v>
      </c>
      <c r="C37" s="90">
        <f>ENA_IS!C38*ENA_Allocation!$E$13</f>
        <v>13566.203317687863</v>
      </c>
      <c r="D37" s="90">
        <f>ENA_IS!D38*ENA_Allocation!$E$13</f>
        <v>13274.706811635697</v>
      </c>
      <c r="E37" s="90">
        <f>ENA_IS!E38*ENA_Allocation!$E$13</f>
        <v>13045.883026678363</v>
      </c>
      <c r="F37" s="90">
        <f>ENA_IS!F38*ENA_Allocation!$E$13</f>
        <v>12641.04499161461</v>
      </c>
      <c r="G37" s="90">
        <f>ENA_IS!G38*ENA_Allocation!$E$13</f>
        <v>12161.207168732251</v>
      </c>
      <c r="H37" s="90">
        <f>ENA_IS!H38*ENA_Allocation!$E$13</f>
        <v>11621.934061271668</v>
      </c>
      <c r="I37" s="90">
        <f>ENA_IS!I38*ENA_Allocation!$E$13</f>
        <v>11057.75537879854</v>
      </c>
      <c r="J37" s="90">
        <f>ENA_IS!J38*ENA_Allocation!$E$13</f>
        <v>10356.957432516312</v>
      </c>
      <c r="K37" s="90">
        <f>ENA_IS!K38*ENA_Allocation!$E$13</f>
        <v>9580.4211020427956</v>
      </c>
      <c r="L37" s="90">
        <f>ENA_IS!L38*ENA_Allocation!$E$13</f>
        <v>8763.3274704826836</v>
      </c>
      <c r="M37" s="90">
        <f>ENA_IS!M38*ENA_Allocation!$E$13</f>
        <v>7872.4235730695937</v>
      </c>
      <c r="N37" s="90">
        <f>ENA_IS!N38*ENA_Allocation!$E$13</f>
        <v>6937.243390427775</v>
      </c>
      <c r="O37" s="90">
        <f>ENA_IS!O38*ENA_Allocation!$E$13</f>
        <v>6024.2013504003198</v>
      </c>
      <c r="P37" s="90">
        <f>ENA_IS!P38*ENA_Allocation!$E$13</f>
        <v>5099.65247918348</v>
      </c>
      <c r="Q37" s="90">
        <f>ENA_IS!Q38*ENA_Allocation!$E$13</f>
        <v>4141.4586341628865</v>
      </c>
      <c r="R37" s="90">
        <f>ENA_IS!R38*ENA_Allocation!$E$13</f>
        <v>3125.1052619350653</v>
      </c>
      <c r="S37" s="90">
        <f>ENA_IS!S38*ENA_Allocation!$E$13</f>
        <v>2166.786342662414</v>
      </c>
      <c r="T37" s="90">
        <f>ENA_IS!T38*ENA_Allocation!$E$13</f>
        <v>1345.0485066377048</v>
      </c>
      <c r="U37" s="90">
        <f>ENA_IS!U38*ENA_Allocation!$E$13</f>
        <v>525.3118586459326</v>
      </c>
      <c r="W37" s="55">
        <f>SUM(B37:U37)</f>
        <v>167079.53234801226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9760.0935444353618</v>
      </c>
      <c r="C39" s="93">
        <f t="shared" si="9"/>
        <v>9790.2832165713316</v>
      </c>
      <c r="D39" s="93">
        <f t="shared" si="9"/>
        <v>9922.9724996579243</v>
      </c>
      <c r="E39" s="93">
        <f t="shared" si="9"/>
        <v>15887.946289068132</v>
      </c>
      <c r="F39" s="93">
        <f t="shared" si="9"/>
        <v>18219.250836348998</v>
      </c>
      <c r="G39" s="93">
        <f t="shared" si="9"/>
        <v>19327.388562229535</v>
      </c>
      <c r="H39" s="93">
        <f t="shared" si="9"/>
        <v>20458.895914033419</v>
      </c>
      <c r="I39" s="93">
        <f t="shared" si="9"/>
        <v>21691.119919939876</v>
      </c>
      <c r="J39" s="93">
        <f t="shared" si="9"/>
        <v>23176.427556344439</v>
      </c>
      <c r="K39" s="93">
        <f t="shared" si="9"/>
        <v>24831.951836314322</v>
      </c>
      <c r="L39" s="93">
        <f t="shared" si="9"/>
        <v>25982.724346895622</v>
      </c>
      <c r="M39" s="93">
        <f t="shared" si="9"/>
        <v>27369.158562334116</v>
      </c>
      <c r="N39" s="93">
        <f t="shared" si="9"/>
        <v>28804.657214989693</v>
      </c>
      <c r="O39" s="93">
        <f t="shared" si="9"/>
        <v>30222.855143577435</v>
      </c>
      <c r="P39" s="93">
        <f t="shared" si="9"/>
        <v>31657.411999979064</v>
      </c>
      <c r="Q39" s="93">
        <f t="shared" si="9"/>
        <v>33240.663031923716</v>
      </c>
      <c r="R39" s="93">
        <f t="shared" si="9"/>
        <v>34890.030239033935</v>
      </c>
      <c r="S39" s="93">
        <f t="shared" si="9"/>
        <v>36489.395118075285</v>
      </c>
      <c r="T39" s="93">
        <f t="shared" si="9"/>
        <v>37960.28631204999</v>
      </c>
      <c r="U39" s="93">
        <f t="shared" si="9"/>
        <v>39437.358742410572</v>
      </c>
      <c r="W39" s="55">
        <f>SUM(B39:U39)</f>
        <v>499120.87088621274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B39*-ENA_Assumptions!$H$39</f>
        <v>-439.20420949959129</v>
      </c>
      <c r="C41" s="90">
        <f>C39*-ENA_Assumptions!$H$39</f>
        <v>-440.56274474570989</v>
      </c>
      <c r="D41" s="90">
        <f>D39*-ENA_Assumptions!$H$39</f>
        <v>-446.5337624846066</v>
      </c>
      <c r="E41" s="90">
        <f>E39*-ENA_Assumptions!$H$39</f>
        <v>-714.95758300806585</v>
      </c>
      <c r="F41" s="90">
        <f>F39*-ENA_Assumptions!$H$39</f>
        <v>-819.86628763570491</v>
      </c>
      <c r="G41" s="90">
        <f>G39*-ENA_Assumptions!$H$39</f>
        <v>-869.73248530032902</v>
      </c>
      <c r="H41" s="90">
        <f>H39*-ENA_Assumptions!$H$39</f>
        <v>-920.65031613150381</v>
      </c>
      <c r="I41" s="90">
        <f>I39*-ENA_Assumptions!$H$39</f>
        <v>-976.10039639729439</v>
      </c>
      <c r="J41" s="90">
        <f>J39*-ENA_Assumptions!$H$39</f>
        <v>-1042.9392400354998</v>
      </c>
      <c r="K41" s="90">
        <f>K39*-ENA_Assumptions!$H$39</f>
        <v>-1117.4378326341443</v>
      </c>
      <c r="L41" s="90">
        <f>L39*-ENA_Assumptions!$H$39</f>
        <v>-1169.222595610303</v>
      </c>
      <c r="M41" s="90">
        <f>M39*-ENA_Assumptions!$H$39</f>
        <v>-1231.6121353050353</v>
      </c>
      <c r="N41" s="90">
        <f>N39*-ENA_Assumptions!$H$39</f>
        <v>-1296.209574674536</v>
      </c>
      <c r="O41" s="90">
        <f>O39*-ENA_Assumptions!$H$39</f>
        <v>-1360.0284814609845</v>
      </c>
      <c r="P41" s="90">
        <f>P39*-ENA_Assumptions!$H$39</f>
        <v>-1424.5835399990578</v>
      </c>
      <c r="Q41" s="90">
        <f>Q39*-ENA_Assumptions!$H$39</f>
        <v>-1495.8298364365671</v>
      </c>
      <c r="R41" s="90">
        <f>R39*-ENA_Assumptions!$H$39</f>
        <v>-1570.0513607565269</v>
      </c>
      <c r="S41" s="90">
        <f>S39*-ENA_Assumptions!$H$39</f>
        <v>-1642.0227803133878</v>
      </c>
      <c r="T41" s="90">
        <f>T39*-ENA_Assumptions!$H$39</f>
        <v>-1708.2128840422495</v>
      </c>
      <c r="U41" s="90">
        <f>U39*-ENA_Assumptions!$H$39</f>
        <v>-1774.6811434084757</v>
      </c>
      <c r="W41" s="55">
        <f>SUM(B41:U41)</f>
        <v>-22460.439189879573</v>
      </c>
    </row>
    <row r="42" spans="1:23">
      <c r="A42" s="4" t="s">
        <v>29</v>
      </c>
      <c r="B42" s="89">
        <f>(B39+B41)*-ENA_Assumptions!$H$38</f>
        <v>-3262.3112672275197</v>
      </c>
      <c r="C42" s="89">
        <f>(C39+C41)*-ENA_Assumptions!$H$38</f>
        <v>-3272.4021651389676</v>
      </c>
      <c r="D42" s="89">
        <f>(D39+D41)*-ENA_Assumptions!$H$38</f>
        <v>-3316.753558010661</v>
      </c>
      <c r="E42" s="89">
        <f>(E39+E41)*-ENA_Assumptions!$H$38</f>
        <v>-5310.5460471210226</v>
      </c>
      <c r="F42" s="89">
        <f>(F39+F41)*-ENA_Assumptions!$H$38</f>
        <v>-6089.784592049652</v>
      </c>
      <c r="G42" s="89">
        <f>(G39+G41)*-ENA_Assumptions!$H$38</f>
        <v>-6460.1796269252209</v>
      </c>
      <c r="H42" s="89">
        <f>(H39+H41)*-ENA_Assumptions!$H$38</f>
        <v>-6838.38595926567</v>
      </c>
      <c r="I42" s="89">
        <f>(I39+I41)*-ENA_Assumptions!$H$38</f>
        <v>-7250.2568332399032</v>
      </c>
      <c r="J42" s="89">
        <f>(J39+J41)*-ENA_Assumptions!$H$38</f>
        <v>-7746.720910708128</v>
      </c>
      <c r="K42" s="89">
        <f>(K39+K41)*-ENA_Assumptions!$H$38</f>
        <v>-8300.0799012880616</v>
      </c>
      <c r="L42" s="89">
        <f>(L39+L41)*-ENA_Assumptions!$H$38</f>
        <v>-8684.7256129498619</v>
      </c>
      <c r="M42" s="89">
        <f>(M39+M41)*-ENA_Assumptions!$H$38</f>
        <v>-9148.1412494601773</v>
      </c>
      <c r="N42" s="89">
        <f>(N39+N41)*-ENA_Assumptions!$H$38</f>
        <v>-9627.9566741103044</v>
      </c>
      <c r="O42" s="89">
        <f>(O39+O41)*-ENA_Assumptions!$H$38</f>
        <v>-10101.989331740757</v>
      </c>
      <c r="P42" s="89">
        <f>(P39+P41)*-ENA_Assumptions!$H$38</f>
        <v>-10581.489960993002</v>
      </c>
      <c r="Q42" s="89">
        <f>(Q39+Q41)*-ENA_Assumptions!$H$38</f>
        <v>-11110.691618420502</v>
      </c>
      <c r="R42" s="89">
        <f>(R39+R41)*-ENA_Assumptions!$H$38</f>
        <v>-11661.992607397091</v>
      </c>
      <c r="S42" s="89">
        <f>(S39+S41)*-ENA_Assumptions!$H$38</f>
        <v>-12196.580318216662</v>
      </c>
      <c r="T42" s="89">
        <f>(T39+T41)*-ENA_Assumptions!$H$38</f>
        <v>-12688.225699802708</v>
      </c>
      <c r="U42" s="89">
        <f>(U39+U41)*-ENA_Assumptions!$H$38</f>
        <v>-13181.937159650734</v>
      </c>
      <c r="W42" s="55">
        <f>SUM(B42:U42)</f>
        <v>-166831.15109371662</v>
      </c>
    </row>
    <row r="43" spans="1:23" ht="6" customHeight="1">
      <c r="B43" s="90"/>
      <c r="C43" s="55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6058.5780677082512</v>
      </c>
      <c r="C44" s="239">
        <f t="shared" si="10"/>
        <v>6077.3183066866541</v>
      </c>
      <c r="D44" s="239">
        <f t="shared" si="10"/>
        <v>6159.6851791626559</v>
      </c>
      <c r="E44" s="239">
        <f t="shared" si="10"/>
        <v>9862.4426589390423</v>
      </c>
      <c r="F44" s="239">
        <f t="shared" si="10"/>
        <v>11309.599956663642</v>
      </c>
      <c r="G44" s="239">
        <f t="shared" si="10"/>
        <v>11997.476450003984</v>
      </c>
      <c r="H44" s="239">
        <f t="shared" si="10"/>
        <v>12699.859638636244</v>
      </c>
      <c r="I44" s="239">
        <f t="shared" si="10"/>
        <v>13464.762690302679</v>
      </c>
      <c r="J44" s="239">
        <f t="shared" si="10"/>
        <v>14386.767405600811</v>
      </c>
      <c r="K44" s="239">
        <f t="shared" si="10"/>
        <v>15414.434102392117</v>
      </c>
      <c r="L44" s="239">
        <f t="shared" si="10"/>
        <v>16128.776138335457</v>
      </c>
      <c r="M44" s="239">
        <f t="shared" si="10"/>
        <v>16989.4051775689</v>
      </c>
      <c r="N44" s="239">
        <f t="shared" si="10"/>
        <v>17880.490966204852</v>
      </c>
      <c r="O44" s="239">
        <f t="shared" si="10"/>
        <v>18760.837330375696</v>
      </c>
      <c r="P44" s="239">
        <f t="shared" si="10"/>
        <v>19651.338498987003</v>
      </c>
      <c r="Q44" s="239">
        <f t="shared" si="10"/>
        <v>20634.14157706665</v>
      </c>
      <c r="R44" s="239">
        <f t="shared" si="10"/>
        <v>21657.986270880312</v>
      </c>
      <c r="S44" s="239">
        <f t="shared" si="10"/>
        <v>22650.792019545232</v>
      </c>
      <c r="T44" s="239">
        <f t="shared" si="10"/>
        <v>23563.84772820503</v>
      </c>
      <c r="U44" s="239">
        <f t="shared" si="10"/>
        <v>24480.740439351364</v>
      </c>
      <c r="W44" s="55">
        <f>SUM(B44:U44)</f>
        <v>309829.28060261655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>D52+1</f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>J52+1</f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5" outlineLevel="1">
      <c r="A54" s="15" t="s">
        <v>510</v>
      </c>
      <c r="B54" s="29">
        <f>B31-B12</f>
        <v>20941.82126325</v>
      </c>
      <c r="C54" s="29">
        <f>C31-C12</f>
        <v>20765.354063647501</v>
      </c>
      <c r="D54" s="29">
        <f>D31-D12</f>
        <v>20606.546840681927</v>
      </c>
      <c r="E54" s="20">
        <f t="shared" ref="E54:U54" si="12">E31</f>
        <v>35945.517046869412</v>
      </c>
      <c r="F54" s="20">
        <f t="shared" si="12"/>
        <v>37871.983559086526</v>
      </c>
      <c r="G54" s="20">
        <f t="shared" si="12"/>
        <v>38500.283462084706</v>
      </c>
      <c r="H54" s="20">
        <f t="shared" si="12"/>
        <v>39092.517706428007</v>
      </c>
      <c r="I54" s="20">
        <f t="shared" si="12"/>
        <v>39760.563029861332</v>
      </c>
      <c r="J54" s="20">
        <f t="shared" si="12"/>
        <v>40545.072719983669</v>
      </c>
      <c r="K54" s="20">
        <f t="shared" si="12"/>
        <v>41424.060669480037</v>
      </c>
      <c r="L54" s="20">
        <f t="shared" si="12"/>
        <v>41757.739548501224</v>
      </c>
      <c r="M54" s="20">
        <f t="shared" si="12"/>
        <v>42253.269866526629</v>
      </c>
      <c r="N54" s="20">
        <f t="shared" si="12"/>
        <v>42753.588336540386</v>
      </c>
      <c r="O54" s="20">
        <f t="shared" si="12"/>
        <v>43258.744225100672</v>
      </c>
      <c r="P54" s="20">
        <f t="shared" si="12"/>
        <v>43768.752210285464</v>
      </c>
      <c r="Q54" s="20">
        <f t="shared" si="12"/>
        <v>44393.809397209523</v>
      </c>
      <c r="R54" s="20">
        <f t="shared" si="12"/>
        <v>45026.82323209192</v>
      </c>
      <c r="S54" s="20">
        <f t="shared" si="12"/>
        <v>45667.86919186062</v>
      </c>
      <c r="T54" s="20">
        <f t="shared" si="12"/>
        <v>46317.022549810616</v>
      </c>
      <c r="U54" s="20">
        <f t="shared" si="12"/>
        <v>46974.358332179421</v>
      </c>
      <c r="W54" s="954">
        <f>SUM(B54:U54)</f>
        <v>777625.69725147972</v>
      </c>
    </row>
    <row r="55" spans="1:55">
      <c r="A55" s="15" t="s">
        <v>481</v>
      </c>
      <c r="B55" s="29">
        <f>B26</f>
        <v>0</v>
      </c>
      <c r="C55" s="29">
        <f t="shared" ref="C55:U55" si="13">C26</f>
        <v>117.98699999999999</v>
      </c>
      <c r="D55" s="29">
        <f t="shared" si="13"/>
        <v>216.84299999999999</v>
      </c>
      <c r="E55" s="29">
        <f t="shared" si="13"/>
        <v>295.98500000000001</v>
      </c>
      <c r="F55" s="29">
        <f t="shared" si="13"/>
        <v>346.25099999999998</v>
      </c>
      <c r="G55" s="29">
        <f t="shared" si="13"/>
        <v>468.65699999999998</v>
      </c>
      <c r="H55" s="29">
        <f t="shared" si="13"/>
        <v>641.05899999999997</v>
      </c>
      <c r="I55" s="29">
        <f t="shared" si="13"/>
        <v>753.23199999999997</v>
      </c>
      <c r="J55" s="29">
        <f t="shared" si="13"/>
        <v>765.3</v>
      </c>
      <c r="K55" s="29">
        <f t="shared" si="13"/>
        <v>699.25800000000004</v>
      </c>
      <c r="L55" s="29">
        <f t="shared" si="13"/>
        <v>854.33299999999997</v>
      </c>
      <c r="M55" s="29">
        <f t="shared" si="13"/>
        <v>854.3</v>
      </c>
      <c r="N55" s="29">
        <f t="shared" si="13"/>
        <v>854.3</v>
      </c>
      <c r="O55" s="29">
        <f t="shared" si="13"/>
        <v>854.3</v>
      </c>
      <c r="P55" s="29">
        <f t="shared" si="13"/>
        <v>854.3</v>
      </c>
      <c r="Q55" s="29">
        <f t="shared" si="13"/>
        <v>854.3</v>
      </c>
      <c r="R55" s="29">
        <f t="shared" si="13"/>
        <v>854.3</v>
      </c>
      <c r="S55" s="29">
        <f t="shared" si="13"/>
        <v>854.3</v>
      </c>
      <c r="T55" s="29">
        <f t="shared" si="13"/>
        <v>854.3</v>
      </c>
      <c r="U55" s="29">
        <f t="shared" si="13"/>
        <v>854.3</v>
      </c>
      <c r="W55" s="954">
        <f>SUM(B55:U55)</f>
        <v>12847.604999999996</v>
      </c>
      <c r="X55" s="271"/>
      <c r="Y55" s="271"/>
      <c r="Z55" s="271"/>
      <c r="AA55" s="271"/>
      <c r="AB55" s="313"/>
      <c r="AC55" s="313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-203.273</v>
      </c>
      <c r="C56" s="29">
        <f>-B55</f>
        <v>0</v>
      </c>
      <c r="D56" s="29">
        <f t="shared" ref="D56:U56" si="14">-C55</f>
        <v>-117.98699999999999</v>
      </c>
      <c r="E56" s="29">
        <f t="shared" si="14"/>
        <v>-216.84299999999999</v>
      </c>
      <c r="F56" s="29">
        <f t="shared" si="14"/>
        <v>-295.98500000000001</v>
      </c>
      <c r="G56" s="29">
        <f t="shared" si="14"/>
        <v>-346.25099999999998</v>
      </c>
      <c r="H56" s="29">
        <f t="shared" si="14"/>
        <v>-468.65699999999998</v>
      </c>
      <c r="I56" s="29">
        <f t="shared" si="14"/>
        <v>-641.05899999999997</v>
      </c>
      <c r="J56" s="29">
        <f t="shared" si="14"/>
        <v>-753.23199999999997</v>
      </c>
      <c r="K56" s="29">
        <f t="shared" si="14"/>
        <v>-765.3</v>
      </c>
      <c r="L56" s="29">
        <f t="shared" si="14"/>
        <v>-699.25800000000004</v>
      </c>
      <c r="M56" s="29">
        <f t="shared" si="14"/>
        <v>-854.33299999999997</v>
      </c>
      <c r="N56" s="29">
        <f t="shared" si="14"/>
        <v>-854.3</v>
      </c>
      <c r="O56" s="29">
        <f t="shared" si="14"/>
        <v>-854.3</v>
      </c>
      <c r="P56" s="29">
        <f t="shared" si="14"/>
        <v>-854.3</v>
      </c>
      <c r="Q56" s="29">
        <f t="shared" si="14"/>
        <v>-854.3</v>
      </c>
      <c r="R56" s="29">
        <f t="shared" si="14"/>
        <v>-854.3</v>
      </c>
      <c r="S56" s="29">
        <f t="shared" si="14"/>
        <v>-854.3</v>
      </c>
      <c r="T56" s="29">
        <f t="shared" si="14"/>
        <v>-854.3</v>
      </c>
      <c r="U56" s="29">
        <f t="shared" si="14"/>
        <v>-854.3</v>
      </c>
      <c r="W56" s="954">
        <f>SUM(B56:U56)</f>
        <v>-12196.577999999996</v>
      </c>
      <c r="X56" s="271"/>
      <c r="Y56" s="271"/>
      <c r="Z56" s="271"/>
      <c r="AA56" s="271"/>
      <c r="AB56" s="313"/>
      <c r="AC56" s="313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-ENA_Debt!B77*ENA_Allocation!$E$13</f>
        <v>-16434.861105772212</v>
      </c>
      <c r="C57" s="1050">
        <f>-ENA_Debt!C77*ENA_Allocation!$E$13</f>
        <v>-16421.413977962075</v>
      </c>
      <c r="D57" s="1050">
        <f>-ENA_Debt!D77*ENA_Allocation!$E$13</f>
        <v>-16344.594965163607</v>
      </c>
      <c r="E57" s="1050">
        <f>-ENA_Debt!E77*ENA_Allocation!$E$13</f>
        <v>-16111.4776303412</v>
      </c>
      <c r="F57" s="1050">
        <f>-ENA_Debt!F77*ENA_Allocation!$E$13</f>
        <v>-16860.745799009339</v>
      </c>
      <c r="G57" s="1050">
        <f>-ENA_Debt!G77*ENA_Allocation!$E$13</f>
        <v>-16957.961077992924</v>
      </c>
      <c r="H57" s="1050">
        <f>-ENA_Debt!H77*ENA_Allocation!$E$13</f>
        <v>-16851.477796931798</v>
      </c>
      <c r="I57" s="1050">
        <f>-ENA_Debt!I77*ENA_Allocation!$E$13</f>
        <v>-17008.615491791101</v>
      </c>
      <c r="J57" s="1050">
        <f>-ENA_Debt!J77*ENA_Allocation!$E$13</f>
        <v>-16884.870647374821</v>
      </c>
      <c r="K57" s="1050">
        <f>-ENA_Debt!K77*ENA_Allocation!$E$13</f>
        <v>-17079.535296381044</v>
      </c>
      <c r="L57" s="1050">
        <f>-ENA_Debt!L77*ENA_Allocation!$E$13</f>
        <v>-16921.072214123284</v>
      </c>
      <c r="M57" s="1050">
        <f>-ENA_Debt!M77*ENA_Allocation!$E$13</f>
        <v>-16030.168316710193</v>
      </c>
      <c r="N57" s="1050">
        <f>-ENA_Debt!N77*ENA_Allocation!$E$13</f>
        <v>-15094.988134068375</v>
      </c>
      <c r="O57" s="1050">
        <f>-ENA_Debt!O77*ENA_Allocation!$E$13</f>
        <v>-14181.946094040921</v>
      </c>
      <c r="P57" s="1050">
        <f>-ENA_Debt!P77*ENA_Allocation!$E$13</f>
        <v>-13665.284460006109</v>
      </c>
      <c r="Q57" s="1050">
        <f>-ENA_Debt!Q77*ENA_Allocation!$E$13</f>
        <v>-13114.977852167545</v>
      </c>
      <c r="R57" s="1050">
        <f>-ENA_Debt!R77*ENA_Allocation!$E$13</f>
        <v>-12098.624479939726</v>
      </c>
      <c r="S57" s="1050">
        <f>-ENA_Debt!S77*ENA_Allocation!$E$13</f>
        <v>-9508.7566119389539</v>
      </c>
      <c r="T57" s="1050">
        <f>-ENA_Debt!T77*ENA_Allocation!$E$13</f>
        <v>-8687.0187759142445</v>
      </c>
      <c r="U57" s="1050">
        <f>-ENA_Debt!U77*ENA_Allocation!$E$13</f>
        <v>-7051.5076535584194</v>
      </c>
      <c r="W57" s="954">
        <f>SUM(B57:U57)</f>
        <v>-293309.89838118787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27">
        <f t="shared" ref="B59:U59" si="15">SUM(B54:B57)</f>
        <v>4303.687157477787</v>
      </c>
      <c r="C59" s="27">
        <f t="shared" si="15"/>
        <v>4461.9270856854273</v>
      </c>
      <c r="D59" s="27">
        <f t="shared" si="15"/>
        <v>4360.8078755183196</v>
      </c>
      <c r="E59" s="27">
        <f t="shared" si="15"/>
        <v>19913.181416528212</v>
      </c>
      <c r="F59" s="27">
        <f t="shared" si="15"/>
        <v>21061.503760077183</v>
      </c>
      <c r="G59" s="27">
        <f t="shared" si="15"/>
        <v>21664.728384091784</v>
      </c>
      <c r="H59" s="27">
        <f t="shared" si="15"/>
        <v>22413.44190949621</v>
      </c>
      <c r="I59" s="27">
        <f t="shared" si="15"/>
        <v>22864.120538070227</v>
      </c>
      <c r="J59" s="27">
        <f t="shared" si="15"/>
        <v>23672.270072608848</v>
      </c>
      <c r="K59" s="27">
        <f t="shared" si="15"/>
        <v>24278.483373098992</v>
      </c>
      <c r="L59" s="27">
        <f t="shared" si="15"/>
        <v>24991.742334377937</v>
      </c>
      <c r="M59" s="27">
        <f t="shared" si="15"/>
        <v>26223.068549816438</v>
      </c>
      <c r="N59" s="27">
        <f t="shared" si="15"/>
        <v>27658.600202472011</v>
      </c>
      <c r="O59" s="27">
        <f t="shared" si="15"/>
        <v>29076.798131059753</v>
      </c>
      <c r="P59" s="27">
        <f t="shared" si="15"/>
        <v>30103.467750279357</v>
      </c>
      <c r="Q59" s="27">
        <f t="shared" si="15"/>
        <v>31278.831545041976</v>
      </c>
      <c r="R59" s="27">
        <f t="shared" si="15"/>
        <v>32928.198752152195</v>
      </c>
      <c r="S59" s="27">
        <f t="shared" si="15"/>
        <v>36159.112579921668</v>
      </c>
      <c r="T59" s="27">
        <f t="shared" si="15"/>
        <v>37630.003773896373</v>
      </c>
      <c r="U59" s="27">
        <f t="shared" si="15"/>
        <v>39922.850678621005</v>
      </c>
      <c r="W59" s="954">
        <f>SUM(B59:U59)</f>
        <v>484966.82587029168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-B106</f>
        <v>-296.48996776542862</v>
      </c>
      <c r="C61" s="100">
        <f t="shared" ref="C61:U61" si="16">-C106</f>
        <v>-297.14384874839146</v>
      </c>
      <c r="D61" s="100">
        <f t="shared" si="16"/>
        <v>-297.82074675234321</v>
      </c>
      <c r="E61" s="100">
        <f t="shared" si="16"/>
        <v>-540.19017382831646</v>
      </c>
      <c r="F61" s="100">
        <f t="shared" si="16"/>
        <v>-619.454528435866</v>
      </c>
      <c r="G61" s="100">
        <f t="shared" si="16"/>
        <v>-935.75589718324318</v>
      </c>
      <c r="H61" s="100">
        <f t="shared" si="16"/>
        <v>-1387.7308238116098</v>
      </c>
      <c r="I61" s="100">
        <f t="shared" si="16"/>
        <v>-1484.1544051912747</v>
      </c>
      <c r="J61" s="100">
        <f t="shared" si="16"/>
        <v>-1602.41582355418</v>
      </c>
      <c r="K61" s="100">
        <f t="shared" si="16"/>
        <v>-1732.2801265848559</v>
      </c>
      <c r="L61" s="100">
        <f t="shared" si="16"/>
        <v>-1824.1132700077237</v>
      </c>
      <c r="M61" s="100">
        <f t="shared" si="16"/>
        <v>-1932.7194579404195</v>
      </c>
      <c r="N61" s="100">
        <f t="shared" si="16"/>
        <v>-2047.0459665871551</v>
      </c>
      <c r="O61" s="100">
        <f t="shared" si="16"/>
        <v>-2158.1614878586415</v>
      </c>
      <c r="P61" s="100">
        <f t="shared" si="16"/>
        <v>-2272.4135946013157</v>
      </c>
      <c r="Q61" s="100">
        <f t="shared" si="16"/>
        <v>-2669.5143767737236</v>
      </c>
      <c r="R61" s="100">
        <f t="shared" si="16"/>
        <v>-3071.8383367842121</v>
      </c>
      <c r="S61" s="100">
        <f t="shared" si="16"/>
        <v>-3198.1881622284791</v>
      </c>
      <c r="T61" s="100">
        <f t="shared" si="16"/>
        <v>-3314.3885665524804</v>
      </c>
      <c r="U61" s="100">
        <f t="shared" si="16"/>
        <v>-3431.0772885509664</v>
      </c>
      <c r="W61" s="954">
        <f>SUM(B61:U61)</f>
        <v>-35112.896849740624</v>
      </c>
    </row>
    <row r="62" spans="1:55" outlineLevel="1">
      <c r="A62" s="15" t="s">
        <v>512</v>
      </c>
      <c r="B62" s="91">
        <f>-ENA_Allocation!$E$13*ENA_Tax!B24</f>
        <v>0</v>
      </c>
      <c r="C62" s="91">
        <f>-ENA_Allocation!$E$13*ENA_Tax!C24</f>
        <v>0</v>
      </c>
      <c r="D62" s="91">
        <f>-ENA_Allocation!$E$13*ENA_Tax!D24</f>
        <v>0</v>
      </c>
      <c r="E62" s="91">
        <f>-ENA_Allocation!$E$13*ENA_Tax!E24</f>
        <v>0</v>
      </c>
      <c r="F62" s="91">
        <f>-ENA_Allocation!$E$13*ENA_Tax!F24</f>
        <v>0</v>
      </c>
      <c r="G62" s="91">
        <f>-ENA_Allocation!$E$13*ENA_Tax!G24</f>
        <v>0</v>
      </c>
      <c r="H62" s="91">
        <f>-ENA_Allocation!$E$13*ENA_Tax!H24</f>
        <v>-3681.8597830694607</v>
      </c>
      <c r="I62" s="91">
        <f>-ENA_Allocation!$E$13*ENA_Tax!I24</f>
        <v>-4983.9665108527333</v>
      </c>
      <c r="J62" s="91">
        <f>-ENA_Allocation!$E$13*ENA_Tax!J24</f>
        <v>-5369.0853523280848</v>
      </c>
      <c r="K62" s="91">
        <f>-ENA_Allocation!$E$13*ENA_Tax!K24</f>
        <v>-5768.1400831381534</v>
      </c>
      <c r="L62" s="91">
        <f>-ENA_Allocation!$E$13*ENA_Tax!L24</f>
        <v>-6293.1735900604745</v>
      </c>
      <c r="M62" s="91">
        <f>-ENA_Allocation!$E$13*ENA_Tax!M24</f>
        <v>-6842.2848681642927</v>
      </c>
      <c r="N62" s="91">
        <f>-ENA_Allocation!$E$13*ENA_Tax!N24</f>
        <v>-7396.3739263373045</v>
      </c>
      <c r="O62" s="91">
        <f>-ENA_Allocation!$E$13*ENA_Tax!O24</f>
        <v>-7937.5825918155915</v>
      </c>
      <c r="P62" s="91">
        <f>-ENA_Allocation!$E$13*ENA_Tax!P24</f>
        <v>-8473.5811353512163</v>
      </c>
      <c r="Q62" s="91">
        <f>-ENA_Allocation!$E$13*ENA_Tax!Q24</f>
        <v>-11214.187721674427</v>
      </c>
      <c r="R62" s="91">
        <f>-ENA_Allocation!$E$13*ENA_Tax!R24</f>
        <v>-13942.479598575803</v>
      </c>
      <c r="S62" s="91">
        <f>-ENA_Allocation!$E$13*ENA_Tax!S24</f>
        <v>-14461.752368048614</v>
      </c>
      <c r="T62" s="91">
        <f>-ENA_Allocation!$E$13*ENA_Tax!T24</f>
        <v>-14938.611430198553</v>
      </c>
      <c r="U62" s="91">
        <f>-ENA_Allocation!$E$13*ENA_Tax!U24</f>
        <v>-15417.732281011144</v>
      </c>
      <c r="W62" s="954">
        <f>SUM(B62:U62)</f>
        <v>-126720.81124062586</v>
      </c>
    </row>
    <row r="63" spans="1:55" ht="15" outlineLevel="1">
      <c r="A63" s="15"/>
      <c r="B63" s="1079"/>
      <c r="C63" s="1079"/>
      <c r="D63" s="1079"/>
      <c r="E63" s="1079"/>
      <c r="F63" s="1079"/>
      <c r="G63" s="1079"/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4007.1971897123585</v>
      </c>
      <c r="C64" s="246">
        <f t="shared" si="17"/>
        <v>4164.7832369370362</v>
      </c>
      <c r="D64" s="246">
        <f t="shared" si="17"/>
        <v>4062.9871287659762</v>
      </c>
      <c r="E64" s="246">
        <f t="shared" si="17"/>
        <v>19372.991242699896</v>
      </c>
      <c r="F64" s="246">
        <f t="shared" si="17"/>
        <v>20442.049231641318</v>
      </c>
      <c r="G64" s="246">
        <f t="shared" si="17"/>
        <v>20728.97248690854</v>
      </c>
      <c r="H64" s="246">
        <f t="shared" si="17"/>
        <v>17343.851302615141</v>
      </c>
      <c r="I64" s="246">
        <f t="shared" si="17"/>
        <v>16395.999622026218</v>
      </c>
      <c r="J64" s="246">
        <f t="shared" si="17"/>
        <v>16700.768896726582</v>
      </c>
      <c r="K64" s="246">
        <f t="shared" si="17"/>
        <v>16778.06316337598</v>
      </c>
      <c r="L64" s="246">
        <f t="shared" si="17"/>
        <v>16874.455474309736</v>
      </c>
      <c r="M64" s="246">
        <f t="shared" si="17"/>
        <v>17448.064223711724</v>
      </c>
      <c r="N64" s="246">
        <f t="shared" si="17"/>
        <v>18215.180309547552</v>
      </c>
      <c r="O64" s="246">
        <f t="shared" si="17"/>
        <v>18981.054051385523</v>
      </c>
      <c r="P64" s="246">
        <f t="shared" si="17"/>
        <v>19357.473020326823</v>
      </c>
      <c r="Q64" s="246">
        <f t="shared" si="17"/>
        <v>17395.129446593826</v>
      </c>
      <c r="R64" s="246">
        <f t="shared" si="17"/>
        <v>15913.88081679218</v>
      </c>
      <c r="S64" s="246">
        <f t="shared" si="17"/>
        <v>18499.172049644578</v>
      </c>
      <c r="T64" s="246">
        <f t="shared" si="17"/>
        <v>19377.003777145343</v>
      </c>
      <c r="U64" s="246">
        <f t="shared" si="17"/>
        <v>21074.041109058897</v>
      </c>
      <c r="W64" s="954">
        <f>SUM(B64:U64)</f>
        <v>323133.11777992523</v>
      </c>
    </row>
    <row r="65" spans="1:256" outlineLevel="1">
      <c r="A65" s="8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24"/>
      <c r="M65" s="24"/>
      <c r="N65" s="24"/>
      <c r="O65" s="24"/>
      <c r="P65" s="24"/>
      <c r="Q65" s="24"/>
      <c r="R65" s="24"/>
      <c r="S65" s="24"/>
      <c r="T65" s="24"/>
      <c r="U65" s="24"/>
    </row>
    <row r="66" spans="1:256" ht="14.25" outlineLevel="1">
      <c r="A66" s="107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6" outlineLevel="1">
      <c r="A67" s="42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6" ht="18.75" outlineLevel="1">
      <c r="A68" s="19" t="s">
        <v>539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6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6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6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6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6" outlineLevel="1">
      <c r="A73" s="633" t="s">
        <v>540</v>
      </c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56" outlineLevel="1">
      <c r="A74" s="291"/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56" s="1084" customFormat="1" ht="12" customHeight="1">
      <c r="A75" s="633" t="s">
        <v>435</v>
      </c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1"/>
      <c r="AA75" s="1081"/>
      <c r="AB75" s="1081"/>
      <c r="AC75" s="1080"/>
      <c r="AD75" s="1080"/>
      <c r="AE75" s="1082"/>
      <c r="AF75" s="1082"/>
      <c r="AG75" s="1082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  <c r="IS75" s="1083"/>
      <c r="IT75" s="1083"/>
      <c r="IU75" s="1083"/>
      <c r="IV75" s="1083"/>
    </row>
    <row r="76" spans="1:256" s="1084" customFormat="1" ht="12" customHeight="1">
      <c r="A76" s="598" t="s">
        <v>523</v>
      </c>
      <c r="B76" s="322">
        <f>B39-B12</f>
        <v>157.27334270074789</v>
      </c>
      <c r="C76" s="322">
        <f>C39-C12</f>
        <v>187.46301483671778</v>
      </c>
      <c r="D76" s="322">
        <f>D39-D12</f>
        <v>320.15229792331047</v>
      </c>
      <c r="E76" s="322">
        <f t="shared" ref="E76:U76" si="18">E39</f>
        <v>15887.946289068132</v>
      </c>
      <c r="F76" s="322">
        <f t="shared" si="18"/>
        <v>18219.250836348998</v>
      </c>
      <c r="G76" s="322">
        <f t="shared" si="18"/>
        <v>19327.388562229535</v>
      </c>
      <c r="H76" s="322">
        <f t="shared" si="18"/>
        <v>20458.895914033419</v>
      </c>
      <c r="I76" s="322">
        <f t="shared" si="18"/>
        <v>21691.119919939876</v>
      </c>
      <c r="J76" s="322">
        <f t="shared" si="18"/>
        <v>23176.427556344439</v>
      </c>
      <c r="K76" s="322">
        <f t="shared" si="18"/>
        <v>24831.951836314322</v>
      </c>
      <c r="L76" s="322">
        <f t="shared" si="18"/>
        <v>25982.724346895622</v>
      </c>
      <c r="M76" s="322">
        <f t="shared" si="18"/>
        <v>27369.158562334116</v>
      </c>
      <c r="N76" s="322">
        <f t="shared" si="18"/>
        <v>28804.657214989693</v>
      </c>
      <c r="O76" s="322">
        <f t="shared" si="18"/>
        <v>30222.855143577435</v>
      </c>
      <c r="P76" s="322">
        <f t="shared" si="18"/>
        <v>31657.411999979064</v>
      </c>
      <c r="Q76" s="322">
        <f t="shared" si="18"/>
        <v>33240.663031923716</v>
      </c>
      <c r="R76" s="322">
        <f t="shared" si="18"/>
        <v>34890.030239033935</v>
      </c>
      <c r="S76" s="322">
        <f t="shared" si="18"/>
        <v>36489.395118075285</v>
      </c>
      <c r="T76" s="322">
        <f t="shared" si="18"/>
        <v>37960.28631204999</v>
      </c>
      <c r="U76" s="322">
        <f t="shared" si="18"/>
        <v>39437.358742410572</v>
      </c>
      <c r="V76" s="1085"/>
      <c r="W76" s="1085"/>
      <c r="X76" s="1085"/>
      <c r="Y76" s="1085"/>
      <c r="Z76" s="1085"/>
      <c r="AA76" s="1085"/>
      <c r="AB76" s="1085"/>
      <c r="AC76" s="1080"/>
      <c r="AD76" s="1080"/>
      <c r="AE76" s="1082"/>
      <c r="AF76" s="1082"/>
      <c r="AG76" s="1082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  <c r="IS76" s="1083"/>
      <c r="IT76" s="1083"/>
      <c r="IU76" s="1083"/>
      <c r="IV76" s="1083"/>
    </row>
    <row r="77" spans="1:256" s="1087" customFormat="1" ht="12" customHeight="1">
      <c r="A77" s="598" t="s">
        <v>541</v>
      </c>
      <c r="B77" s="1086">
        <f>ENA_Assumptions!$H$40</f>
        <v>3.4000000000000002E-2</v>
      </c>
      <c r="C77" s="1086">
        <f>ENA_Assumptions!$H$40</f>
        <v>3.4000000000000002E-2</v>
      </c>
      <c r="D77" s="1086">
        <f>ENA_Assumptions!$H$40</f>
        <v>3.4000000000000002E-2</v>
      </c>
      <c r="E77" s="1086">
        <f>ENA_Assumptions!$H$40</f>
        <v>3.4000000000000002E-2</v>
      </c>
      <c r="F77" s="1086">
        <f>ENA_Assumptions!$H$40</f>
        <v>3.4000000000000002E-2</v>
      </c>
      <c r="G77" s="1086">
        <f>ENA_Assumptions!$H$40</f>
        <v>3.4000000000000002E-2</v>
      </c>
      <c r="H77" s="1086">
        <f>ENA_Assumptions!$H$40</f>
        <v>3.4000000000000002E-2</v>
      </c>
      <c r="I77" s="1086">
        <f>ENA_Assumptions!$H$40</f>
        <v>3.4000000000000002E-2</v>
      </c>
      <c r="J77" s="1086">
        <f>ENA_Assumptions!$H$40</f>
        <v>3.4000000000000002E-2</v>
      </c>
      <c r="K77" s="1086">
        <f>ENA_Assumptions!$H$40</f>
        <v>3.4000000000000002E-2</v>
      </c>
      <c r="L77" s="1086">
        <f>ENA_Assumptions!$H$40</f>
        <v>3.4000000000000002E-2</v>
      </c>
      <c r="M77" s="1086">
        <f>ENA_Assumptions!$H$40</f>
        <v>3.4000000000000002E-2</v>
      </c>
      <c r="N77" s="1086">
        <f>ENA_Assumptions!$H$40</f>
        <v>3.4000000000000002E-2</v>
      </c>
      <c r="O77" s="1086">
        <f>ENA_Assumptions!$H$40</f>
        <v>3.4000000000000002E-2</v>
      </c>
      <c r="P77" s="1086">
        <f>ENA_Assumptions!$H$40</f>
        <v>3.4000000000000002E-2</v>
      </c>
      <c r="Q77" s="1086">
        <f>ENA_Assumptions!$H$40</f>
        <v>3.4000000000000002E-2</v>
      </c>
      <c r="R77" s="1086">
        <f>ENA_Assumptions!$H$40</f>
        <v>3.4000000000000002E-2</v>
      </c>
      <c r="S77" s="1086">
        <f>ENA_Assumptions!$H$40</f>
        <v>3.4000000000000002E-2</v>
      </c>
      <c r="T77" s="1086">
        <f>ENA_Assumptions!$H$40</f>
        <v>3.4000000000000002E-2</v>
      </c>
      <c r="U77" s="1086">
        <f>ENA_Assumptions!$H$40</f>
        <v>3.4000000000000002E-2</v>
      </c>
      <c r="V77" s="1086"/>
      <c r="W77" s="1086"/>
      <c r="X77" s="1086"/>
      <c r="Y77" s="1086"/>
      <c r="Z77" s="1086"/>
      <c r="AA77" s="1086"/>
      <c r="AB77" s="1086"/>
      <c r="AC77" s="1082"/>
      <c r="AD77" s="1082"/>
      <c r="AE77" s="1082"/>
      <c r="AF77" s="1082"/>
      <c r="AG77" s="1082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  <c r="IP77" s="1083"/>
      <c r="IQ77" s="1083"/>
      <c r="IR77" s="1083"/>
      <c r="IS77" s="1083"/>
    </row>
    <row r="78" spans="1:256" s="1087" customFormat="1" ht="12" customHeight="1">
      <c r="A78" s="598" t="s">
        <v>542</v>
      </c>
      <c r="B78" s="296">
        <f>B76*B77</f>
        <v>5.3472936518254288</v>
      </c>
      <c r="C78" s="296">
        <f t="shared" ref="C78:U78" si="19">C76*C77</f>
        <v>6.3737425044484048</v>
      </c>
      <c r="D78" s="296">
        <f t="shared" si="19"/>
        <v>10.885178129392557</v>
      </c>
      <c r="E78" s="296">
        <f t="shared" si="19"/>
        <v>540.19017382831646</v>
      </c>
      <c r="F78" s="296">
        <f t="shared" si="19"/>
        <v>619.454528435866</v>
      </c>
      <c r="G78" s="296">
        <f t="shared" si="19"/>
        <v>657.13121111580426</v>
      </c>
      <c r="H78" s="296">
        <f t="shared" si="19"/>
        <v>695.60246107713635</v>
      </c>
      <c r="I78" s="296">
        <f t="shared" si="19"/>
        <v>737.49807727795587</v>
      </c>
      <c r="J78" s="296">
        <f t="shared" si="19"/>
        <v>787.99853691571093</v>
      </c>
      <c r="K78" s="296">
        <f t="shared" si="19"/>
        <v>844.28636243468702</v>
      </c>
      <c r="L78" s="296">
        <f t="shared" si="19"/>
        <v>883.41262779445117</v>
      </c>
      <c r="M78" s="296">
        <f t="shared" si="19"/>
        <v>930.55139111936001</v>
      </c>
      <c r="N78" s="296">
        <f t="shared" si="19"/>
        <v>979.35834530964962</v>
      </c>
      <c r="O78" s="296">
        <f t="shared" si="19"/>
        <v>1027.5770748816328</v>
      </c>
      <c r="P78" s="296">
        <f t="shared" si="19"/>
        <v>1076.3520079992882</v>
      </c>
      <c r="Q78" s="296">
        <f t="shared" si="19"/>
        <v>1130.1825430854065</v>
      </c>
      <c r="R78" s="296">
        <f t="shared" si="19"/>
        <v>1186.2610281271538</v>
      </c>
      <c r="S78" s="296">
        <f t="shared" si="19"/>
        <v>1240.6394340145598</v>
      </c>
      <c r="T78" s="296">
        <f t="shared" si="19"/>
        <v>1290.6497346096996</v>
      </c>
      <c r="U78" s="296">
        <f t="shared" si="19"/>
        <v>1340.8701972419594</v>
      </c>
      <c r="V78" s="1088"/>
      <c r="W78" s="1088"/>
      <c r="X78" s="1088"/>
      <c r="Y78" s="1088"/>
      <c r="Z78" s="1088"/>
      <c r="AA78" s="1088"/>
      <c r="AB78" s="1088"/>
      <c r="AC78" s="1080"/>
      <c r="AD78" s="1082"/>
      <c r="AE78" s="1082"/>
      <c r="AF78" s="1082"/>
      <c r="AG78" s="1082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  <c r="IR78" s="1083"/>
      <c r="IS78" s="1083"/>
      <c r="IT78" s="1083"/>
      <c r="IU78" s="1083"/>
    </row>
    <row r="79" spans="1:256" s="1087" customFormat="1" ht="12" customHeight="1">
      <c r="A79" s="1080"/>
      <c r="B79" s="313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1089"/>
      <c r="AD79" s="1089"/>
      <c r="AE79" s="1080"/>
      <c r="AF79" s="1080"/>
      <c r="AG79" s="1080"/>
    </row>
    <row r="80" spans="1:256" s="1084" customFormat="1" ht="12" customHeight="1">
      <c r="A80" s="633" t="s">
        <v>543</v>
      </c>
      <c r="B80" s="313"/>
      <c r="C80" s="313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80"/>
      <c r="AD80" s="1080"/>
      <c r="AE80" s="1082"/>
      <c r="AF80" s="1082"/>
      <c r="AG80" s="1082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  <c r="IR80" s="1083"/>
      <c r="IS80" s="1083"/>
      <c r="IT80" s="1083"/>
      <c r="IU80" s="1083"/>
      <c r="IV80" s="1083"/>
    </row>
    <row r="81" spans="1:256" s="1084" customFormat="1" ht="12" customHeight="1">
      <c r="A81" s="598" t="s">
        <v>544</v>
      </c>
      <c r="B81" s="1091">
        <f>B19-B12</f>
        <v>24707.497313785716</v>
      </c>
      <c r="C81" s="1091">
        <f>C19-C12</f>
        <v>24761.987395699289</v>
      </c>
      <c r="D81" s="1091">
        <f>D19-D12</f>
        <v>24818.395562695267</v>
      </c>
      <c r="E81" s="1091">
        <f t="shared" ref="E81:U81" si="20">E19</f>
        <v>40356.357940543152</v>
      </c>
      <c r="F81" s="1091">
        <f t="shared" si="20"/>
        <v>42456.536129570479</v>
      </c>
      <c r="G81" s="1091">
        <f t="shared" si="20"/>
        <v>43334.391079683177</v>
      </c>
      <c r="H81" s="1091">
        <f t="shared" si="20"/>
        <v>44229.990842554434</v>
      </c>
      <c r="I81" s="1091">
        <f t="shared" si="20"/>
        <v>45145.10159007155</v>
      </c>
      <c r="J81" s="1091">
        <f t="shared" si="20"/>
        <v>46080.618477000193</v>
      </c>
      <c r="K81" s="1091">
        <f t="shared" si="20"/>
        <v>47036.671799207055</v>
      </c>
      <c r="L81" s="1091">
        <f t="shared" si="20"/>
        <v>47672.826272120059</v>
      </c>
      <c r="M81" s="1091">
        <f t="shared" si="20"/>
        <v>48320.146201854026</v>
      </c>
      <c r="N81" s="1091">
        <f t="shared" si="20"/>
        <v>48976.841961927603</v>
      </c>
      <c r="O81" s="1091">
        <f t="shared" si="20"/>
        <v>49643.066459249509</v>
      </c>
      <c r="P81" s="1091">
        <f t="shared" si="20"/>
        <v>50318.975111458763</v>
      </c>
      <c r="Q81" s="1091">
        <f t="shared" si="20"/>
        <v>51114.909985418024</v>
      </c>
      <c r="R81" s="1091">
        <f t="shared" si="20"/>
        <v>51923.927837946678</v>
      </c>
      <c r="S81" s="1091">
        <f t="shared" si="20"/>
        <v>52746.257935891015</v>
      </c>
      <c r="T81" s="1091">
        <f t="shared" si="20"/>
        <v>53582.133956161924</v>
      </c>
      <c r="U81" s="1091">
        <f t="shared" si="20"/>
        <v>54431.794080721273</v>
      </c>
      <c r="V81" s="1085"/>
      <c r="W81" s="1085"/>
      <c r="X81" s="1085"/>
      <c r="Y81" s="1085"/>
      <c r="Z81" s="1085"/>
      <c r="AA81" s="1085"/>
      <c r="AB81" s="1085"/>
      <c r="AC81" s="1080"/>
      <c r="AD81" s="1080"/>
      <c r="AE81" s="1082"/>
      <c r="AF81" s="1082"/>
      <c r="AG81" s="1082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  <c r="IR81" s="1083"/>
      <c r="IS81" s="1083"/>
      <c r="IT81" s="1083"/>
      <c r="IU81" s="1083"/>
      <c r="IV81" s="1083"/>
    </row>
    <row r="82" spans="1:256" s="1084" customFormat="1" ht="12" customHeight="1">
      <c r="A82" s="598" t="s">
        <v>437</v>
      </c>
      <c r="B82" s="1086">
        <f>ENA_Assumptions!$H$41</f>
        <v>1.2E-2</v>
      </c>
      <c r="C82" s="1086">
        <f>ENA_Assumptions!$H$41</f>
        <v>1.2E-2</v>
      </c>
      <c r="D82" s="1086">
        <f>ENA_Assumptions!$H$41</f>
        <v>1.2E-2</v>
      </c>
      <c r="E82" s="1086">
        <f>ENA_Assumptions!$H$41</f>
        <v>1.2E-2</v>
      </c>
      <c r="F82" s="1086">
        <f>ENA_Assumptions!$H$41</f>
        <v>1.2E-2</v>
      </c>
      <c r="G82" s="1086">
        <f>ENA_Assumptions!$H$41</f>
        <v>1.2E-2</v>
      </c>
      <c r="H82" s="1086">
        <f>ENA_Assumptions!$H$41</f>
        <v>1.2E-2</v>
      </c>
      <c r="I82" s="1086">
        <f>ENA_Assumptions!$H$41</f>
        <v>1.2E-2</v>
      </c>
      <c r="J82" s="1086">
        <f>ENA_Assumptions!$H$41</f>
        <v>1.2E-2</v>
      </c>
      <c r="K82" s="1086">
        <f>ENA_Assumptions!$H$41</f>
        <v>1.2E-2</v>
      </c>
      <c r="L82" s="1086">
        <f>ENA_Assumptions!$H$41</f>
        <v>1.2E-2</v>
      </c>
      <c r="M82" s="1086">
        <f>ENA_Assumptions!$H$41</f>
        <v>1.2E-2</v>
      </c>
      <c r="N82" s="1086">
        <f>ENA_Assumptions!$H$41</f>
        <v>1.2E-2</v>
      </c>
      <c r="O82" s="1086">
        <f>ENA_Assumptions!$H$41</f>
        <v>1.2E-2</v>
      </c>
      <c r="P82" s="1086">
        <f>ENA_Assumptions!$H$41</f>
        <v>1.2E-2</v>
      </c>
      <c r="Q82" s="1086">
        <f>ENA_Assumptions!$H$41</f>
        <v>1.2E-2</v>
      </c>
      <c r="R82" s="1086">
        <f>ENA_Assumptions!$H$41</f>
        <v>1.2E-2</v>
      </c>
      <c r="S82" s="1086">
        <f>ENA_Assumptions!$H$41</f>
        <v>1.2E-2</v>
      </c>
      <c r="T82" s="1086">
        <f>ENA_Assumptions!$H$41</f>
        <v>1.2E-2</v>
      </c>
      <c r="U82" s="1086">
        <f>ENA_Assumptions!$H$41</f>
        <v>1.2E-2</v>
      </c>
      <c r="V82" s="1086"/>
      <c r="W82" s="1086"/>
      <c r="X82" s="1086"/>
      <c r="Y82" s="1086"/>
      <c r="Z82" s="1086"/>
      <c r="AA82" s="1086"/>
      <c r="AB82" s="1086"/>
      <c r="AC82" s="1080"/>
      <c r="AD82" s="1080"/>
      <c r="AE82" s="1082"/>
      <c r="AF82" s="1082"/>
      <c r="AG82" s="1082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  <c r="IR82" s="1083"/>
      <c r="IS82" s="1083"/>
      <c r="IT82" s="1083"/>
      <c r="IU82" s="1083"/>
      <c r="IV82" s="1083"/>
    </row>
    <row r="83" spans="1:256" s="1084" customFormat="1" ht="12" customHeight="1">
      <c r="A83" s="598" t="s">
        <v>545</v>
      </c>
      <c r="B83" s="296">
        <f>B81*B82</f>
        <v>296.48996776542862</v>
      </c>
      <c r="C83" s="296">
        <f t="shared" ref="C83:U83" si="21">C81*C82</f>
        <v>297.14384874839146</v>
      </c>
      <c r="D83" s="296">
        <f t="shared" si="21"/>
        <v>297.82074675234321</v>
      </c>
      <c r="E83" s="296">
        <f t="shared" si="21"/>
        <v>484.27629528651784</v>
      </c>
      <c r="F83" s="296">
        <f t="shared" si="21"/>
        <v>509.47843355484576</v>
      </c>
      <c r="G83" s="296">
        <f t="shared" si="21"/>
        <v>520.01269295619818</v>
      </c>
      <c r="H83" s="296">
        <f t="shared" si="21"/>
        <v>530.75989011065326</v>
      </c>
      <c r="I83" s="296">
        <f t="shared" si="21"/>
        <v>541.74121908085863</v>
      </c>
      <c r="J83" s="296">
        <f t="shared" si="21"/>
        <v>552.96742172400229</v>
      </c>
      <c r="K83" s="296">
        <f t="shared" si="21"/>
        <v>564.44006159048467</v>
      </c>
      <c r="L83" s="296">
        <f t="shared" si="21"/>
        <v>572.07391526544075</v>
      </c>
      <c r="M83" s="296">
        <f t="shared" si="21"/>
        <v>579.8417544222483</v>
      </c>
      <c r="N83" s="296">
        <f t="shared" si="21"/>
        <v>587.7221035431312</v>
      </c>
      <c r="O83" s="296">
        <f t="shared" si="21"/>
        <v>595.71679751099407</v>
      </c>
      <c r="P83" s="296">
        <f t="shared" si="21"/>
        <v>603.82770133750512</v>
      </c>
      <c r="Q83" s="296">
        <f t="shared" si="21"/>
        <v>613.37891982501628</v>
      </c>
      <c r="R83" s="296">
        <f t="shared" si="21"/>
        <v>623.08713405536014</v>
      </c>
      <c r="S83" s="296">
        <f t="shared" si="21"/>
        <v>632.95509523069222</v>
      </c>
      <c r="T83" s="296">
        <f t="shared" si="21"/>
        <v>642.98560747394311</v>
      </c>
      <c r="U83" s="296">
        <f t="shared" si="21"/>
        <v>653.18152896865524</v>
      </c>
      <c r="V83" s="1088"/>
      <c r="W83" s="1088"/>
      <c r="X83" s="1088"/>
      <c r="Y83" s="1088"/>
      <c r="Z83" s="1088"/>
      <c r="AA83" s="1088"/>
      <c r="AB83" s="1088"/>
      <c r="AC83" s="1080"/>
      <c r="AD83" s="1080"/>
      <c r="AE83" s="1082"/>
      <c r="AF83" s="1082"/>
      <c r="AG83" s="1082"/>
      <c r="AH83" s="1083"/>
      <c r="AI83" s="1083"/>
      <c r="AJ83" s="1083"/>
      <c r="AK83" s="1083"/>
      <c r="AL83" s="1083"/>
      <c r="AM83" s="1083"/>
      <c r="AN83" s="1083"/>
      <c r="AO83" s="1083"/>
      <c r="AP83" s="1083"/>
      <c r="AQ83" s="1083"/>
      <c r="AR83" s="1083"/>
      <c r="AS83" s="1083"/>
      <c r="AT83" s="1083"/>
      <c r="AU83" s="1083"/>
      <c r="AV83" s="1083"/>
      <c r="AW83" s="1083"/>
      <c r="AX83" s="1083"/>
      <c r="AY83" s="1083"/>
      <c r="AZ83" s="1083"/>
      <c r="BA83" s="1083"/>
      <c r="BB83" s="1083"/>
      <c r="BC83" s="1083"/>
      <c r="BD83" s="1083"/>
      <c r="BE83" s="1083"/>
      <c r="BF83" s="1083"/>
      <c r="BG83" s="1083"/>
      <c r="BH83" s="1083"/>
      <c r="BI83" s="1083"/>
      <c r="BJ83" s="1083"/>
      <c r="BK83" s="1083"/>
      <c r="BL83" s="1083"/>
      <c r="BM83" s="1083"/>
      <c r="BN83" s="1083"/>
      <c r="BO83" s="1083"/>
      <c r="BP83" s="1083"/>
      <c r="BQ83" s="1083"/>
      <c r="BR83" s="1083"/>
      <c r="BS83" s="1083"/>
      <c r="BT83" s="1083"/>
      <c r="BU83" s="1083"/>
      <c r="BV83" s="1083"/>
      <c r="BW83" s="1083"/>
      <c r="BX83" s="1083"/>
      <c r="BY83" s="1083"/>
      <c r="BZ83" s="1083"/>
      <c r="CA83" s="1083"/>
      <c r="CB83" s="1083"/>
      <c r="CC83" s="1083"/>
      <c r="CD83" s="1083"/>
      <c r="CE83" s="1083"/>
      <c r="CF83" s="1083"/>
      <c r="CG83" s="1083"/>
      <c r="CH83" s="1083"/>
      <c r="CI83" s="1083"/>
      <c r="CJ83" s="1083"/>
      <c r="CK83" s="1083"/>
      <c r="CL83" s="1083"/>
      <c r="CM83" s="1083"/>
      <c r="CN83" s="1083"/>
      <c r="CO83" s="1083"/>
      <c r="CP83" s="1083"/>
      <c r="CQ83" s="1083"/>
      <c r="CR83" s="1083"/>
      <c r="CS83" s="1083"/>
      <c r="CT83" s="1083"/>
      <c r="CU83" s="1083"/>
      <c r="CV83" s="1083"/>
      <c r="CW83" s="1083"/>
      <c r="CX83" s="1083"/>
      <c r="CY83" s="1083"/>
      <c r="CZ83" s="1083"/>
      <c r="DA83" s="1083"/>
      <c r="DB83" s="1083"/>
      <c r="DC83" s="1083"/>
      <c r="DD83" s="1083"/>
      <c r="DE83" s="1083"/>
      <c r="DF83" s="1083"/>
      <c r="DG83" s="1083"/>
      <c r="DH83" s="1083"/>
      <c r="DI83" s="1083"/>
      <c r="DJ83" s="1083"/>
      <c r="DK83" s="1083"/>
      <c r="DL83" s="1083"/>
      <c r="DM83" s="1083"/>
      <c r="DN83" s="1083"/>
      <c r="DO83" s="1083"/>
      <c r="DP83" s="1083"/>
      <c r="DQ83" s="1083"/>
      <c r="DR83" s="1083"/>
      <c r="DS83" s="1083"/>
      <c r="DT83" s="1083"/>
      <c r="DU83" s="1083"/>
      <c r="DV83" s="1083"/>
      <c r="DW83" s="1083"/>
      <c r="DX83" s="1083"/>
      <c r="DY83" s="1083"/>
      <c r="DZ83" s="1083"/>
      <c r="EA83" s="1083"/>
      <c r="EB83" s="1083"/>
      <c r="EC83" s="1083"/>
      <c r="ED83" s="1083"/>
      <c r="EE83" s="1083"/>
      <c r="EF83" s="1083"/>
      <c r="EG83" s="1083"/>
      <c r="EH83" s="1083"/>
      <c r="EI83" s="1083"/>
      <c r="EJ83" s="1083"/>
      <c r="EK83" s="1083"/>
      <c r="EL83" s="1083"/>
      <c r="EM83" s="1083"/>
      <c r="EN83" s="1083"/>
      <c r="EO83" s="1083"/>
      <c r="EP83" s="1083"/>
      <c r="EQ83" s="1083"/>
      <c r="ER83" s="1083"/>
      <c r="ES83" s="1083"/>
      <c r="ET83" s="1083"/>
      <c r="EU83" s="1083"/>
      <c r="EV83" s="1083"/>
      <c r="EW83" s="1083"/>
      <c r="EX83" s="1083"/>
      <c r="EY83" s="1083"/>
      <c r="EZ83" s="1083"/>
      <c r="FA83" s="1083"/>
      <c r="FB83" s="1083"/>
      <c r="FC83" s="1083"/>
      <c r="FD83" s="1083"/>
      <c r="FE83" s="1083"/>
      <c r="FF83" s="1083"/>
      <c r="FG83" s="1083"/>
      <c r="FH83" s="1083"/>
      <c r="FI83" s="1083"/>
      <c r="FJ83" s="1083"/>
      <c r="FK83" s="1083"/>
      <c r="FL83" s="1083"/>
      <c r="FM83" s="1083"/>
      <c r="FN83" s="1083"/>
      <c r="FO83" s="1083"/>
      <c r="FP83" s="1083"/>
      <c r="FQ83" s="1083"/>
      <c r="FR83" s="1083"/>
      <c r="FS83" s="1083"/>
      <c r="FT83" s="1083"/>
      <c r="FU83" s="1083"/>
      <c r="FV83" s="1083"/>
      <c r="FW83" s="1083"/>
      <c r="FX83" s="1083"/>
      <c r="FY83" s="1083"/>
      <c r="FZ83" s="1083"/>
      <c r="GA83" s="1083"/>
      <c r="GB83" s="1083"/>
      <c r="GC83" s="1083"/>
      <c r="GD83" s="1083"/>
      <c r="GE83" s="1083"/>
      <c r="GF83" s="1083"/>
      <c r="GG83" s="1083"/>
      <c r="GH83" s="1083"/>
      <c r="GI83" s="1083"/>
      <c r="GJ83" s="1083"/>
      <c r="GK83" s="1083"/>
      <c r="GL83" s="1083"/>
      <c r="GM83" s="1083"/>
      <c r="GN83" s="1083"/>
      <c r="GO83" s="1083"/>
      <c r="GP83" s="1083"/>
      <c r="GQ83" s="1083"/>
      <c r="GR83" s="1083"/>
      <c r="GS83" s="1083"/>
      <c r="GT83" s="1083"/>
      <c r="GU83" s="1083"/>
      <c r="GV83" s="1083"/>
      <c r="GW83" s="1083"/>
      <c r="GX83" s="1083"/>
      <c r="GY83" s="1083"/>
      <c r="GZ83" s="1083"/>
      <c r="HA83" s="1083"/>
      <c r="HB83" s="1083"/>
      <c r="HC83" s="1083"/>
      <c r="HD83" s="1083"/>
      <c r="HE83" s="1083"/>
      <c r="HF83" s="1083"/>
      <c r="HG83" s="1083"/>
      <c r="HH83" s="1083"/>
      <c r="HI83" s="1083"/>
      <c r="HJ83" s="1083"/>
      <c r="HK83" s="1083"/>
      <c r="HL83" s="1083"/>
      <c r="HM83" s="1083"/>
      <c r="HN83" s="1083"/>
      <c r="HO83" s="1083"/>
      <c r="HP83" s="1083"/>
      <c r="HQ83" s="1083"/>
      <c r="HR83" s="1083"/>
      <c r="HS83" s="1083"/>
      <c r="HT83" s="1083"/>
      <c r="HU83" s="1083"/>
      <c r="HV83" s="1083"/>
      <c r="HW83" s="1083"/>
      <c r="HX83" s="1083"/>
      <c r="HY83" s="1083"/>
      <c r="HZ83" s="1083"/>
      <c r="IA83" s="1083"/>
      <c r="IB83" s="1083"/>
      <c r="IC83" s="1083"/>
      <c r="ID83" s="1083"/>
      <c r="IE83" s="1083"/>
      <c r="IF83" s="1083"/>
      <c r="IG83" s="1083"/>
      <c r="IH83" s="1083"/>
      <c r="II83" s="1083"/>
      <c r="IJ83" s="1083"/>
      <c r="IK83" s="1083"/>
      <c r="IL83" s="1083"/>
      <c r="IM83" s="1083"/>
      <c r="IN83" s="1083"/>
      <c r="IO83" s="1083"/>
      <c r="IP83" s="1083"/>
      <c r="IQ83" s="1083"/>
      <c r="IR83" s="1083"/>
      <c r="IS83" s="1083"/>
      <c r="IT83" s="1083"/>
      <c r="IU83" s="1083"/>
      <c r="IV83" s="1083"/>
    </row>
    <row r="84" spans="1:256" s="1084" customFormat="1" ht="12" customHeight="1">
      <c r="A84" s="598"/>
      <c r="B84" s="314"/>
      <c r="C84" s="314"/>
      <c r="D84" s="1088"/>
      <c r="E84" s="1088"/>
      <c r="F84" s="1088"/>
      <c r="G84" s="1088"/>
      <c r="H84" s="1088"/>
      <c r="I84" s="1088"/>
      <c r="J84" s="1088"/>
      <c r="K84" s="1088"/>
      <c r="L84" s="1088"/>
      <c r="M84" s="1088"/>
      <c r="N84" s="1088"/>
      <c r="O84" s="1088"/>
      <c r="P84" s="1088"/>
      <c r="Q84" s="1088"/>
      <c r="R84" s="1088"/>
      <c r="S84" s="1088"/>
      <c r="T84" s="1088"/>
      <c r="U84" s="1088"/>
      <c r="V84" s="1088"/>
      <c r="W84" s="1088"/>
      <c r="X84" s="1088"/>
      <c r="Y84" s="1088"/>
      <c r="Z84" s="1088"/>
      <c r="AA84" s="1088"/>
      <c r="AB84" s="1088"/>
      <c r="AC84" s="1080"/>
      <c r="AD84" s="1080"/>
      <c r="AE84" s="1082"/>
      <c r="AF84" s="1082"/>
      <c r="AG84" s="1082"/>
      <c r="AH84" s="1083"/>
      <c r="AI84" s="1083"/>
      <c r="AJ84" s="1083"/>
      <c r="AK84" s="1083"/>
      <c r="AL84" s="1083"/>
      <c r="AM84" s="1083"/>
      <c r="AN84" s="1083"/>
      <c r="AO84" s="1083"/>
      <c r="AP84" s="1083"/>
      <c r="AQ84" s="1083"/>
      <c r="AR84" s="1083"/>
      <c r="AS84" s="1083"/>
      <c r="AT84" s="1083"/>
      <c r="AU84" s="1083"/>
      <c r="AV84" s="1083"/>
      <c r="AW84" s="1083"/>
      <c r="AX84" s="1083"/>
      <c r="AY84" s="1083"/>
      <c r="AZ84" s="1083"/>
      <c r="BA84" s="1083"/>
      <c r="BB84" s="1083"/>
      <c r="BC84" s="1083"/>
      <c r="BD84" s="1083"/>
      <c r="BE84" s="1083"/>
      <c r="BF84" s="1083"/>
      <c r="BG84" s="1083"/>
      <c r="BH84" s="1083"/>
      <c r="BI84" s="1083"/>
      <c r="BJ84" s="1083"/>
      <c r="BK84" s="1083"/>
      <c r="BL84" s="1083"/>
      <c r="BM84" s="1083"/>
      <c r="BN84" s="1083"/>
      <c r="BO84" s="1083"/>
      <c r="BP84" s="1083"/>
      <c r="BQ84" s="1083"/>
      <c r="BR84" s="1083"/>
      <c r="BS84" s="1083"/>
      <c r="BT84" s="1083"/>
      <c r="BU84" s="1083"/>
      <c r="BV84" s="1083"/>
      <c r="BW84" s="1083"/>
      <c r="BX84" s="1083"/>
      <c r="BY84" s="1083"/>
      <c r="BZ84" s="1083"/>
      <c r="CA84" s="1083"/>
      <c r="CB84" s="1083"/>
      <c r="CC84" s="1083"/>
      <c r="CD84" s="1083"/>
      <c r="CE84" s="1083"/>
      <c r="CF84" s="1083"/>
      <c r="CG84" s="1083"/>
      <c r="CH84" s="1083"/>
      <c r="CI84" s="1083"/>
      <c r="CJ84" s="1083"/>
      <c r="CK84" s="1083"/>
      <c r="CL84" s="1083"/>
      <c r="CM84" s="1083"/>
      <c r="CN84" s="1083"/>
      <c r="CO84" s="1083"/>
      <c r="CP84" s="1083"/>
      <c r="CQ84" s="1083"/>
      <c r="CR84" s="1083"/>
      <c r="CS84" s="1083"/>
      <c r="CT84" s="1083"/>
      <c r="CU84" s="1083"/>
      <c r="CV84" s="1083"/>
      <c r="CW84" s="1083"/>
      <c r="CX84" s="1083"/>
      <c r="CY84" s="1083"/>
      <c r="CZ84" s="1083"/>
      <c r="DA84" s="1083"/>
      <c r="DB84" s="1083"/>
      <c r="DC84" s="1083"/>
      <c r="DD84" s="1083"/>
      <c r="DE84" s="1083"/>
      <c r="DF84" s="1083"/>
      <c r="DG84" s="1083"/>
      <c r="DH84" s="1083"/>
      <c r="DI84" s="1083"/>
      <c r="DJ84" s="1083"/>
      <c r="DK84" s="1083"/>
      <c r="DL84" s="1083"/>
      <c r="DM84" s="1083"/>
      <c r="DN84" s="1083"/>
      <c r="DO84" s="1083"/>
      <c r="DP84" s="1083"/>
      <c r="DQ84" s="1083"/>
      <c r="DR84" s="1083"/>
      <c r="DS84" s="1083"/>
      <c r="DT84" s="1083"/>
      <c r="DU84" s="1083"/>
      <c r="DV84" s="1083"/>
      <c r="DW84" s="1083"/>
      <c r="DX84" s="1083"/>
      <c r="DY84" s="1083"/>
      <c r="DZ84" s="1083"/>
      <c r="EA84" s="1083"/>
      <c r="EB84" s="1083"/>
      <c r="EC84" s="1083"/>
      <c r="ED84" s="1083"/>
      <c r="EE84" s="1083"/>
      <c r="EF84" s="1083"/>
      <c r="EG84" s="1083"/>
      <c r="EH84" s="1083"/>
      <c r="EI84" s="1083"/>
      <c r="EJ84" s="1083"/>
      <c r="EK84" s="1083"/>
      <c r="EL84" s="1083"/>
      <c r="EM84" s="1083"/>
      <c r="EN84" s="1083"/>
      <c r="EO84" s="1083"/>
      <c r="EP84" s="1083"/>
      <c r="EQ84" s="1083"/>
      <c r="ER84" s="1083"/>
      <c r="ES84" s="1083"/>
      <c r="ET84" s="1083"/>
      <c r="EU84" s="1083"/>
      <c r="EV84" s="1083"/>
      <c r="EW84" s="1083"/>
      <c r="EX84" s="1083"/>
      <c r="EY84" s="1083"/>
      <c r="EZ84" s="1083"/>
      <c r="FA84" s="1083"/>
      <c r="FB84" s="1083"/>
      <c r="FC84" s="1083"/>
      <c r="FD84" s="1083"/>
      <c r="FE84" s="1083"/>
      <c r="FF84" s="1083"/>
      <c r="FG84" s="1083"/>
      <c r="FH84" s="1083"/>
      <c r="FI84" s="1083"/>
      <c r="FJ84" s="1083"/>
      <c r="FK84" s="1083"/>
      <c r="FL84" s="1083"/>
      <c r="FM84" s="1083"/>
      <c r="FN84" s="1083"/>
      <c r="FO84" s="1083"/>
      <c r="FP84" s="1083"/>
      <c r="FQ84" s="1083"/>
      <c r="FR84" s="1083"/>
      <c r="FS84" s="1083"/>
      <c r="FT84" s="1083"/>
      <c r="FU84" s="1083"/>
      <c r="FV84" s="1083"/>
      <c r="FW84" s="1083"/>
      <c r="FX84" s="1083"/>
      <c r="FY84" s="1083"/>
      <c r="FZ84" s="1083"/>
      <c r="GA84" s="1083"/>
      <c r="GB84" s="1083"/>
      <c r="GC84" s="1083"/>
      <c r="GD84" s="1083"/>
      <c r="GE84" s="1083"/>
      <c r="GF84" s="1083"/>
      <c r="GG84" s="1083"/>
      <c r="GH84" s="1083"/>
      <c r="GI84" s="1083"/>
      <c r="GJ84" s="1083"/>
      <c r="GK84" s="1083"/>
      <c r="GL84" s="1083"/>
      <c r="GM84" s="1083"/>
      <c r="GN84" s="1083"/>
      <c r="GO84" s="1083"/>
      <c r="GP84" s="1083"/>
      <c r="GQ84" s="1083"/>
      <c r="GR84" s="1083"/>
      <c r="GS84" s="1083"/>
      <c r="GT84" s="1083"/>
      <c r="GU84" s="1083"/>
      <c r="GV84" s="1083"/>
      <c r="GW84" s="1083"/>
      <c r="GX84" s="1083"/>
      <c r="GY84" s="1083"/>
      <c r="GZ84" s="1083"/>
      <c r="HA84" s="1083"/>
      <c r="HB84" s="1083"/>
      <c r="HC84" s="1083"/>
      <c r="HD84" s="1083"/>
      <c r="HE84" s="1083"/>
      <c r="HF84" s="1083"/>
      <c r="HG84" s="1083"/>
      <c r="HH84" s="1083"/>
      <c r="HI84" s="1083"/>
      <c r="HJ84" s="1083"/>
      <c r="HK84" s="1083"/>
      <c r="HL84" s="1083"/>
      <c r="HM84" s="1083"/>
      <c r="HN84" s="1083"/>
      <c r="HO84" s="1083"/>
      <c r="HP84" s="1083"/>
      <c r="HQ84" s="1083"/>
      <c r="HR84" s="1083"/>
      <c r="HS84" s="1083"/>
      <c r="HT84" s="1083"/>
      <c r="HU84" s="1083"/>
      <c r="HV84" s="1083"/>
      <c r="HW84" s="1083"/>
      <c r="HX84" s="1083"/>
      <c r="HY84" s="1083"/>
      <c r="HZ84" s="1083"/>
      <c r="IA84" s="1083"/>
      <c r="IB84" s="1083"/>
      <c r="IC84" s="1083"/>
      <c r="ID84" s="1083"/>
      <c r="IE84" s="1083"/>
      <c r="IF84" s="1083"/>
      <c r="IG84" s="1083"/>
      <c r="IH84" s="1083"/>
      <c r="II84" s="1083"/>
      <c r="IJ84" s="1083"/>
      <c r="IK84" s="1083"/>
      <c r="IL84" s="1083"/>
      <c r="IM84" s="1083"/>
      <c r="IN84" s="1083"/>
      <c r="IO84" s="1083"/>
      <c r="IP84" s="1083"/>
      <c r="IQ84" s="1083"/>
      <c r="IR84" s="1083"/>
      <c r="IS84" s="1083"/>
      <c r="IT84" s="1083"/>
      <c r="IU84" s="1083"/>
      <c r="IV84" s="1083"/>
    </row>
    <row r="85" spans="1:256" s="1084" customFormat="1" ht="12" customHeight="1">
      <c r="A85" s="318" t="s">
        <v>546</v>
      </c>
      <c r="B85" s="1092">
        <f>MAX(B83,B78)</f>
        <v>296.48996776542862</v>
      </c>
      <c r="C85" s="1092">
        <f t="shared" ref="C85:U85" si="22">MAX(C83,C78)</f>
        <v>297.14384874839146</v>
      </c>
      <c r="D85" s="1092">
        <f t="shared" si="22"/>
        <v>297.82074675234321</v>
      </c>
      <c r="E85" s="1092">
        <f t="shared" si="22"/>
        <v>540.19017382831646</v>
      </c>
      <c r="F85" s="1092">
        <f t="shared" si="22"/>
        <v>619.454528435866</v>
      </c>
      <c r="G85" s="1092">
        <f t="shared" si="22"/>
        <v>657.13121111580426</v>
      </c>
      <c r="H85" s="1092">
        <f t="shared" si="22"/>
        <v>695.60246107713635</v>
      </c>
      <c r="I85" s="1092">
        <f t="shared" si="22"/>
        <v>737.49807727795587</v>
      </c>
      <c r="J85" s="1092">
        <f t="shared" si="22"/>
        <v>787.99853691571093</v>
      </c>
      <c r="K85" s="1092">
        <f t="shared" si="22"/>
        <v>844.28636243468702</v>
      </c>
      <c r="L85" s="1092">
        <f t="shared" si="22"/>
        <v>883.41262779445117</v>
      </c>
      <c r="M85" s="1092">
        <f t="shared" si="22"/>
        <v>930.55139111936001</v>
      </c>
      <c r="N85" s="1092">
        <f t="shared" si="22"/>
        <v>979.35834530964962</v>
      </c>
      <c r="O85" s="1092">
        <f t="shared" si="22"/>
        <v>1027.5770748816328</v>
      </c>
      <c r="P85" s="1092">
        <f t="shared" si="22"/>
        <v>1076.3520079992882</v>
      </c>
      <c r="Q85" s="1092">
        <f t="shared" si="22"/>
        <v>1130.1825430854065</v>
      </c>
      <c r="R85" s="1092">
        <f t="shared" si="22"/>
        <v>1186.2610281271538</v>
      </c>
      <c r="S85" s="1092">
        <f t="shared" si="22"/>
        <v>1240.6394340145598</v>
      </c>
      <c r="T85" s="1092">
        <f t="shared" si="22"/>
        <v>1290.6497346096996</v>
      </c>
      <c r="U85" s="1092">
        <f t="shared" si="22"/>
        <v>1340.8701972419594</v>
      </c>
      <c r="V85" s="1088"/>
      <c r="W85" s="1088"/>
      <c r="X85" s="1093">
        <f>MAX(X83,X78)</f>
        <v>0</v>
      </c>
      <c r="Y85" s="1093">
        <f t="shared" ref="Y85:AQ85" si="23">MAX(Y83,Y78)</f>
        <v>0</v>
      </c>
      <c r="Z85" s="1093">
        <f t="shared" si="23"/>
        <v>0</v>
      </c>
      <c r="AA85" s="1093">
        <f t="shared" si="23"/>
        <v>0</v>
      </c>
      <c r="AB85" s="1093">
        <f t="shared" si="23"/>
        <v>0</v>
      </c>
      <c r="AC85" s="1093">
        <f t="shared" si="23"/>
        <v>0</v>
      </c>
      <c r="AD85" s="1093">
        <f t="shared" si="23"/>
        <v>0</v>
      </c>
      <c r="AE85" s="1093">
        <f t="shared" si="23"/>
        <v>0</v>
      </c>
      <c r="AF85" s="1093">
        <f t="shared" si="23"/>
        <v>0</v>
      </c>
      <c r="AG85" s="1093">
        <f t="shared" si="23"/>
        <v>0</v>
      </c>
      <c r="AH85" s="1093">
        <f t="shared" si="23"/>
        <v>0</v>
      </c>
      <c r="AI85" s="1093">
        <f t="shared" si="23"/>
        <v>0</v>
      </c>
      <c r="AJ85" s="1093">
        <f t="shared" si="23"/>
        <v>0</v>
      </c>
      <c r="AK85" s="1093">
        <f t="shared" si="23"/>
        <v>0</v>
      </c>
      <c r="AL85" s="1093">
        <f t="shared" si="23"/>
        <v>0</v>
      </c>
      <c r="AM85" s="1093">
        <f t="shared" si="23"/>
        <v>0</v>
      </c>
      <c r="AN85" s="1093">
        <f t="shared" si="23"/>
        <v>0</v>
      </c>
      <c r="AO85" s="1093">
        <f t="shared" si="23"/>
        <v>0</v>
      </c>
      <c r="AP85" s="1093">
        <f t="shared" si="23"/>
        <v>0</v>
      </c>
      <c r="AQ85" s="1093">
        <f t="shared" si="23"/>
        <v>0</v>
      </c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  <c r="BX85" s="1083"/>
      <c r="BY85" s="1083"/>
      <c r="BZ85" s="1083"/>
      <c r="CA85" s="1083"/>
      <c r="CB85" s="1083"/>
      <c r="CC85" s="1083"/>
      <c r="CD85" s="1083"/>
      <c r="CE85" s="1083"/>
      <c r="CF85" s="1083"/>
      <c r="CG85" s="1083"/>
      <c r="CH85" s="1083"/>
      <c r="CI85" s="1083"/>
      <c r="CJ85" s="1083"/>
      <c r="CK85" s="1083"/>
      <c r="CL85" s="1083"/>
      <c r="CM85" s="1083"/>
      <c r="CN85" s="1083"/>
      <c r="CO85" s="1083"/>
      <c r="CP85" s="1083"/>
      <c r="CQ85" s="1083"/>
      <c r="CR85" s="1083"/>
      <c r="CS85" s="1083"/>
      <c r="CT85" s="1083"/>
      <c r="CU85" s="1083"/>
      <c r="CV85" s="1083"/>
      <c r="CW85" s="1083"/>
      <c r="CX85" s="1083"/>
      <c r="CY85" s="1083"/>
      <c r="CZ85" s="1083"/>
      <c r="DA85" s="1083"/>
      <c r="DB85" s="1083"/>
      <c r="DC85" s="1083"/>
      <c r="DD85" s="1083"/>
      <c r="DE85" s="1083"/>
      <c r="DF85" s="1083"/>
      <c r="DG85" s="1083"/>
      <c r="DH85" s="1083"/>
      <c r="DI85" s="1083"/>
      <c r="DJ85" s="1083"/>
      <c r="DK85" s="1083"/>
      <c r="DL85" s="1083"/>
      <c r="DM85" s="1083"/>
      <c r="DN85" s="1083"/>
      <c r="DO85" s="1083"/>
      <c r="DP85" s="1083"/>
      <c r="DQ85" s="1083"/>
      <c r="DR85" s="1083"/>
      <c r="DS85" s="1083"/>
      <c r="DT85" s="1083"/>
      <c r="DU85" s="1083"/>
      <c r="DV85" s="1083"/>
      <c r="DW85" s="1083"/>
      <c r="DX85" s="1083"/>
      <c r="DY85" s="1083"/>
      <c r="DZ85" s="1083"/>
      <c r="EA85" s="1083"/>
      <c r="EB85" s="1083"/>
      <c r="EC85" s="1083"/>
      <c r="ED85" s="1083"/>
      <c r="EE85" s="1083"/>
      <c r="EF85" s="1083"/>
      <c r="EG85" s="1083"/>
      <c r="EH85" s="1083"/>
      <c r="EI85" s="1083"/>
      <c r="EJ85" s="1083"/>
      <c r="EK85" s="1083"/>
      <c r="EL85" s="1083"/>
      <c r="EM85" s="1083"/>
      <c r="EN85" s="1083"/>
      <c r="EO85" s="1083"/>
      <c r="EP85" s="1083"/>
      <c r="EQ85" s="1083"/>
      <c r="ER85" s="1083"/>
      <c r="ES85" s="1083"/>
      <c r="ET85" s="1083"/>
      <c r="EU85" s="1083"/>
      <c r="EV85" s="1083"/>
      <c r="EW85" s="1083"/>
      <c r="EX85" s="1083"/>
      <c r="EY85" s="1083"/>
      <c r="EZ85" s="1083"/>
      <c r="FA85" s="1083"/>
      <c r="FB85" s="1083"/>
      <c r="FC85" s="1083"/>
      <c r="FD85" s="1083"/>
      <c r="FE85" s="1083"/>
      <c r="FF85" s="1083"/>
      <c r="FG85" s="1083"/>
      <c r="FH85" s="1083"/>
      <c r="FI85" s="1083"/>
      <c r="FJ85" s="1083"/>
      <c r="FK85" s="1083"/>
      <c r="FL85" s="1083"/>
      <c r="FM85" s="1083"/>
      <c r="FN85" s="1083"/>
      <c r="FO85" s="1083"/>
      <c r="FP85" s="1083"/>
      <c r="FQ85" s="1083"/>
      <c r="FR85" s="1083"/>
      <c r="FS85" s="1083"/>
      <c r="FT85" s="1083"/>
      <c r="FU85" s="1083"/>
      <c r="FV85" s="1083"/>
      <c r="FW85" s="1083"/>
      <c r="FX85" s="1083"/>
      <c r="FY85" s="1083"/>
      <c r="FZ85" s="1083"/>
      <c r="GA85" s="1083"/>
      <c r="GB85" s="1083"/>
      <c r="GC85" s="1083"/>
      <c r="GD85" s="1083"/>
      <c r="GE85" s="1083"/>
      <c r="GF85" s="1083"/>
      <c r="GG85" s="1083"/>
      <c r="GH85" s="1083"/>
      <c r="GI85" s="1083"/>
      <c r="GJ85" s="1083"/>
      <c r="GK85" s="1083"/>
      <c r="GL85" s="1083"/>
      <c r="GM85" s="1083"/>
      <c r="GN85" s="1083"/>
      <c r="GO85" s="1083"/>
      <c r="GP85" s="1083"/>
      <c r="GQ85" s="1083"/>
      <c r="GR85" s="1083"/>
      <c r="GS85" s="1083"/>
      <c r="GT85" s="1083"/>
      <c r="GU85" s="1083"/>
      <c r="GV85" s="1083"/>
      <c r="GW85" s="1083"/>
      <c r="GX85" s="1083"/>
      <c r="GY85" s="1083"/>
      <c r="GZ85" s="1083"/>
      <c r="HA85" s="1083"/>
      <c r="HB85" s="1083"/>
      <c r="HC85" s="1083"/>
      <c r="HD85" s="1083"/>
      <c r="HE85" s="1083"/>
      <c r="HF85" s="1083"/>
      <c r="HG85" s="1083"/>
      <c r="HH85" s="1083"/>
      <c r="HI85" s="1083"/>
      <c r="HJ85" s="1083"/>
      <c r="HK85" s="1083"/>
      <c r="HL85" s="1083"/>
      <c r="HM85" s="1083"/>
      <c r="HN85" s="1083"/>
      <c r="HO85" s="1083"/>
      <c r="HP85" s="1083"/>
      <c r="HQ85" s="1083"/>
      <c r="HR85" s="1083"/>
      <c r="HS85" s="1083"/>
      <c r="HT85" s="1083"/>
      <c r="HU85" s="1083"/>
      <c r="HV85" s="1083"/>
      <c r="HW85" s="1083"/>
      <c r="HX85" s="1083"/>
      <c r="HY85" s="1083"/>
      <c r="HZ85" s="1083"/>
      <c r="IA85" s="1083"/>
      <c r="IB85" s="1083"/>
      <c r="IC85" s="1083"/>
      <c r="ID85" s="1083"/>
      <c r="IE85" s="1083"/>
      <c r="IF85" s="1083"/>
      <c r="IG85" s="1083"/>
      <c r="IH85" s="1083"/>
      <c r="II85" s="1083"/>
      <c r="IJ85" s="1083"/>
      <c r="IK85" s="1083"/>
      <c r="IL85" s="1083"/>
      <c r="IM85" s="1083"/>
      <c r="IN85" s="1083"/>
      <c r="IO85" s="1083"/>
      <c r="IP85" s="1083"/>
      <c r="IQ85" s="1083"/>
      <c r="IR85" s="1083"/>
      <c r="IS85" s="1083"/>
      <c r="IT85" s="1083"/>
      <c r="IU85" s="1083"/>
      <c r="IV85" s="1083"/>
    </row>
    <row r="86" spans="1:256" s="1084" customFormat="1" ht="12" customHeight="1">
      <c r="A86" s="1094"/>
      <c r="B86" s="314"/>
      <c r="C86" s="314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0"/>
      <c r="AD86" s="1080"/>
      <c r="AE86" s="1082"/>
      <c r="AF86" s="1082"/>
      <c r="AG86" s="1082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  <c r="BX86" s="1083"/>
      <c r="BY86" s="1083"/>
      <c r="BZ86" s="1083"/>
      <c r="CA86" s="1083"/>
      <c r="CB86" s="1083"/>
      <c r="CC86" s="1083"/>
      <c r="CD86" s="1083"/>
      <c r="CE86" s="1083"/>
      <c r="CF86" s="1083"/>
      <c r="CG86" s="1083"/>
      <c r="CH86" s="1083"/>
      <c r="CI86" s="1083"/>
      <c r="CJ86" s="1083"/>
      <c r="CK86" s="1083"/>
      <c r="CL86" s="1083"/>
      <c r="CM86" s="1083"/>
      <c r="CN86" s="1083"/>
      <c r="CO86" s="1083"/>
      <c r="CP86" s="1083"/>
      <c r="CQ86" s="1083"/>
      <c r="CR86" s="1083"/>
      <c r="CS86" s="1083"/>
      <c r="CT86" s="1083"/>
      <c r="CU86" s="1083"/>
      <c r="CV86" s="1083"/>
      <c r="CW86" s="1083"/>
      <c r="CX86" s="1083"/>
      <c r="CY86" s="1083"/>
      <c r="CZ86" s="1083"/>
      <c r="DA86" s="1083"/>
      <c r="DB86" s="1083"/>
      <c r="DC86" s="1083"/>
      <c r="DD86" s="1083"/>
      <c r="DE86" s="1083"/>
      <c r="DF86" s="1083"/>
      <c r="DG86" s="1083"/>
      <c r="DH86" s="1083"/>
      <c r="DI86" s="1083"/>
      <c r="DJ86" s="1083"/>
      <c r="DK86" s="1083"/>
      <c r="DL86" s="1083"/>
      <c r="DM86" s="1083"/>
      <c r="DN86" s="1083"/>
      <c r="DO86" s="1083"/>
      <c r="DP86" s="1083"/>
      <c r="DQ86" s="1083"/>
      <c r="DR86" s="1083"/>
      <c r="DS86" s="1083"/>
      <c r="DT86" s="1083"/>
      <c r="DU86" s="1083"/>
      <c r="DV86" s="1083"/>
      <c r="DW86" s="1083"/>
      <c r="DX86" s="1083"/>
      <c r="DY86" s="1083"/>
      <c r="DZ86" s="1083"/>
      <c r="EA86" s="1083"/>
      <c r="EB86" s="1083"/>
      <c r="EC86" s="1083"/>
      <c r="ED86" s="1083"/>
      <c r="EE86" s="1083"/>
      <c r="EF86" s="1083"/>
      <c r="EG86" s="1083"/>
      <c r="EH86" s="1083"/>
      <c r="EI86" s="1083"/>
      <c r="EJ86" s="1083"/>
      <c r="EK86" s="1083"/>
      <c r="EL86" s="1083"/>
      <c r="EM86" s="1083"/>
      <c r="EN86" s="1083"/>
      <c r="EO86" s="1083"/>
      <c r="EP86" s="1083"/>
      <c r="EQ86" s="1083"/>
      <c r="ER86" s="1083"/>
      <c r="ES86" s="1083"/>
      <c r="ET86" s="1083"/>
      <c r="EU86" s="1083"/>
      <c r="EV86" s="1083"/>
      <c r="EW86" s="1083"/>
      <c r="EX86" s="1083"/>
      <c r="EY86" s="1083"/>
      <c r="EZ86" s="1083"/>
      <c r="FA86" s="1083"/>
      <c r="FB86" s="1083"/>
      <c r="FC86" s="1083"/>
      <c r="FD86" s="1083"/>
      <c r="FE86" s="1083"/>
      <c r="FF86" s="1083"/>
      <c r="FG86" s="1083"/>
      <c r="FH86" s="1083"/>
      <c r="FI86" s="1083"/>
      <c r="FJ86" s="1083"/>
      <c r="FK86" s="1083"/>
      <c r="FL86" s="1083"/>
      <c r="FM86" s="1083"/>
      <c r="FN86" s="1083"/>
      <c r="FO86" s="1083"/>
      <c r="FP86" s="1083"/>
      <c r="FQ86" s="1083"/>
      <c r="FR86" s="1083"/>
      <c r="FS86" s="1083"/>
      <c r="FT86" s="1083"/>
      <c r="FU86" s="1083"/>
      <c r="FV86" s="1083"/>
      <c r="FW86" s="1083"/>
      <c r="FX86" s="1083"/>
      <c r="FY86" s="1083"/>
      <c r="FZ86" s="1083"/>
      <c r="GA86" s="1083"/>
      <c r="GB86" s="1083"/>
      <c r="GC86" s="1083"/>
      <c r="GD86" s="1083"/>
      <c r="GE86" s="1083"/>
      <c r="GF86" s="1083"/>
      <c r="GG86" s="1083"/>
      <c r="GH86" s="1083"/>
      <c r="GI86" s="1083"/>
      <c r="GJ86" s="1083"/>
      <c r="GK86" s="1083"/>
      <c r="GL86" s="1083"/>
      <c r="GM86" s="1083"/>
      <c r="GN86" s="1083"/>
      <c r="GO86" s="1083"/>
      <c r="GP86" s="1083"/>
      <c r="GQ86" s="1083"/>
      <c r="GR86" s="1083"/>
      <c r="GS86" s="1083"/>
      <c r="GT86" s="1083"/>
      <c r="GU86" s="1083"/>
      <c r="GV86" s="1083"/>
      <c r="GW86" s="1083"/>
      <c r="GX86" s="1083"/>
      <c r="GY86" s="1083"/>
      <c r="GZ86" s="1083"/>
      <c r="HA86" s="1083"/>
      <c r="HB86" s="1083"/>
      <c r="HC86" s="1083"/>
      <c r="HD86" s="1083"/>
      <c r="HE86" s="1083"/>
      <c r="HF86" s="1083"/>
      <c r="HG86" s="1083"/>
      <c r="HH86" s="1083"/>
      <c r="HI86" s="1083"/>
      <c r="HJ86" s="1083"/>
      <c r="HK86" s="1083"/>
      <c r="HL86" s="1083"/>
      <c r="HM86" s="1083"/>
      <c r="HN86" s="1083"/>
      <c r="HO86" s="1083"/>
      <c r="HP86" s="1083"/>
      <c r="HQ86" s="1083"/>
      <c r="HR86" s="1083"/>
      <c r="HS86" s="1083"/>
      <c r="HT86" s="1083"/>
      <c r="HU86" s="1083"/>
      <c r="HV86" s="1083"/>
      <c r="HW86" s="1083"/>
      <c r="HX86" s="1083"/>
      <c r="HY86" s="1083"/>
      <c r="HZ86" s="1083"/>
      <c r="IA86" s="1083"/>
      <c r="IB86" s="1083"/>
      <c r="IC86" s="1083"/>
      <c r="ID86" s="1083"/>
      <c r="IE86" s="1083"/>
      <c r="IF86" s="1083"/>
      <c r="IG86" s="1083"/>
      <c r="IH86" s="1083"/>
      <c r="II86" s="1083"/>
      <c r="IJ86" s="1083"/>
      <c r="IK86" s="1083"/>
      <c r="IL86" s="1083"/>
      <c r="IM86" s="1083"/>
      <c r="IN86" s="1083"/>
      <c r="IO86" s="1083"/>
      <c r="IP86" s="1083"/>
      <c r="IQ86" s="1083"/>
      <c r="IR86" s="1083"/>
      <c r="IS86" s="1083"/>
      <c r="IT86" s="1083"/>
      <c r="IU86" s="1083"/>
      <c r="IV86" s="1083"/>
    </row>
    <row r="87" spans="1:256" s="1096" customFormat="1" ht="12" customHeight="1">
      <c r="A87" s="1095"/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80"/>
      <c r="M87" s="1080"/>
      <c r="N87" s="1080"/>
      <c r="O87" s="1080"/>
      <c r="P87" s="1080"/>
      <c r="Q87" s="1080"/>
      <c r="R87" s="1080"/>
      <c r="S87" s="1080"/>
      <c r="T87" s="1080"/>
      <c r="U87" s="1080"/>
      <c r="V87" s="1080"/>
      <c r="W87" s="1080"/>
      <c r="X87" s="1080"/>
      <c r="Y87" s="1080"/>
      <c r="Z87" s="1080"/>
      <c r="AA87" s="1080"/>
      <c r="AB87" s="1080"/>
      <c r="AC87" s="1080"/>
      <c r="AD87" s="1080"/>
      <c r="AE87" s="304"/>
      <c r="AF87" s="304"/>
      <c r="AG87" s="304"/>
    </row>
    <row r="88" spans="1:256" s="1096" customFormat="1" ht="12" customHeight="1">
      <c r="A88" s="633" t="s">
        <v>344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304"/>
      <c r="AF88" s="304"/>
      <c r="AG88" s="304"/>
    </row>
    <row r="89" spans="1:256" s="1096" customFormat="1" ht="12" customHeight="1">
      <c r="A89" s="633"/>
      <c r="B89" s="1080"/>
      <c r="C89" s="1080"/>
      <c r="D89" s="1080"/>
      <c r="E89" s="1080"/>
      <c r="F89" s="1080"/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304"/>
      <c r="AF89" s="304"/>
      <c r="AG89" s="304"/>
    </row>
    <row r="90" spans="1:256" outlineLevel="1">
      <c r="A90" s="598" t="s">
        <v>523</v>
      </c>
      <c r="B90" s="316">
        <f>B39-B12</f>
        <v>157.27334270074789</v>
      </c>
      <c r="C90" s="316">
        <f>C39-C12</f>
        <v>187.46301483671778</v>
      </c>
      <c r="D90" s="316">
        <f>D39-D12</f>
        <v>320.15229792331047</v>
      </c>
      <c r="E90" s="316">
        <f t="shared" ref="E90:U90" si="24">E39</f>
        <v>15887.946289068132</v>
      </c>
      <c r="F90" s="316">
        <f t="shared" si="24"/>
        <v>18219.250836348998</v>
      </c>
      <c r="G90" s="316">
        <f t="shared" si="24"/>
        <v>19327.388562229535</v>
      </c>
      <c r="H90" s="316">
        <f t="shared" si="24"/>
        <v>20458.895914033419</v>
      </c>
      <c r="I90" s="316">
        <f t="shared" si="24"/>
        <v>21691.119919939876</v>
      </c>
      <c r="J90" s="316">
        <f t="shared" si="24"/>
        <v>23176.427556344439</v>
      </c>
      <c r="K90" s="316">
        <f t="shared" si="24"/>
        <v>24831.951836314322</v>
      </c>
      <c r="L90" s="316">
        <f t="shared" si="24"/>
        <v>25982.724346895622</v>
      </c>
      <c r="M90" s="316">
        <f t="shared" si="24"/>
        <v>27369.158562334116</v>
      </c>
      <c r="N90" s="316">
        <f t="shared" si="24"/>
        <v>28804.657214989693</v>
      </c>
      <c r="O90" s="316">
        <f t="shared" si="24"/>
        <v>30222.855143577435</v>
      </c>
      <c r="P90" s="316">
        <f t="shared" si="24"/>
        <v>31657.411999979064</v>
      </c>
      <c r="Q90" s="316">
        <f t="shared" si="24"/>
        <v>33240.663031923716</v>
      </c>
      <c r="R90" s="316">
        <f t="shared" si="24"/>
        <v>34890.030239033935</v>
      </c>
      <c r="S90" s="316">
        <f t="shared" si="24"/>
        <v>36489.395118075285</v>
      </c>
      <c r="T90" s="316">
        <f t="shared" si="24"/>
        <v>37960.28631204999</v>
      </c>
      <c r="U90" s="316">
        <f t="shared" si="24"/>
        <v>39437.358742410572</v>
      </c>
      <c r="W90" s="1054">
        <f>SUM(B90:U90)</f>
        <v>470312.41028100892</v>
      </c>
    </row>
    <row r="91" spans="1:256" outlineLevel="1">
      <c r="A91" s="598" t="s">
        <v>502</v>
      </c>
      <c r="B91" s="316">
        <f>B33</f>
        <v>7011.6877311229173</v>
      </c>
      <c r="C91" s="316">
        <f t="shared" ref="C91:U91" si="25">C33</f>
        <v>7011.6877311229173</v>
      </c>
      <c r="D91" s="316">
        <f t="shared" si="25"/>
        <v>7011.6877311229173</v>
      </c>
      <c r="E91" s="316">
        <f t="shared" si="25"/>
        <v>7011.6877311229173</v>
      </c>
      <c r="F91" s="316">
        <f t="shared" si="25"/>
        <v>7011.6877311229173</v>
      </c>
      <c r="G91" s="316">
        <f t="shared" si="25"/>
        <v>7011.6877311229173</v>
      </c>
      <c r="H91" s="316">
        <f t="shared" si="25"/>
        <v>7011.6877311229173</v>
      </c>
      <c r="I91" s="316">
        <f t="shared" si="25"/>
        <v>7011.6877311229173</v>
      </c>
      <c r="J91" s="316">
        <f t="shared" si="25"/>
        <v>7011.6877311229173</v>
      </c>
      <c r="K91" s="316">
        <f t="shared" si="25"/>
        <v>7011.6877311229173</v>
      </c>
      <c r="L91" s="316">
        <f t="shared" si="25"/>
        <v>7011.6877311229173</v>
      </c>
      <c r="M91" s="316">
        <f t="shared" si="25"/>
        <v>7011.6877311229173</v>
      </c>
      <c r="N91" s="316">
        <f t="shared" si="25"/>
        <v>7011.6877311229173</v>
      </c>
      <c r="O91" s="316">
        <f t="shared" si="25"/>
        <v>7011.6877311229173</v>
      </c>
      <c r="P91" s="316">
        <f t="shared" si="25"/>
        <v>7011.6877311229173</v>
      </c>
      <c r="Q91" s="316">
        <f t="shared" si="25"/>
        <v>7011.6877311229173</v>
      </c>
      <c r="R91" s="316">
        <f t="shared" si="25"/>
        <v>7011.6877311229173</v>
      </c>
      <c r="S91" s="316">
        <f t="shared" si="25"/>
        <v>7011.6877311229173</v>
      </c>
      <c r="T91" s="316">
        <f t="shared" si="25"/>
        <v>7011.6877311229173</v>
      </c>
      <c r="U91" s="316">
        <f t="shared" si="25"/>
        <v>7011.6877311229173</v>
      </c>
      <c r="W91" s="1054">
        <f>SUM(B91:U91)</f>
        <v>140233.75462245833</v>
      </c>
    </row>
    <row r="92" spans="1:256" ht="15" outlineLevel="1">
      <c r="A92" s="598" t="s">
        <v>352</v>
      </c>
      <c r="B92" s="1062">
        <f>-ENA_Depreciation!C93</f>
        <v>-10245.723188278003</v>
      </c>
      <c r="C92" s="1062">
        <f>-ENA_Depreciation!D93</f>
        <v>-19466.874057728204</v>
      </c>
      <c r="D92" s="1062">
        <f>-ENA_Depreciation!E93</f>
        <v>-17520.186651955384</v>
      </c>
      <c r="E92" s="1062">
        <f>-ENA_Depreciation!F93</f>
        <v>-15778.413709948123</v>
      </c>
      <c r="F92" s="1062">
        <f>-ENA_Depreciation!G93</f>
        <v>-14200.57233895331</v>
      </c>
      <c r="G92" s="1062">
        <f>-ENA_Depreciation!H93</f>
        <v>-12766.17109259439</v>
      </c>
      <c r="H92" s="1062">
        <f>-ENA_Depreciation!I93</f>
        <v>-12089.953362168042</v>
      </c>
      <c r="I92" s="1062">
        <f>-ENA_Depreciation!J93</f>
        <v>-12110.444808544598</v>
      </c>
      <c r="J92" s="1062">
        <f>-ENA_Depreciation!K93</f>
        <v>-12089.953362168042</v>
      </c>
      <c r="K92" s="1062">
        <f>-ENA_Depreciation!L93</f>
        <v>-12110.444808544598</v>
      </c>
      <c r="L92" s="1062">
        <f>-ENA_Depreciation!M93</f>
        <v>-12089.953362168042</v>
      </c>
      <c r="M92" s="1062">
        <f>-ENA_Depreciation!N93</f>
        <v>-12110.444808544598</v>
      </c>
      <c r="N92" s="1062">
        <f>-ENA_Depreciation!O93</f>
        <v>-12089.953362168042</v>
      </c>
      <c r="O92" s="1062">
        <f>-ENA_Depreciation!P93</f>
        <v>-12110.444808544598</v>
      </c>
      <c r="P92" s="1062">
        <f>-ENA_Depreciation!Q93</f>
        <v>-12089.953362168042</v>
      </c>
      <c r="Q92" s="1062">
        <f>-ENA_Depreciation!R93</f>
        <v>-6044.976681084021</v>
      </c>
      <c r="R92" s="1062">
        <f>-ENA_Depreciation!S93</f>
        <v>0</v>
      </c>
      <c r="S92" s="1062">
        <f>-ENA_Depreciation!T93</f>
        <v>0</v>
      </c>
      <c r="T92" s="1062">
        <f>-ENA_Depreciation!U93</f>
        <v>0</v>
      </c>
      <c r="U92" s="1062">
        <f>-ENA_Depreciation!V93</f>
        <v>0</v>
      </c>
      <c r="W92" s="1063">
        <f>SUM(B92:U92)</f>
        <v>-204914.46376556004</v>
      </c>
    </row>
    <row r="93" spans="1:256" outlineLevel="1">
      <c r="A93" s="318" t="s">
        <v>524</v>
      </c>
      <c r="B93" s="296">
        <f t="shared" ref="B93:U93" si="26">SUM(B90:B92)</f>
        <v>-3076.7621144543382</v>
      </c>
      <c r="C93" s="296">
        <f t="shared" si="26"/>
        <v>-12267.723311768568</v>
      </c>
      <c r="D93" s="296">
        <f t="shared" si="26"/>
        <v>-10188.346622909157</v>
      </c>
      <c r="E93" s="296">
        <f t="shared" si="26"/>
        <v>7121.2203102429266</v>
      </c>
      <c r="F93" s="296">
        <f t="shared" si="26"/>
        <v>11030.366228518606</v>
      </c>
      <c r="G93" s="296">
        <f t="shared" si="26"/>
        <v>13572.905200758063</v>
      </c>
      <c r="H93" s="296">
        <f t="shared" si="26"/>
        <v>15380.630282988295</v>
      </c>
      <c r="I93" s="296">
        <f t="shared" si="26"/>
        <v>16592.362842518196</v>
      </c>
      <c r="J93" s="296">
        <f t="shared" si="26"/>
        <v>18098.161925299315</v>
      </c>
      <c r="K93" s="296">
        <f t="shared" si="26"/>
        <v>19733.194758892641</v>
      </c>
      <c r="L93" s="296">
        <f t="shared" si="26"/>
        <v>20904.458715850498</v>
      </c>
      <c r="M93" s="296">
        <f t="shared" si="26"/>
        <v>22270.401484912436</v>
      </c>
      <c r="N93" s="296">
        <f t="shared" si="26"/>
        <v>23726.391583944565</v>
      </c>
      <c r="O93" s="296">
        <f t="shared" si="26"/>
        <v>25124.098066155755</v>
      </c>
      <c r="P93" s="296">
        <f t="shared" si="26"/>
        <v>26579.14636893394</v>
      </c>
      <c r="Q93" s="296">
        <f t="shared" si="26"/>
        <v>34207.374081962611</v>
      </c>
      <c r="R93" s="296">
        <f t="shared" si="26"/>
        <v>41901.717970156853</v>
      </c>
      <c r="S93" s="296">
        <f t="shared" si="26"/>
        <v>43501.082849198203</v>
      </c>
      <c r="T93" s="296">
        <f t="shared" si="26"/>
        <v>44971.974043172908</v>
      </c>
      <c r="U93" s="296">
        <f t="shared" si="26"/>
        <v>46449.04647353349</v>
      </c>
      <c r="W93" s="1054">
        <f>SUM(B93:U93)</f>
        <v>405631.70113790722</v>
      </c>
    </row>
    <row r="94" spans="1:256" outlineLevel="1">
      <c r="A94" s="598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</row>
    <row r="95" spans="1:256" outlineLevel="1">
      <c r="A95" s="598" t="s">
        <v>434</v>
      </c>
      <c r="B95" s="1064">
        <f>ENA_Assumptions!$H$39</f>
        <v>4.4999999999999998E-2</v>
      </c>
      <c r="C95" s="1064">
        <f>ENA_Assumptions!$H$39</f>
        <v>4.4999999999999998E-2</v>
      </c>
      <c r="D95" s="1064">
        <f>ENA_Assumptions!$H$39</f>
        <v>4.4999999999999998E-2</v>
      </c>
      <c r="E95" s="1064">
        <f>ENA_Assumptions!$H$39</f>
        <v>4.4999999999999998E-2</v>
      </c>
      <c r="F95" s="1064">
        <f>ENA_Assumptions!$H$39</f>
        <v>4.4999999999999998E-2</v>
      </c>
      <c r="G95" s="1064">
        <f>ENA_Assumptions!$H$39</f>
        <v>4.4999999999999998E-2</v>
      </c>
      <c r="H95" s="1064">
        <f>ENA_Assumptions!$H$39</f>
        <v>4.4999999999999998E-2</v>
      </c>
      <c r="I95" s="1064">
        <f>ENA_Assumptions!$H$39</f>
        <v>4.4999999999999998E-2</v>
      </c>
      <c r="J95" s="1064">
        <f>ENA_Assumptions!$H$39</f>
        <v>4.4999999999999998E-2</v>
      </c>
      <c r="K95" s="1064">
        <f>ENA_Assumptions!$H$39</f>
        <v>4.4999999999999998E-2</v>
      </c>
      <c r="L95" s="1064">
        <f>ENA_Assumptions!$H$39</f>
        <v>4.4999999999999998E-2</v>
      </c>
      <c r="M95" s="1064">
        <f>ENA_Assumptions!$H$39</f>
        <v>4.4999999999999998E-2</v>
      </c>
      <c r="N95" s="1064">
        <f>ENA_Assumptions!$H$39</f>
        <v>4.4999999999999998E-2</v>
      </c>
      <c r="O95" s="1064">
        <f>ENA_Assumptions!$H$39</f>
        <v>4.4999999999999998E-2</v>
      </c>
      <c r="P95" s="1064">
        <f>ENA_Assumptions!$H$39</f>
        <v>4.4999999999999998E-2</v>
      </c>
      <c r="Q95" s="1064">
        <f>ENA_Assumptions!$H$39</f>
        <v>4.4999999999999998E-2</v>
      </c>
      <c r="R95" s="1064">
        <f>ENA_Assumptions!$H$39</f>
        <v>4.4999999999999998E-2</v>
      </c>
      <c r="S95" s="1064">
        <f>ENA_Assumptions!$H$39</f>
        <v>4.4999999999999998E-2</v>
      </c>
      <c r="T95" s="1064">
        <f>ENA_Assumptions!$H$39</f>
        <v>4.4999999999999998E-2</v>
      </c>
      <c r="U95" s="1064">
        <f>ENA_Assumptions!$H$39</f>
        <v>4.4999999999999998E-2</v>
      </c>
    </row>
    <row r="96" spans="1:256" outlineLevel="1">
      <c r="A96" s="598" t="s">
        <v>262</v>
      </c>
      <c r="B96" s="316">
        <f>B93*B95</f>
        <v>-138.4542951504452</v>
      </c>
      <c r="C96" s="316">
        <f t="shared" ref="C96:U96" si="27">C93*C95</f>
        <v>-552.04754902958553</v>
      </c>
      <c r="D96" s="316">
        <f t="shared" si="27"/>
        <v>-458.47559803091207</v>
      </c>
      <c r="E96" s="316">
        <f t="shared" si="27"/>
        <v>320.45491396093166</v>
      </c>
      <c r="F96" s="316">
        <f t="shared" si="27"/>
        <v>496.36648028333724</v>
      </c>
      <c r="G96" s="316">
        <f t="shared" si="27"/>
        <v>610.78073403411281</v>
      </c>
      <c r="H96" s="316">
        <f t="shared" si="27"/>
        <v>692.12836273447328</v>
      </c>
      <c r="I96" s="316">
        <f t="shared" si="27"/>
        <v>746.65632791331882</v>
      </c>
      <c r="J96" s="316">
        <f t="shared" si="27"/>
        <v>814.41728663846914</v>
      </c>
      <c r="K96" s="316">
        <f t="shared" si="27"/>
        <v>887.99376415016889</v>
      </c>
      <c r="L96" s="316">
        <f t="shared" si="27"/>
        <v>940.70064221327243</v>
      </c>
      <c r="M96" s="316">
        <f t="shared" si="27"/>
        <v>1002.1680668210596</v>
      </c>
      <c r="N96" s="316">
        <f t="shared" si="27"/>
        <v>1067.6876212775055</v>
      </c>
      <c r="O96" s="316">
        <f t="shared" si="27"/>
        <v>1130.5844129770089</v>
      </c>
      <c r="P96" s="316">
        <f t="shared" si="27"/>
        <v>1196.0615866020273</v>
      </c>
      <c r="Q96" s="316">
        <f t="shared" si="27"/>
        <v>1539.3318336883174</v>
      </c>
      <c r="R96" s="316">
        <f t="shared" si="27"/>
        <v>1885.5773086570582</v>
      </c>
      <c r="S96" s="316">
        <f t="shared" si="27"/>
        <v>1957.548728213919</v>
      </c>
      <c r="T96" s="316">
        <f t="shared" si="27"/>
        <v>2023.7388319427807</v>
      </c>
      <c r="U96" s="316">
        <f t="shared" si="27"/>
        <v>2090.207091309007</v>
      </c>
    </row>
    <row r="97" spans="1:23" outlineLevel="1">
      <c r="A97" s="598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</row>
    <row r="98" spans="1:23" outlineLevel="1">
      <c r="A98" s="598" t="s">
        <v>258</v>
      </c>
      <c r="B98" s="316">
        <v>0</v>
      </c>
      <c r="C98" s="316">
        <f t="shared" ref="C98:U98" si="28">B102</f>
        <v>138.4542951504452</v>
      </c>
      <c r="D98" s="316">
        <f t="shared" si="28"/>
        <v>690.50184418003073</v>
      </c>
      <c r="E98" s="316">
        <f t="shared" si="28"/>
        <v>1148.9774422109429</v>
      </c>
      <c r="F98" s="316">
        <f t="shared" si="28"/>
        <v>828.52252825001119</v>
      </c>
      <c r="G98" s="316">
        <f t="shared" si="28"/>
        <v>332.15604796667395</v>
      </c>
      <c r="H98" s="316">
        <f t="shared" si="28"/>
        <v>0</v>
      </c>
      <c r="I98" s="316">
        <f t="shared" si="28"/>
        <v>0</v>
      </c>
      <c r="J98" s="316">
        <f t="shared" si="28"/>
        <v>0</v>
      </c>
      <c r="K98" s="316">
        <f t="shared" si="28"/>
        <v>0</v>
      </c>
      <c r="L98" s="316">
        <f t="shared" si="28"/>
        <v>0</v>
      </c>
      <c r="M98" s="316">
        <f t="shared" si="28"/>
        <v>0</v>
      </c>
      <c r="N98" s="316">
        <f>M102</f>
        <v>0</v>
      </c>
      <c r="O98" s="316">
        <f t="shared" si="28"/>
        <v>0</v>
      </c>
      <c r="P98" s="316">
        <f t="shared" si="28"/>
        <v>0</v>
      </c>
      <c r="Q98" s="316">
        <f t="shared" si="28"/>
        <v>0</v>
      </c>
      <c r="R98" s="316">
        <v>0</v>
      </c>
      <c r="S98" s="316">
        <f t="shared" si="28"/>
        <v>0</v>
      </c>
      <c r="T98" s="316">
        <f t="shared" si="28"/>
        <v>0</v>
      </c>
      <c r="U98" s="316">
        <f t="shared" si="28"/>
        <v>0</v>
      </c>
    </row>
    <row r="99" spans="1:23" outlineLevel="1">
      <c r="A99" s="598" t="s">
        <v>259</v>
      </c>
      <c r="B99" s="319">
        <f t="shared" ref="B99:U99" si="29">IF(B68&gt;2020,0,IF(B96&lt;0,-B96,0))</f>
        <v>138.4542951504452</v>
      </c>
      <c r="C99" s="319">
        <f t="shared" si="29"/>
        <v>552.04754902958553</v>
      </c>
      <c r="D99" s="319">
        <f t="shared" si="29"/>
        <v>458.47559803091207</v>
      </c>
      <c r="E99" s="319">
        <f t="shared" si="29"/>
        <v>0</v>
      </c>
      <c r="F99" s="319">
        <f t="shared" si="29"/>
        <v>0</v>
      </c>
      <c r="G99" s="319">
        <f t="shared" si="29"/>
        <v>0</v>
      </c>
      <c r="H99" s="319">
        <f t="shared" si="29"/>
        <v>0</v>
      </c>
      <c r="I99" s="319">
        <f t="shared" si="29"/>
        <v>0</v>
      </c>
      <c r="J99" s="319">
        <f t="shared" si="29"/>
        <v>0</v>
      </c>
      <c r="K99" s="319">
        <f t="shared" si="29"/>
        <v>0</v>
      </c>
      <c r="L99" s="319">
        <f t="shared" si="29"/>
        <v>0</v>
      </c>
      <c r="M99" s="319">
        <f t="shared" si="29"/>
        <v>0</v>
      </c>
      <c r="N99" s="319">
        <f t="shared" si="29"/>
        <v>0</v>
      </c>
      <c r="O99" s="319">
        <f t="shared" si="29"/>
        <v>0</v>
      </c>
      <c r="P99" s="319">
        <f t="shared" si="29"/>
        <v>0</v>
      </c>
      <c r="Q99" s="319">
        <f t="shared" si="29"/>
        <v>0</v>
      </c>
      <c r="R99" s="319">
        <f t="shared" si="29"/>
        <v>0</v>
      </c>
      <c r="S99" s="319">
        <f t="shared" si="29"/>
        <v>0</v>
      </c>
      <c r="T99" s="319">
        <f t="shared" si="29"/>
        <v>0</v>
      </c>
      <c r="U99" s="319">
        <f t="shared" si="29"/>
        <v>0</v>
      </c>
    </row>
    <row r="100" spans="1:23" outlineLevel="1">
      <c r="A100" s="598" t="s">
        <v>260</v>
      </c>
      <c r="B100" s="329">
        <v>0</v>
      </c>
      <c r="C100" s="329">
        <v>0</v>
      </c>
      <c r="D100" s="329">
        <v>0</v>
      </c>
      <c r="E100" s="329">
        <v>0</v>
      </c>
      <c r="F100" s="329">
        <v>0</v>
      </c>
      <c r="G100" s="329">
        <v>0</v>
      </c>
      <c r="H100" s="329">
        <v>0</v>
      </c>
      <c r="I100" s="329">
        <v>0</v>
      </c>
      <c r="J100" s="329">
        <v>0</v>
      </c>
      <c r="K100" s="329">
        <v>0</v>
      </c>
      <c r="L100" s="329">
        <v>0</v>
      </c>
      <c r="M100" s="329">
        <v>0</v>
      </c>
      <c r="N100" s="329">
        <v>0</v>
      </c>
      <c r="O100" s="329">
        <v>0</v>
      </c>
      <c r="P100" s="329">
        <v>0</v>
      </c>
      <c r="Q100" s="329">
        <v>0</v>
      </c>
      <c r="R100" s="329">
        <v>0</v>
      </c>
      <c r="S100" s="329">
        <v>0</v>
      </c>
      <c r="T100" s="316">
        <f>IF(L99&gt;(SUM(M101:S101)+SUM(L100:S100))*-1,L99-(SUM(L101:S101)+SUM(L100:S100))*-1,0)</f>
        <v>0</v>
      </c>
      <c r="U100" s="316">
        <f>IF(M99&gt;(SUM(N101:T101)+SUM(M100:T100))*-1,M99-(SUM(M101:T101)+SUM(M100:T100))*-1,0)</f>
        <v>0</v>
      </c>
    </row>
    <row r="101" spans="1:23" outlineLevel="1">
      <c r="A101" s="313" t="s">
        <v>225</v>
      </c>
      <c r="B101" s="330">
        <f t="shared" ref="B101:T101" si="30">IF(B96&lt;0,0,IF(B98&gt;B96,-B96,-B98))</f>
        <v>0</v>
      </c>
      <c r="C101" s="330">
        <f t="shared" si="30"/>
        <v>0</v>
      </c>
      <c r="D101" s="330">
        <f t="shared" si="30"/>
        <v>0</v>
      </c>
      <c r="E101" s="330">
        <f t="shared" si="30"/>
        <v>-320.45491396093166</v>
      </c>
      <c r="F101" s="330">
        <f t="shared" si="30"/>
        <v>-496.36648028333724</v>
      </c>
      <c r="G101" s="330">
        <f t="shared" si="30"/>
        <v>-332.15604796667395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>IF(U96&lt;0,0,IF(U98&gt;U96,-U96,-U98))</f>
        <v>0</v>
      </c>
    </row>
    <row r="102" spans="1:23" outlineLevel="1">
      <c r="A102" s="313" t="s">
        <v>261</v>
      </c>
      <c r="B102" s="330">
        <f t="shared" ref="B102:U102" si="31">SUM(B98:B101)</f>
        <v>138.4542951504452</v>
      </c>
      <c r="C102" s="330">
        <f t="shared" si="31"/>
        <v>690.50184418003073</v>
      </c>
      <c r="D102" s="330">
        <f t="shared" si="31"/>
        <v>1148.9774422109429</v>
      </c>
      <c r="E102" s="330">
        <f t="shared" si="31"/>
        <v>828.52252825001119</v>
      </c>
      <c r="F102" s="330">
        <f t="shared" si="31"/>
        <v>332.15604796667395</v>
      </c>
      <c r="G102" s="330">
        <f t="shared" si="31"/>
        <v>0</v>
      </c>
      <c r="H102" s="330">
        <f t="shared" si="31"/>
        <v>0</v>
      </c>
      <c r="I102" s="330">
        <f t="shared" si="31"/>
        <v>0</v>
      </c>
      <c r="J102" s="330">
        <f t="shared" si="31"/>
        <v>0</v>
      </c>
      <c r="K102" s="330">
        <f t="shared" si="31"/>
        <v>0</v>
      </c>
      <c r="L102" s="330">
        <f t="shared" si="31"/>
        <v>0</v>
      </c>
      <c r="M102" s="330">
        <f t="shared" si="31"/>
        <v>0</v>
      </c>
      <c r="N102" s="330">
        <f t="shared" si="31"/>
        <v>0</v>
      </c>
      <c r="O102" s="330">
        <f t="shared" si="31"/>
        <v>0</v>
      </c>
      <c r="P102" s="330">
        <f t="shared" si="31"/>
        <v>0</v>
      </c>
      <c r="Q102" s="330">
        <f t="shared" si="31"/>
        <v>0</v>
      </c>
      <c r="R102" s="330">
        <f t="shared" si="31"/>
        <v>0</v>
      </c>
      <c r="S102" s="330">
        <f t="shared" si="31"/>
        <v>0</v>
      </c>
      <c r="T102" s="330">
        <f t="shared" si="31"/>
        <v>0</v>
      </c>
      <c r="U102" s="330">
        <f t="shared" si="31"/>
        <v>0</v>
      </c>
    </row>
    <row r="103" spans="1:23" outlineLevel="1">
      <c r="A103" s="313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</row>
    <row r="104" spans="1:23" ht="13.5" outlineLevel="1" thickBot="1">
      <c r="A104" s="314" t="s">
        <v>221</v>
      </c>
      <c r="B104" s="1097">
        <f>IF('NewCo_Summary Output'!$P$8=1,IF(B96&lt;0,0,B96+B101),B96)</f>
        <v>0</v>
      </c>
      <c r="C104" s="1097">
        <f>IF('NewCo_Summary Output'!$P$8=1,IF(C96&lt;0,0,C96+C101),C96)</f>
        <v>0</v>
      </c>
      <c r="D104" s="1097">
        <f>IF('NewCo_Summary Output'!$P$8=1,IF(D96&lt;0,0,D96+D101),D96)</f>
        <v>0</v>
      </c>
      <c r="E104" s="1097">
        <f>IF('NewCo_Summary Output'!$P$8=1,IF(E96&lt;0,0,E96+E101),E96)</f>
        <v>0</v>
      </c>
      <c r="F104" s="1097">
        <f>IF('NewCo_Summary Output'!$P$8=1,IF(F96&lt;0,0,F96+F101),F96)</f>
        <v>0</v>
      </c>
      <c r="G104" s="1097">
        <f>IF('NewCo_Summary Output'!$P$8=1,IF(G96&lt;0,0,G96+G101),G96)</f>
        <v>278.62468606743886</v>
      </c>
      <c r="H104" s="1097">
        <f>IF('NewCo_Summary Output'!$P$8=1,IF(H96&lt;0,0,H96+H101),H96)</f>
        <v>692.12836273447328</v>
      </c>
      <c r="I104" s="1097">
        <f>IF('NewCo_Summary Output'!$P$8=1,IF(I96&lt;0,0,I96+I101),I96)</f>
        <v>746.65632791331882</v>
      </c>
      <c r="J104" s="1097">
        <f>IF('NewCo_Summary Output'!$P$8=1,IF(J96&lt;0,0,J96+J101),J96)</f>
        <v>814.41728663846914</v>
      </c>
      <c r="K104" s="1097">
        <f>IF('NewCo_Summary Output'!$P$8=1,IF(K96&lt;0,0,K96+K101),K96)</f>
        <v>887.99376415016889</v>
      </c>
      <c r="L104" s="1097">
        <f>IF('NewCo_Summary Output'!$P$8=1,IF(L96&lt;0,0,L96+L101),L96)</f>
        <v>940.70064221327243</v>
      </c>
      <c r="M104" s="1097">
        <f>IF('NewCo_Summary Output'!$P$8=1,IF(M96&lt;0,0,M96+M101),M96)</f>
        <v>1002.1680668210596</v>
      </c>
      <c r="N104" s="1097">
        <f>IF('NewCo_Summary Output'!$P$8=1,IF(N96&lt;0,0,N96+N101),N96)</f>
        <v>1067.6876212775055</v>
      </c>
      <c r="O104" s="1097">
        <f>IF('NewCo_Summary Output'!$P$8=1,IF(O96&lt;0,0,O96+O101),O96)</f>
        <v>1130.5844129770089</v>
      </c>
      <c r="P104" s="1097">
        <f>IF('NewCo_Summary Output'!$P$8=1,IF(P96&lt;0,0,P96+P101),P96)</f>
        <v>1196.0615866020273</v>
      </c>
      <c r="Q104" s="1097">
        <f>IF('NewCo_Summary Output'!$P$8=1,IF(Q96&lt;0,0,Q96+Q101),Q96)</f>
        <v>1539.3318336883174</v>
      </c>
      <c r="R104" s="1097">
        <f>IF('NewCo_Summary Output'!$P$8=1,IF(R96&lt;0,0,R96+R101),R96)</f>
        <v>1885.5773086570582</v>
      </c>
      <c r="S104" s="1097">
        <f>IF('NewCo_Summary Output'!$P$8=1,IF(S96&lt;0,0,S96+S101),S96)</f>
        <v>1957.548728213919</v>
      </c>
      <c r="T104" s="1097">
        <f>IF('NewCo_Summary Output'!$P$8=1,IF(T96&lt;0,0,T96+T101),T96)</f>
        <v>2023.7388319427807</v>
      </c>
      <c r="U104" s="1097">
        <f>IF('NewCo_Summary Output'!$P$8=1,IF(U96&lt;0,0,U96+U101),U96)</f>
        <v>2090.207091309007</v>
      </c>
      <c r="W104" s="954">
        <f>SUM(B104:U104)</f>
        <v>18253.426551205823</v>
      </c>
    </row>
    <row r="105" spans="1:23" ht="14.25" customHeight="1" outlineLevel="1" thickTop="1">
      <c r="A105" s="44"/>
      <c r="B105" s="31"/>
      <c r="C105" s="31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3" ht="13.5" outlineLevel="1" thickBot="1">
      <c r="A106" s="314" t="s">
        <v>547</v>
      </c>
      <c r="B106" s="1097">
        <f>B85+B104</f>
        <v>296.48996776542862</v>
      </c>
      <c r="C106" s="1097">
        <f t="shared" ref="C106:U106" si="32">C85+C104</f>
        <v>297.14384874839146</v>
      </c>
      <c r="D106" s="1097">
        <f t="shared" si="32"/>
        <v>297.82074675234321</v>
      </c>
      <c r="E106" s="1097">
        <f t="shared" si="32"/>
        <v>540.19017382831646</v>
      </c>
      <c r="F106" s="1097">
        <f t="shared" si="32"/>
        <v>619.454528435866</v>
      </c>
      <c r="G106" s="1097">
        <f t="shared" si="32"/>
        <v>935.75589718324318</v>
      </c>
      <c r="H106" s="1097">
        <f t="shared" si="32"/>
        <v>1387.7308238116098</v>
      </c>
      <c r="I106" s="1097">
        <f t="shared" si="32"/>
        <v>1484.1544051912747</v>
      </c>
      <c r="J106" s="1097">
        <f t="shared" si="32"/>
        <v>1602.41582355418</v>
      </c>
      <c r="K106" s="1097">
        <f t="shared" si="32"/>
        <v>1732.2801265848559</v>
      </c>
      <c r="L106" s="1097">
        <f t="shared" si="32"/>
        <v>1824.1132700077237</v>
      </c>
      <c r="M106" s="1097">
        <f t="shared" si="32"/>
        <v>1932.7194579404195</v>
      </c>
      <c r="N106" s="1097">
        <f t="shared" si="32"/>
        <v>2047.0459665871551</v>
      </c>
      <c r="O106" s="1097">
        <f t="shared" si="32"/>
        <v>2158.1614878586415</v>
      </c>
      <c r="P106" s="1097">
        <f t="shared" si="32"/>
        <v>2272.4135946013157</v>
      </c>
      <c r="Q106" s="1097">
        <f t="shared" si="32"/>
        <v>2669.5143767737236</v>
      </c>
      <c r="R106" s="1097">
        <f t="shared" si="32"/>
        <v>3071.8383367842121</v>
      </c>
      <c r="S106" s="1097">
        <f t="shared" si="32"/>
        <v>3198.1881622284791</v>
      </c>
      <c r="T106" s="1097">
        <f t="shared" si="32"/>
        <v>3314.3885665524804</v>
      </c>
      <c r="U106" s="1097">
        <f t="shared" si="32"/>
        <v>3431.0772885509664</v>
      </c>
      <c r="W106" s="954">
        <f>SUM(B106:U106)</f>
        <v>35112.896849740624</v>
      </c>
    </row>
    <row r="107" spans="1:23" ht="12.75" customHeight="1" outlineLevel="1" thickTop="1">
      <c r="A107" s="44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</row>
    <row r="108" spans="1:23" ht="12.75" customHeight="1" outlineLevel="1">
      <c r="A108" s="46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</row>
    <row r="109" spans="1:23" ht="12.75" customHeight="1" outlineLevel="1">
      <c r="A109" s="46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</row>
    <row r="110" spans="1:23" ht="12.75" customHeight="1" outlineLevel="1">
      <c r="A110" s="1065"/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</row>
    <row r="111" spans="1:23" ht="12.75" customHeight="1" outlineLevel="1">
      <c r="A111" s="42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</row>
    <row r="112" spans="1:23" ht="15.75">
      <c r="A112" s="1189" t="s">
        <v>641</v>
      </c>
      <c r="B112" s="1065"/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</row>
    <row r="113" spans="1:25">
      <c r="A113" s="42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</row>
    <row r="114" spans="1:25">
      <c r="A114" s="318" t="s">
        <v>645</v>
      </c>
      <c r="B114" s="296">
        <f>B93</f>
        <v>-3076.7621144543382</v>
      </c>
      <c r="C114" s="296">
        <f t="shared" ref="C114:U114" si="33">C93</f>
        <v>-12267.723311768568</v>
      </c>
      <c r="D114" s="296">
        <f t="shared" si="33"/>
        <v>-10188.346622909157</v>
      </c>
      <c r="E114" s="296">
        <f t="shared" si="33"/>
        <v>7121.2203102429266</v>
      </c>
      <c r="F114" s="296">
        <f t="shared" si="33"/>
        <v>11030.366228518606</v>
      </c>
      <c r="G114" s="296">
        <f t="shared" si="33"/>
        <v>13572.905200758063</v>
      </c>
      <c r="H114" s="296">
        <f t="shared" si="33"/>
        <v>15380.630282988295</v>
      </c>
      <c r="I114" s="296">
        <f t="shared" si="33"/>
        <v>16592.362842518196</v>
      </c>
      <c r="J114" s="296">
        <f t="shared" si="33"/>
        <v>18098.161925299315</v>
      </c>
      <c r="K114" s="296">
        <f t="shared" si="33"/>
        <v>19733.194758892641</v>
      </c>
      <c r="L114" s="296">
        <f t="shared" si="33"/>
        <v>20904.458715850498</v>
      </c>
      <c r="M114" s="296">
        <f t="shared" si="33"/>
        <v>22270.401484912436</v>
      </c>
      <c r="N114" s="296">
        <f t="shared" si="33"/>
        <v>23726.391583944565</v>
      </c>
      <c r="O114" s="296">
        <f t="shared" si="33"/>
        <v>25124.098066155755</v>
      </c>
      <c r="P114" s="296">
        <f t="shared" si="33"/>
        <v>26579.14636893394</v>
      </c>
      <c r="Q114" s="296">
        <f t="shared" si="33"/>
        <v>34207.374081962611</v>
      </c>
      <c r="R114" s="296">
        <f t="shared" si="33"/>
        <v>41901.717970156853</v>
      </c>
      <c r="S114" s="296">
        <f t="shared" si="33"/>
        <v>43501.082849198203</v>
      </c>
      <c r="T114" s="296">
        <f t="shared" si="33"/>
        <v>44971.974043172908</v>
      </c>
      <c r="U114" s="296">
        <f t="shared" si="33"/>
        <v>46449.04647353349</v>
      </c>
      <c r="W114" s="1054">
        <f>SUM(B114:U114)</f>
        <v>405631.70113790722</v>
      </c>
      <c r="X114" s="1054">
        <f>W93</f>
        <v>405631.70113790722</v>
      </c>
      <c r="Y114" s="1249">
        <f>W114-X114</f>
        <v>0</v>
      </c>
    </row>
    <row r="115" spans="1:25">
      <c r="A115" s="318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W115" s="1054"/>
    </row>
    <row r="116" spans="1:25">
      <c r="A116" s="4" t="s">
        <v>788</v>
      </c>
      <c r="B116" s="296">
        <f>'NewCo_Summary Output'!$C$11*ENA_Allocation!$E$13*NewCo_IS!B13</f>
        <v>1777.3707127847654</v>
      </c>
      <c r="C116" s="296">
        <f>'NewCo_Summary Output'!$C$11*ENA_Allocation!$E$13*NewCo_IS!C13</f>
        <v>1830.6918341683083</v>
      </c>
      <c r="D116" s="296">
        <f>'NewCo_Summary Output'!$C$11*ENA_Allocation!$E$13*NewCo_IS!D13</f>
        <v>1885.612589193358</v>
      </c>
      <c r="E116" s="296">
        <f>'NewCo_Summary Output'!$C$11*ENA_Allocation!$E$13*NewCo_IS!E13</f>
        <v>1942.1809668691585</v>
      </c>
      <c r="F116" s="296">
        <f>'NewCo_Summary Output'!$C$11*ENA_Allocation!$E$13*NewCo_IS!F13</f>
        <v>2000.4463958752333</v>
      </c>
      <c r="G116" s="296">
        <f>'NewCo_Summary Output'!$C$11*ENA_Allocation!$E$13*NewCo_IS!G13</f>
        <v>2060.4597877514907</v>
      </c>
      <c r="H116" s="296">
        <f>'NewCo_Summary Output'!$C$11*ENA_Allocation!$E$13*NewCo_IS!H13</f>
        <v>2122.2735813840354</v>
      </c>
      <c r="I116" s="296">
        <f>'NewCo_Summary Output'!$C$11*ENA_Allocation!$E$13*NewCo_IS!I13</f>
        <v>2185.9417888255566</v>
      </c>
      <c r="J116" s="296">
        <f>'NewCo_Summary Output'!$C$11*ENA_Allocation!$E$13*NewCo_IS!J13</f>
        <v>2251.5200424903232</v>
      </c>
      <c r="K116" s="296">
        <f>'NewCo_Summary Output'!$C$11*ENA_Allocation!$E$13*NewCo_IS!K13</f>
        <v>2319.0656437650332</v>
      </c>
      <c r="L116" s="296">
        <f>'NewCo_Summary Output'!$C$11*ENA_Allocation!$E$13*NewCo_IS!L13</f>
        <v>2388.637613077984</v>
      </c>
      <c r="M116" s="296">
        <f>'NewCo_Summary Output'!$C$11*ENA_Allocation!$E$13*NewCo_IS!M13</f>
        <v>2460.2967414703239</v>
      </c>
      <c r="N116" s="296">
        <f>'NewCo_Summary Output'!$C$11*ENA_Allocation!$E$13*NewCo_IS!N13</f>
        <v>2534.1056437144339</v>
      </c>
      <c r="O116" s="296">
        <f>'NewCo_Summary Output'!$C$11*ENA_Allocation!$E$13*NewCo_IS!O13</f>
        <v>2610.1288130258667</v>
      </c>
      <c r="P116" s="296">
        <f>'NewCo_Summary Output'!$C$11*ENA_Allocation!$E$13*NewCo_IS!P13</f>
        <v>2688.4326774166429</v>
      </c>
      <c r="Q116" s="296">
        <f>'NewCo_Summary Output'!$C$11*ENA_Allocation!$E$13*NewCo_IS!Q13</f>
        <v>2769.0856577391423</v>
      </c>
      <c r="R116" s="296">
        <f>'NewCo_Summary Output'!$C$11*ENA_Allocation!$E$13*NewCo_IS!R13</f>
        <v>2852.1582274713169</v>
      </c>
      <c r="S116" s="296">
        <f>'NewCo_Summary Output'!$C$11*ENA_Allocation!$E$13*NewCo_IS!S13</f>
        <v>2937.7229742954564</v>
      </c>
      <c r="T116" s="296">
        <f>'NewCo_Summary Output'!$C$11*ENA_Allocation!$E$13*NewCo_IS!T13</f>
        <v>3025.8546635243201</v>
      </c>
      <c r="U116" s="296">
        <f>'NewCo_Summary Output'!$C$11*ENA_Allocation!$E$13*NewCo_IS!U13</f>
        <v>3116.6303034300499</v>
      </c>
      <c r="W116" s="1054">
        <f>SUM(B116:U116)</f>
        <v>47758.616658272789</v>
      </c>
      <c r="X116" s="1054">
        <f>NewCo_IS!X13*'NewCo_Summary Output'!C11*ENA_Allocation!E13</f>
        <v>47758.616658272804</v>
      </c>
      <c r="Y116" s="1249">
        <f>W116-X116</f>
        <v>0</v>
      </c>
    </row>
    <row r="117" spans="1:25">
      <c r="A117" s="318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W117" s="1054"/>
    </row>
    <row r="118" spans="1:25">
      <c r="A118" s="318" t="s">
        <v>524</v>
      </c>
      <c r="B118" s="296">
        <f>B114-B116</f>
        <v>-4854.1328272391038</v>
      </c>
      <c r="C118" s="296">
        <f t="shared" ref="C118:U118" si="34">C114-C116</f>
        <v>-14098.415145936877</v>
      </c>
      <c r="D118" s="296">
        <f t="shared" si="34"/>
        <v>-12073.959212102516</v>
      </c>
      <c r="E118" s="296">
        <f t="shared" si="34"/>
        <v>5179.0393433737681</v>
      </c>
      <c r="F118" s="296">
        <f t="shared" si="34"/>
        <v>9029.9198326433725</v>
      </c>
      <c r="G118" s="296">
        <f t="shared" si="34"/>
        <v>11512.445413006571</v>
      </c>
      <c r="H118" s="296">
        <f t="shared" si="34"/>
        <v>13258.35670160426</v>
      </c>
      <c r="I118" s="296">
        <f t="shared" si="34"/>
        <v>14406.42105369264</v>
      </c>
      <c r="J118" s="296">
        <f t="shared" si="34"/>
        <v>15846.641882808992</v>
      </c>
      <c r="K118" s="296">
        <f t="shared" si="34"/>
        <v>17414.129115127609</v>
      </c>
      <c r="L118" s="296">
        <f t="shared" si="34"/>
        <v>18515.821102772516</v>
      </c>
      <c r="M118" s="296">
        <f t="shared" si="34"/>
        <v>19810.104743442113</v>
      </c>
      <c r="N118" s="296">
        <f t="shared" si="34"/>
        <v>21192.285940230133</v>
      </c>
      <c r="O118" s="296">
        <f t="shared" si="34"/>
        <v>22513.96925312989</v>
      </c>
      <c r="P118" s="296">
        <f t="shared" si="34"/>
        <v>23890.713691517296</v>
      </c>
      <c r="Q118" s="296">
        <f t="shared" si="34"/>
        <v>31438.288424223469</v>
      </c>
      <c r="R118" s="296">
        <f t="shared" si="34"/>
        <v>39049.559742685538</v>
      </c>
      <c r="S118" s="296">
        <f t="shared" si="34"/>
        <v>40563.359874902744</v>
      </c>
      <c r="T118" s="296">
        <f t="shared" si="34"/>
        <v>41946.11937964859</v>
      </c>
      <c r="U118" s="296">
        <f t="shared" si="34"/>
        <v>43332.416170103439</v>
      </c>
      <c r="W118" s="1054">
        <f>SUM(B118:U118)</f>
        <v>357873.08447963442</v>
      </c>
      <c r="X118" s="1054">
        <f>X114-X116</f>
        <v>357873.08447963442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434</v>
      </c>
      <c r="B120" s="1064">
        <f>B95</f>
        <v>4.4999999999999998E-2</v>
      </c>
      <c r="C120" s="1064">
        <f t="shared" ref="C120:U120" si="35">C95</f>
        <v>4.4999999999999998E-2</v>
      </c>
      <c r="D120" s="1064">
        <f t="shared" si="35"/>
        <v>4.4999999999999998E-2</v>
      </c>
      <c r="E120" s="1064">
        <f t="shared" si="35"/>
        <v>4.4999999999999998E-2</v>
      </c>
      <c r="F120" s="1064">
        <f t="shared" si="35"/>
        <v>4.4999999999999998E-2</v>
      </c>
      <c r="G120" s="1064">
        <f t="shared" si="35"/>
        <v>4.4999999999999998E-2</v>
      </c>
      <c r="H120" s="1064">
        <f t="shared" si="35"/>
        <v>4.4999999999999998E-2</v>
      </c>
      <c r="I120" s="1064">
        <f t="shared" si="35"/>
        <v>4.4999999999999998E-2</v>
      </c>
      <c r="J120" s="1064">
        <f t="shared" si="35"/>
        <v>4.4999999999999998E-2</v>
      </c>
      <c r="K120" s="1064">
        <f t="shared" si="35"/>
        <v>4.4999999999999998E-2</v>
      </c>
      <c r="L120" s="1064">
        <f t="shared" si="35"/>
        <v>4.4999999999999998E-2</v>
      </c>
      <c r="M120" s="1064">
        <f t="shared" si="35"/>
        <v>4.4999999999999998E-2</v>
      </c>
      <c r="N120" s="1064">
        <f t="shared" si="35"/>
        <v>4.4999999999999998E-2</v>
      </c>
      <c r="O120" s="1064">
        <f t="shared" si="35"/>
        <v>4.4999999999999998E-2</v>
      </c>
      <c r="P120" s="1064">
        <f t="shared" si="35"/>
        <v>4.4999999999999998E-2</v>
      </c>
      <c r="Q120" s="1064">
        <f t="shared" si="35"/>
        <v>4.4999999999999998E-2</v>
      </c>
      <c r="R120" s="1064">
        <f t="shared" si="35"/>
        <v>4.4999999999999998E-2</v>
      </c>
      <c r="S120" s="1064">
        <f t="shared" si="35"/>
        <v>4.4999999999999998E-2</v>
      </c>
      <c r="T120" s="1064">
        <f t="shared" si="35"/>
        <v>4.4999999999999998E-2</v>
      </c>
      <c r="U120" s="1064">
        <f t="shared" si="35"/>
        <v>4.4999999999999998E-2</v>
      </c>
    </row>
    <row r="121" spans="1:25">
      <c r="A121" s="598" t="s">
        <v>262</v>
      </c>
      <c r="B121" s="316">
        <f>B118*B120</f>
        <v>-218.43597722575967</v>
      </c>
      <c r="C121" s="316">
        <f t="shared" ref="C121:U121" si="36">C118*C120</f>
        <v>-634.4286815671594</v>
      </c>
      <c r="D121" s="316">
        <f t="shared" si="36"/>
        <v>-543.32816454461317</v>
      </c>
      <c r="E121" s="316">
        <f t="shared" si="36"/>
        <v>233.05677045181955</v>
      </c>
      <c r="F121" s="316">
        <f t="shared" si="36"/>
        <v>406.34639246895176</v>
      </c>
      <c r="G121" s="316">
        <f t="shared" si="36"/>
        <v>518.06004358529572</v>
      </c>
      <c r="H121" s="316">
        <f t="shared" si="36"/>
        <v>596.62605157219161</v>
      </c>
      <c r="I121" s="316">
        <f t="shared" si="36"/>
        <v>648.28894741616875</v>
      </c>
      <c r="J121" s="316">
        <f t="shared" si="36"/>
        <v>713.09888472640455</v>
      </c>
      <c r="K121" s="316">
        <f t="shared" si="36"/>
        <v>783.6358101807424</v>
      </c>
      <c r="L121" s="316">
        <f t="shared" si="36"/>
        <v>833.21194962476318</v>
      </c>
      <c r="M121" s="316">
        <f t="shared" si="36"/>
        <v>891.454713454895</v>
      </c>
      <c r="N121" s="316">
        <f t="shared" si="36"/>
        <v>953.65286731035599</v>
      </c>
      <c r="O121" s="316">
        <f t="shared" si="36"/>
        <v>1013.128616390845</v>
      </c>
      <c r="P121" s="316">
        <f t="shared" si="36"/>
        <v>1075.0821161182782</v>
      </c>
      <c r="Q121" s="316">
        <f t="shared" si="36"/>
        <v>1414.722979090056</v>
      </c>
      <c r="R121" s="316">
        <f t="shared" si="36"/>
        <v>1757.2301884208491</v>
      </c>
      <c r="S121" s="316">
        <f t="shared" si="36"/>
        <v>1825.3511943706235</v>
      </c>
      <c r="T121" s="316">
        <f t="shared" si="36"/>
        <v>1887.5753720841865</v>
      </c>
      <c r="U121" s="316">
        <f t="shared" si="36"/>
        <v>1949.9587276546547</v>
      </c>
      <c r="W121" s="1054">
        <f>SUM(B121:U121)</f>
        <v>16104.288801583551</v>
      </c>
      <c r="X121" s="1054">
        <f>X118*U120</f>
        <v>16104.288801583549</v>
      </c>
      <c r="Y121" s="1249">
        <f>W121-X121</f>
        <v>0</v>
      </c>
    </row>
    <row r="122" spans="1:25">
      <c r="A122" s="598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25">
      <c r="A123" s="598" t="s">
        <v>258</v>
      </c>
      <c r="B123" s="316">
        <v>0</v>
      </c>
      <c r="C123" s="316">
        <f t="shared" ref="C123:M123" si="37">B127</f>
        <v>218.43597722575967</v>
      </c>
      <c r="D123" s="316">
        <f t="shared" si="37"/>
        <v>852.86465879291904</v>
      </c>
      <c r="E123" s="316">
        <f t="shared" si="37"/>
        <v>1396.1928233375322</v>
      </c>
      <c r="F123" s="316">
        <f t="shared" si="37"/>
        <v>1163.1360528857126</v>
      </c>
      <c r="G123" s="316">
        <f t="shared" si="37"/>
        <v>756.78966041676085</v>
      </c>
      <c r="H123" s="316">
        <f t="shared" si="37"/>
        <v>238.72961683146514</v>
      </c>
      <c r="I123" s="316">
        <f t="shared" si="37"/>
        <v>0</v>
      </c>
      <c r="J123" s="316">
        <f t="shared" si="37"/>
        <v>0</v>
      </c>
      <c r="K123" s="316">
        <f t="shared" si="37"/>
        <v>0</v>
      </c>
      <c r="L123" s="316">
        <f t="shared" si="37"/>
        <v>0</v>
      </c>
      <c r="M123" s="316">
        <f t="shared" si="37"/>
        <v>0</v>
      </c>
      <c r="N123" s="316">
        <f>M127</f>
        <v>0</v>
      </c>
      <c r="O123" s="316">
        <f>N127</f>
        <v>0</v>
      </c>
      <c r="P123" s="316">
        <f>O127</f>
        <v>0</v>
      </c>
      <c r="Q123" s="316">
        <f>P127</f>
        <v>0</v>
      </c>
      <c r="R123" s="316">
        <v>0</v>
      </c>
      <c r="S123" s="316">
        <f>R127</f>
        <v>0</v>
      </c>
      <c r="T123" s="316">
        <f>S127</f>
        <v>0</v>
      </c>
      <c r="U123" s="316">
        <f>T127</f>
        <v>0</v>
      </c>
    </row>
    <row r="124" spans="1:25">
      <c r="A124" s="598" t="s">
        <v>259</v>
      </c>
      <c r="B124" s="319">
        <f t="shared" ref="B124:U124" si="38">IF(B87&gt;2020,0,IF(B121&lt;0,-B121,0))</f>
        <v>218.43597722575967</v>
      </c>
      <c r="C124" s="319">
        <f t="shared" si="38"/>
        <v>634.4286815671594</v>
      </c>
      <c r="D124" s="319">
        <f t="shared" si="38"/>
        <v>543.32816454461317</v>
      </c>
      <c r="E124" s="319">
        <f t="shared" si="38"/>
        <v>0</v>
      </c>
      <c r="F124" s="319">
        <f t="shared" si="38"/>
        <v>0</v>
      </c>
      <c r="G124" s="319">
        <f t="shared" si="38"/>
        <v>0</v>
      </c>
      <c r="H124" s="319">
        <f t="shared" si="38"/>
        <v>0</v>
      </c>
      <c r="I124" s="319">
        <f t="shared" si="38"/>
        <v>0</v>
      </c>
      <c r="J124" s="319">
        <f t="shared" si="38"/>
        <v>0</v>
      </c>
      <c r="K124" s="319">
        <f t="shared" si="38"/>
        <v>0</v>
      </c>
      <c r="L124" s="319">
        <f t="shared" si="38"/>
        <v>0</v>
      </c>
      <c r="M124" s="319">
        <f t="shared" si="38"/>
        <v>0</v>
      </c>
      <c r="N124" s="319">
        <f t="shared" si="38"/>
        <v>0</v>
      </c>
      <c r="O124" s="319">
        <f t="shared" si="38"/>
        <v>0</v>
      </c>
      <c r="P124" s="319">
        <f t="shared" si="38"/>
        <v>0</v>
      </c>
      <c r="Q124" s="319">
        <f t="shared" si="38"/>
        <v>0</v>
      </c>
      <c r="R124" s="319">
        <f t="shared" si="38"/>
        <v>0</v>
      </c>
      <c r="S124" s="319">
        <f t="shared" si="38"/>
        <v>0</v>
      </c>
      <c r="T124" s="319">
        <f t="shared" si="38"/>
        <v>0</v>
      </c>
      <c r="U124" s="319">
        <f t="shared" si="38"/>
        <v>0</v>
      </c>
    </row>
    <row r="125" spans="1:25">
      <c r="A125" s="598" t="s">
        <v>260</v>
      </c>
      <c r="B125" s="329">
        <v>0</v>
      </c>
      <c r="C125" s="329">
        <v>0</v>
      </c>
      <c r="D125" s="329">
        <v>0</v>
      </c>
      <c r="E125" s="329">
        <v>0</v>
      </c>
      <c r="F125" s="329">
        <v>0</v>
      </c>
      <c r="G125" s="329">
        <v>0</v>
      </c>
      <c r="H125" s="329">
        <v>0</v>
      </c>
      <c r="I125" s="329">
        <v>0</v>
      </c>
      <c r="J125" s="329">
        <v>0</v>
      </c>
      <c r="K125" s="329">
        <v>0</v>
      </c>
      <c r="L125" s="329">
        <v>0</v>
      </c>
      <c r="M125" s="329">
        <v>0</v>
      </c>
      <c r="N125" s="329">
        <v>0</v>
      </c>
      <c r="O125" s="329">
        <v>0</v>
      </c>
      <c r="P125" s="329">
        <v>0</v>
      </c>
      <c r="Q125" s="329">
        <v>0</v>
      </c>
      <c r="R125" s="329">
        <v>0</v>
      </c>
      <c r="S125" s="329">
        <v>0</v>
      </c>
      <c r="T125" s="316">
        <f>IF(L124&gt;(SUM(M126:S126)+SUM(L125:S125))*-1,L124-(SUM(L126:S126)+SUM(L125:S125))*-1,0)</f>
        <v>0</v>
      </c>
      <c r="U125" s="316">
        <f>IF(M124&gt;(SUM(N126:T126)+SUM(M125:T125))*-1,M124-(SUM(M126:T126)+SUM(M125:T125))*-1,0)</f>
        <v>0</v>
      </c>
    </row>
    <row r="126" spans="1:25">
      <c r="A126" s="313" t="s">
        <v>225</v>
      </c>
      <c r="B126" s="330">
        <f t="shared" ref="B126:T126" si="39">IF(B121&lt;0,0,IF(B123&gt;B121,-B121,-B123))</f>
        <v>0</v>
      </c>
      <c r="C126" s="330">
        <f t="shared" si="39"/>
        <v>0</v>
      </c>
      <c r="D126" s="330">
        <f t="shared" si="39"/>
        <v>0</v>
      </c>
      <c r="E126" s="330">
        <f t="shared" si="39"/>
        <v>-233.05677045181955</v>
      </c>
      <c r="F126" s="330">
        <f t="shared" si="39"/>
        <v>-406.34639246895176</v>
      </c>
      <c r="G126" s="330">
        <f t="shared" si="39"/>
        <v>-518.06004358529572</v>
      </c>
      <c r="H126" s="330">
        <f t="shared" si="39"/>
        <v>-238.72961683146514</v>
      </c>
      <c r="I126" s="330">
        <f t="shared" si="39"/>
        <v>0</v>
      </c>
      <c r="J126" s="330">
        <f t="shared" si="39"/>
        <v>0</v>
      </c>
      <c r="K126" s="330">
        <f t="shared" si="39"/>
        <v>0</v>
      </c>
      <c r="L126" s="330">
        <f t="shared" si="39"/>
        <v>0</v>
      </c>
      <c r="M126" s="330">
        <f t="shared" si="39"/>
        <v>0</v>
      </c>
      <c r="N126" s="330">
        <f t="shared" si="39"/>
        <v>0</v>
      </c>
      <c r="O126" s="330">
        <f t="shared" si="39"/>
        <v>0</v>
      </c>
      <c r="P126" s="330">
        <f t="shared" si="39"/>
        <v>0</v>
      </c>
      <c r="Q126" s="330">
        <f t="shared" si="39"/>
        <v>0</v>
      </c>
      <c r="R126" s="330">
        <f t="shared" si="39"/>
        <v>0</v>
      </c>
      <c r="S126" s="330">
        <f t="shared" si="39"/>
        <v>0</v>
      </c>
      <c r="T126" s="330">
        <f t="shared" si="39"/>
        <v>0</v>
      </c>
      <c r="U126" s="330">
        <f>IF(U121&lt;0,0,IF(U123&gt;U121,-U121,-U123))</f>
        <v>0</v>
      </c>
    </row>
    <row r="127" spans="1:25">
      <c r="A127" s="313" t="s">
        <v>261</v>
      </c>
      <c r="B127" s="330">
        <f t="shared" ref="B127:U127" si="40">SUM(B123:B126)</f>
        <v>218.43597722575967</v>
      </c>
      <c r="C127" s="330">
        <f t="shared" si="40"/>
        <v>852.86465879291904</v>
      </c>
      <c r="D127" s="330">
        <f t="shared" si="40"/>
        <v>1396.1928233375322</v>
      </c>
      <c r="E127" s="330">
        <f t="shared" si="40"/>
        <v>1163.1360528857126</v>
      </c>
      <c r="F127" s="330">
        <f t="shared" si="40"/>
        <v>756.78966041676085</v>
      </c>
      <c r="G127" s="330">
        <f t="shared" si="40"/>
        <v>238.72961683146514</v>
      </c>
      <c r="H127" s="330">
        <f t="shared" si="40"/>
        <v>0</v>
      </c>
      <c r="I127" s="330">
        <f t="shared" si="40"/>
        <v>0</v>
      </c>
      <c r="J127" s="330">
        <f t="shared" si="40"/>
        <v>0</v>
      </c>
      <c r="K127" s="330">
        <f t="shared" si="40"/>
        <v>0</v>
      </c>
      <c r="L127" s="330">
        <f t="shared" si="40"/>
        <v>0</v>
      </c>
      <c r="M127" s="330">
        <f t="shared" si="40"/>
        <v>0</v>
      </c>
      <c r="N127" s="330">
        <f t="shared" si="40"/>
        <v>0</v>
      </c>
      <c r="O127" s="330">
        <f t="shared" si="40"/>
        <v>0</v>
      </c>
      <c r="P127" s="330">
        <f t="shared" si="40"/>
        <v>0</v>
      </c>
      <c r="Q127" s="330">
        <f t="shared" si="40"/>
        <v>0</v>
      </c>
      <c r="R127" s="330">
        <f t="shared" si="40"/>
        <v>0</v>
      </c>
      <c r="S127" s="330">
        <f t="shared" si="40"/>
        <v>0</v>
      </c>
      <c r="T127" s="330">
        <f t="shared" si="40"/>
        <v>0</v>
      </c>
      <c r="U127" s="330">
        <f t="shared" si="40"/>
        <v>0</v>
      </c>
    </row>
    <row r="128" spans="1:25">
      <c r="A128" s="313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</row>
    <row r="129" spans="1:55" ht="13.5" thickBot="1">
      <c r="A129" s="314" t="s">
        <v>221</v>
      </c>
      <c r="B129" s="635">
        <f>IF('NewCo_Summary Output'!$P$8=1,IF(B121&lt;0,0,B121+B126),B121)</f>
        <v>0</v>
      </c>
      <c r="C129" s="635">
        <f>IF('NewCo_Summary Output'!$P$8=1,IF(C121&lt;0,0,C121+C126),C121)</f>
        <v>0</v>
      </c>
      <c r="D129" s="635">
        <f>IF('NewCo_Summary Output'!$P$8=1,IF(D121&lt;0,0,D121+D126),D121)</f>
        <v>0</v>
      </c>
      <c r="E129" s="635">
        <f>IF('NewCo_Summary Output'!$P$8=1,IF(E121&lt;0,0,E121+E126),E121)</f>
        <v>0</v>
      </c>
      <c r="F129" s="635">
        <f>IF('NewCo_Summary Output'!$P$8=1,IF(F121&lt;0,0,F121+F126),F121)</f>
        <v>0</v>
      </c>
      <c r="G129" s="635">
        <f>IF('NewCo_Summary Output'!$P$8=1,IF(G121&lt;0,0,G121+G126),G121)</f>
        <v>0</v>
      </c>
      <c r="H129" s="635">
        <f>IF('NewCo_Summary Output'!$P$8=1,IF(H121&lt;0,0,H121+H126),H121)</f>
        <v>357.89643474072648</v>
      </c>
      <c r="I129" s="635">
        <f>IF('NewCo_Summary Output'!$P$8=1,IF(I121&lt;0,0,I121+I126),I121)</f>
        <v>648.28894741616875</v>
      </c>
      <c r="J129" s="635">
        <f>IF('NewCo_Summary Output'!$P$8=1,IF(J121&lt;0,0,J121+J126),J121)</f>
        <v>713.09888472640455</v>
      </c>
      <c r="K129" s="635">
        <f>IF('NewCo_Summary Output'!$P$8=1,IF(K121&lt;0,0,K121+K126),K121)</f>
        <v>783.6358101807424</v>
      </c>
      <c r="L129" s="635">
        <f>IF('NewCo_Summary Output'!$P$8=1,IF(L121&lt;0,0,L121+L126),L121)</f>
        <v>833.21194962476318</v>
      </c>
      <c r="M129" s="635">
        <f>IF('NewCo_Summary Output'!$P$8=1,IF(M121&lt;0,0,M121+M126),M121)</f>
        <v>891.454713454895</v>
      </c>
      <c r="N129" s="635">
        <f>IF('NewCo_Summary Output'!$P$8=1,IF(N121&lt;0,0,N121+N126),N121)</f>
        <v>953.65286731035599</v>
      </c>
      <c r="O129" s="635">
        <f>IF('NewCo_Summary Output'!$P$8=1,IF(O121&lt;0,0,O121+O126),O121)</f>
        <v>1013.128616390845</v>
      </c>
      <c r="P129" s="635">
        <f>IF('NewCo_Summary Output'!$P$8=1,IF(P121&lt;0,0,P121+P126),P121)</f>
        <v>1075.0821161182782</v>
      </c>
      <c r="Q129" s="635">
        <f>IF('NewCo_Summary Output'!$P$8=1,IF(Q121&lt;0,0,Q121+Q126),Q121)</f>
        <v>1414.722979090056</v>
      </c>
      <c r="R129" s="635">
        <f>IF('NewCo_Summary Output'!$P$8=1,IF(R121&lt;0,0,R121+R126),R121)</f>
        <v>1757.2301884208491</v>
      </c>
      <c r="S129" s="635">
        <f>IF('NewCo_Summary Output'!$P$8=1,IF(S121&lt;0,0,S121+S126),S121)</f>
        <v>1825.3511943706235</v>
      </c>
      <c r="T129" s="635">
        <f>IF('NewCo_Summary Output'!$P$8=1,IF(T121&lt;0,0,T121+T126),T121)</f>
        <v>1887.5753720841865</v>
      </c>
      <c r="U129" s="635">
        <f>IF('NewCo_Summary Output'!$P$8=1,IF(U121&lt;0,0,U121+U126),U121)</f>
        <v>1949.9587276546547</v>
      </c>
      <c r="W129" s="1054">
        <f>SUM(B129:U129)</f>
        <v>16104.288801583551</v>
      </c>
      <c r="X129" s="1054">
        <f>W121</f>
        <v>16104.288801583551</v>
      </c>
      <c r="Y129" s="1249">
        <f>W129-X129</f>
        <v>0</v>
      </c>
    </row>
    <row r="130" spans="1:55">
      <c r="A130" s="314"/>
      <c r="B130" s="1314"/>
      <c r="C130" s="1314"/>
      <c r="D130" s="1314"/>
      <c r="E130" s="1314"/>
      <c r="F130" s="1314"/>
      <c r="G130" s="1314"/>
      <c r="H130" s="1314"/>
      <c r="I130" s="1314"/>
      <c r="J130" s="1314"/>
      <c r="K130" s="1314"/>
      <c r="L130" s="1314"/>
      <c r="M130" s="1314"/>
      <c r="N130" s="1314"/>
      <c r="O130" s="1314"/>
      <c r="P130" s="1314"/>
      <c r="Q130" s="1314"/>
      <c r="R130" s="1314"/>
      <c r="S130" s="1314"/>
      <c r="T130" s="1314"/>
      <c r="U130" s="1314"/>
      <c r="W130" s="1054"/>
      <c r="X130" s="1054"/>
      <c r="Y130" s="1249"/>
    </row>
    <row r="131" spans="1:55" ht="13.5" thickBot="1">
      <c r="A131" s="314" t="s">
        <v>547</v>
      </c>
      <c r="B131" s="1097">
        <f>B129+B85</f>
        <v>296.48996776542862</v>
      </c>
      <c r="C131" s="1097">
        <f t="shared" ref="C131:U131" si="41">C129+C85</f>
        <v>297.14384874839146</v>
      </c>
      <c r="D131" s="1097">
        <f t="shared" si="41"/>
        <v>297.82074675234321</v>
      </c>
      <c r="E131" s="1097">
        <f t="shared" si="41"/>
        <v>540.19017382831646</v>
      </c>
      <c r="F131" s="1097">
        <f t="shared" si="41"/>
        <v>619.454528435866</v>
      </c>
      <c r="G131" s="1097">
        <f t="shared" si="41"/>
        <v>657.13121111580426</v>
      </c>
      <c r="H131" s="1097">
        <f t="shared" si="41"/>
        <v>1053.4988958178628</v>
      </c>
      <c r="I131" s="1097">
        <f t="shared" si="41"/>
        <v>1385.7870246941247</v>
      </c>
      <c r="J131" s="1097">
        <f t="shared" si="41"/>
        <v>1501.0974216421155</v>
      </c>
      <c r="K131" s="1097">
        <f t="shared" si="41"/>
        <v>1627.9221726154294</v>
      </c>
      <c r="L131" s="1097">
        <f t="shared" si="41"/>
        <v>1716.6245774192143</v>
      </c>
      <c r="M131" s="1097">
        <f t="shared" si="41"/>
        <v>1822.006104574255</v>
      </c>
      <c r="N131" s="1097">
        <f t="shared" si="41"/>
        <v>1933.0112126200056</v>
      </c>
      <c r="O131" s="1097">
        <f t="shared" si="41"/>
        <v>2040.7056912724779</v>
      </c>
      <c r="P131" s="1097">
        <f t="shared" si="41"/>
        <v>2151.4341241175662</v>
      </c>
      <c r="Q131" s="1097">
        <f t="shared" si="41"/>
        <v>2544.9055221754625</v>
      </c>
      <c r="R131" s="1097">
        <f t="shared" si="41"/>
        <v>2943.4912165480027</v>
      </c>
      <c r="S131" s="1097">
        <f t="shared" si="41"/>
        <v>3065.9906283851833</v>
      </c>
      <c r="T131" s="1097">
        <f t="shared" si="41"/>
        <v>3178.2251066938861</v>
      </c>
      <c r="U131" s="1097">
        <f t="shared" si="41"/>
        <v>3290.8289248966139</v>
      </c>
      <c r="W131" s="1054">
        <f>SUM(B131:U131)</f>
        <v>32963.759100118346</v>
      </c>
      <c r="X131" s="1054">
        <f>W121+SUM(B85:U85)</f>
        <v>32963.759100118354</v>
      </c>
      <c r="Y131" s="1249">
        <f>W131-X131</f>
        <v>0</v>
      </c>
    </row>
    <row r="132" spans="1:55" ht="13.5" outlineLevel="1" thickTop="1">
      <c r="A132" s="43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31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ht="15.75">
      <c r="A134" s="1189" t="s">
        <v>642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>
      <c r="A135" s="4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s="21" customFormat="1">
      <c r="A136" s="1" t="s">
        <v>643</v>
      </c>
      <c r="B136" s="93">
        <f>B39</f>
        <v>9760.0935444353618</v>
      </c>
      <c r="C136" s="93">
        <f t="shared" ref="C136:U136" si="42">C39</f>
        <v>9790.2832165713316</v>
      </c>
      <c r="D136" s="93">
        <f t="shared" si="42"/>
        <v>9922.9724996579243</v>
      </c>
      <c r="E136" s="93">
        <f t="shared" si="42"/>
        <v>15887.946289068132</v>
      </c>
      <c r="F136" s="93">
        <f t="shared" si="42"/>
        <v>18219.250836348998</v>
      </c>
      <c r="G136" s="93">
        <f t="shared" si="42"/>
        <v>19327.388562229535</v>
      </c>
      <c r="H136" s="93">
        <f t="shared" si="42"/>
        <v>20458.895914033419</v>
      </c>
      <c r="I136" s="93">
        <f t="shared" si="42"/>
        <v>21691.119919939876</v>
      </c>
      <c r="J136" s="93">
        <f t="shared" si="42"/>
        <v>23176.427556344439</v>
      </c>
      <c r="K136" s="93">
        <f t="shared" si="42"/>
        <v>24831.951836314322</v>
      </c>
      <c r="L136" s="93">
        <f t="shared" si="42"/>
        <v>25982.724346895622</v>
      </c>
      <c r="M136" s="93">
        <f t="shared" si="42"/>
        <v>27369.158562334116</v>
      </c>
      <c r="N136" s="93">
        <f t="shared" si="42"/>
        <v>28804.657214989693</v>
      </c>
      <c r="O136" s="93">
        <f t="shared" si="42"/>
        <v>30222.855143577435</v>
      </c>
      <c r="P136" s="93">
        <f t="shared" si="42"/>
        <v>31657.411999979064</v>
      </c>
      <c r="Q136" s="93">
        <f t="shared" si="42"/>
        <v>33240.663031923716</v>
      </c>
      <c r="R136" s="93">
        <f t="shared" si="42"/>
        <v>34890.030239033935</v>
      </c>
      <c r="S136" s="93">
        <f t="shared" si="42"/>
        <v>36489.395118075285</v>
      </c>
      <c r="T136" s="93">
        <f t="shared" si="42"/>
        <v>37960.28631204999</v>
      </c>
      <c r="U136" s="93">
        <f t="shared" si="42"/>
        <v>39437.358742410572</v>
      </c>
      <c r="W136" s="1054">
        <f>SUM(B136:U136)</f>
        <v>499120.87088621274</v>
      </c>
      <c r="X136" s="1054">
        <f>W39</f>
        <v>499120.87088621274</v>
      </c>
      <c r="Y136" s="1249">
        <f>W136-X136</f>
        <v>0</v>
      </c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 s="21" customFormat="1">
      <c r="A137" s="1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W137" s="55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s="21" customFormat="1">
      <c r="A138" s="4" t="s">
        <v>788</v>
      </c>
      <c r="B138" s="90">
        <f>B116</f>
        <v>1777.3707127847654</v>
      </c>
      <c r="C138" s="90">
        <f t="shared" ref="C138:U138" si="43">C116</f>
        <v>1830.6918341683083</v>
      </c>
      <c r="D138" s="90">
        <f t="shared" si="43"/>
        <v>1885.612589193358</v>
      </c>
      <c r="E138" s="90">
        <f t="shared" si="43"/>
        <v>1942.1809668691585</v>
      </c>
      <c r="F138" s="90">
        <f t="shared" si="43"/>
        <v>2000.4463958752333</v>
      </c>
      <c r="G138" s="90">
        <f t="shared" si="43"/>
        <v>2060.4597877514907</v>
      </c>
      <c r="H138" s="90">
        <f t="shared" si="43"/>
        <v>2122.2735813840354</v>
      </c>
      <c r="I138" s="90">
        <f t="shared" si="43"/>
        <v>2185.9417888255566</v>
      </c>
      <c r="J138" s="90">
        <f t="shared" si="43"/>
        <v>2251.5200424903232</v>
      </c>
      <c r="K138" s="90">
        <f t="shared" si="43"/>
        <v>2319.0656437650332</v>
      </c>
      <c r="L138" s="90">
        <f t="shared" si="43"/>
        <v>2388.637613077984</v>
      </c>
      <c r="M138" s="90">
        <f t="shared" si="43"/>
        <v>2460.2967414703239</v>
      </c>
      <c r="N138" s="90">
        <f t="shared" si="43"/>
        <v>2534.1056437144339</v>
      </c>
      <c r="O138" s="90">
        <f t="shared" si="43"/>
        <v>2610.1288130258667</v>
      </c>
      <c r="P138" s="90">
        <f t="shared" si="43"/>
        <v>2688.4326774166429</v>
      </c>
      <c r="Q138" s="90">
        <f t="shared" si="43"/>
        <v>2769.0856577391423</v>
      </c>
      <c r="R138" s="90">
        <f t="shared" si="43"/>
        <v>2852.1582274713169</v>
      </c>
      <c r="S138" s="90">
        <f t="shared" si="43"/>
        <v>2937.7229742954564</v>
      </c>
      <c r="T138" s="90">
        <f t="shared" si="43"/>
        <v>3025.8546635243201</v>
      </c>
      <c r="U138" s="90">
        <f t="shared" si="43"/>
        <v>3116.6303034300499</v>
      </c>
      <c r="W138" s="1054">
        <f>SUM(B138:U138)</f>
        <v>47758.616658272789</v>
      </c>
      <c r="X138" s="1054">
        <f>NewCo_IS!X13*'NewCo_Summary Output'!C11*ENA_Allocation!E13</f>
        <v>47758.616658272804</v>
      </c>
      <c r="Y138" s="1249">
        <f>W138-X138</f>
        <v>0</v>
      </c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  <c r="AN138" s="271"/>
      <c r="AO138" s="271"/>
      <c r="AP138" s="271"/>
      <c r="AQ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1"/>
    </row>
    <row r="139" spans="1:55" s="21" customFormat="1">
      <c r="A139" s="1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W139" s="55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  <c r="AN139" s="271"/>
      <c r="AO139" s="271"/>
      <c r="AP139" s="271"/>
      <c r="AQ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1"/>
    </row>
    <row r="140" spans="1:55" s="21" customFormat="1">
      <c r="A140" s="1" t="s">
        <v>27</v>
      </c>
      <c r="B140" s="93">
        <f>B136-B138</f>
        <v>7982.7228316505962</v>
      </c>
      <c r="C140" s="93">
        <f t="shared" ref="C140:U140" si="44">C136-C138</f>
        <v>7959.5913824030231</v>
      </c>
      <c r="D140" s="93">
        <f t="shared" si="44"/>
        <v>8037.3599104645664</v>
      </c>
      <c r="E140" s="93">
        <f t="shared" si="44"/>
        <v>13945.765322198973</v>
      </c>
      <c r="F140" s="93">
        <f t="shared" si="44"/>
        <v>16218.804440473765</v>
      </c>
      <c r="G140" s="93">
        <f t="shared" si="44"/>
        <v>17266.928774478045</v>
      </c>
      <c r="H140" s="93">
        <f t="shared" si="44"/>
        <v>18336.622332649385</v>
      </c>
      <c r="I140" s="93">
        <f t="shared" si="44"/>
        <v>19505.17813111432</v>
      </c>
      <c r="J140" s="93">
        <f t="shared" si="44"/>
        <v>20924.907513854116</v>
      </c>
      <c r="K140" s="93">
        <f t="shared" si="44"/>
        <v>22512.886192549289</v>
      </c>
      <c r="L140" s="93">
        <f t="shared" si="44"/>
        <v>23594.086733817639</v>
      </c>
      <c r="M140" s="93">
        <f t="shared" si="44"/>
        <v>24908.861820863793</v>
      </c>
      <c r="N140" s="93">
        <f t="shared" si="44"/>
        <v>26270.55157127526</v>
      </c>
      <c r="O140" s="93">
        <f t="shared" si="44"/>
        <v>27612.72633055157</v>
      </c>
      <c r="P140" s="93">
        <f t="shared" si="44"/>
        <v>28968.97932256242</v>
      </c>
      <c r="Q140" s="93">
        <f t="shared" si="44"/>
        <v>30471.577374184573</v>
      </c>
      <c r="R140" s="93">
        <f t="shared" si="44"/>
        <v>32037.872011562617</v>
      </c>
      <c r="S140" s="93">
        <f t="shared" si="44"/>
        <v>33551.672143779826</v>
      </c>
      <c r="T140" s="93">
        <f t="shared" si="44"/>
        <v>34934.431648525671</v>
      </c>
      <c r="U140" s="93">
        <f t="shared" si="44"/>
        <v>36320.728438980521</v>
      </c>
      <c r="W140" s="1054">
        <f>SUM(B140:U140)</f>
        <v>451362.25422793999</v>
      </c>
      <c r="X140" s="1054">
        <f>X136-X138</f>
        <v>451362.25422793993</v>
      </c>
      <c r="Y140" s="1249">
        <f>W140-X140</f>
        <v>0</v>
      </c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1"/>
    </row>
    <row r="141" spans="1:55" s="21" customFormat="1">
      <c r="A141" s="1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W141" s="55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  <c r="AN141" s="271"/>
      <c r="AO141" s="271"/>
      <c r="AP141" s="271"/>
      <c r="AQ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1"/>
    </row>
    <row r="142" spans="1:55">
      <c r="A142" s="4" t="s">
        <v>28</v>
      </c>
      <c r="B142" s="90">
        <f>-B120*B140</f>
        <v>-359.22252742427679</v>
      </c>
      <c r="C142" s="90">
        <f t="shared" ref="C142:U142" si="45">-C120*C140</f>
        <v>-358.18161220813602</v>
      </c>
      <c r="D142" s="90">
        <f t="shared" si="45"/>
        <v>-361.68119597090549</v>
      </c>
      <c r="E142" s="90">
        <f t="shared" si="45"/>
        <v>-627.55943949895379</v>
      </c>
      <c r="F142" s="90">
        <f t="shared" si="45"/>
        <v>-729.84619982131937</v>
      </c>
      <c r="G142" s="90">
        <f t="shared" si="45"/>
        <v>-777.01179485151204</v>
      </c>
      <c r="H142" s="90">
        <f t="shared" si="45"/>
        <v>-825.14800496922237</v>
      </c>
      <c r="I142" s="90">
        <f t="shared" si="45"/>
        <v>-877.73301590014444</v>
      </c>
      <c r="J142" s="90">
        <f t="shared" si="45"/>
        <v>-941.62083812343519</v>
      </c>
      <c r="K142" s="90">
        <f t="shared" si="45"/>
        <v>-1013.079878664718</v>
      </c>
      <c r="L142" s="90">
        <f t="shared" si="45"/>
        <v>-1061.7339030217938</v>
      </c>
      <c r="M142" s="90">
        <f t="shared" si="45"/>
        <v>-1120.8987819388706</v>
      </c>
      <c r="N142" s="90">
        <f t="shared" si="45"/>
        <v>-1182.1748207073867</v>
      </c>
      <c r="O142" s="90">
        <f t="shared" si="45"/>
        <v>-1242.5726848748207</v>
      </c>
      <c r="P142" s="90">
        <f t="shared" si="45"/>
        <v>-1303.6040695153088</v>
      </c>
      <c r="Q142" s="90">
        <f t="shared" si="45"/>
        <v>-1371.2209818383058</v>
      </c>
      <c r="R142" s="90">
        <f t="shared" si="45"/>
        <v>-1441.7042405203176</v>
      </c>
      <c r="S142" s="90">
        <f t="shared" si="45"/>
        <v>-1509.8252464700922</v>
      </c>
      <c r="T142" s="90">
        <f t="shared" si="45"/>
        <v>-1572.0494241836552</v>
      </c>
      <c r="U142" s="90">
        <f t="shared" si="45"/>
        <v>-1634.4327797541234</v>
      </c>
      <c r="W142" s="1054">
        <f>SUM(B142:U142)</f>
        <v>-20311.301440257299</v>
      </c>
      <c r="X142" s="1054">
        <f>-X140*U120</f>
        <v>-20311.301440257295</v>
      </c>
      <c r="Y142" s="1249">
        <f>W142-X142</f>
        <v>0</v>
      </c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  <c r="AN142" s="271"/>
      <c r="AO142" s="271"/>
      <c r="AP142" s="271"/>
      <c r="AQ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1"/>
    </row>
    <row r="143" spans="1:55" outlineLevel="1">
      <c r="A143" s="42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3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3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3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1066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5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5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3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2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4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4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4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4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8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</row>
    <row r="166" spans="1:21" outlineLevel="1">
      <c r="A166" s="8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</row>
    <row r="167" spans="1:21" outlineLevel="1">
      <c r="A167" s="8"/>
      <c r="B167" s="8"/>
      <c r="C167" s="8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</row>
    <row r="168" spans="1:21" ht="18.75" outlineLevel="1">
      <c r="A168" s="106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21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21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3"/>
      <c r="B172" s="11"/>
      <c r="C172" s="11"/>
      <c r="D172" s="11"/>
      <c r="E172" s="11"/>
      <c r="F172" s="11"/>
      <c r="G172" s="11"/>
      <c r="H172" s="11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21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21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48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48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48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4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4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48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4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48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21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21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21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21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21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21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8"/>
      <c r="C216" s="24"/>
      <c r="D216" s="24"/>
      <c r="E216" s="24"/>
      <c r="F216" s="24"/>
      <c r="G216" s="24"/>
      <c r="H216" s="24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8"/>
      <c r="C217" s="24"/>
      <c r="D217" s="24"/>
      <c r="E217" s="24"/>
      <c r="F217" s="24"/>
      <c r="G217" s="24"/>
      <c r="H217" s="24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24"/>
      <c r="D218" s="24"/>
      <c r="E218" s="24"/>
      <c r="F218" s="24"/>
      <c r="G218" s="24"/>
      <c r="H218" s="24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24"/>
      <c r="D219" s="24"/>
      <c r="E219" s="24"/>
      <c r="F219" s="24"/>
      <c r="G219" s="24"/>
      <c r="H219" s="24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ht="18.75" outlineLevel="1">
      <c r="A221" s="106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s="54" customFormat="1" outlineLevel="1">
      <c r="A225" s="53"/>
    </row>
    <row r="226" spans="1:21" outlineLevel="1">
      <c r="A226" s="2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55"/>
      <c r="D228" s="55"/>
      <c r="E228" s="55"/>
      <c r="F228" s="55"/>
      <c r="G228" s="55"/>
      <c r="H228" s="55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8"/>
      <c r="C229" s="57"/>
      <c r="D229" s="57"/>
      <c r="E229" s="57"/>
      <c r="F229" s="57"/>
      <c r="G229" s="57"/>
      <c r="H229" s="57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21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3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24"/>
      <c r="D232" s="24"/>
      <c r="E232" s="24"/>
      <c r="F232" s="24"/>
      <c r="G232" s="24"/>
      <c r="H232" s="24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24"/>
      <c r="D233" s="24"/>
      <c r="E233" s="24"/>
      <c r="F233" s="24"/>
      <c r="G233" s="24"/>
      <c r="H233" s="24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59"/>
      <c r="B234" s="8"/>
      <c r="C234" s="24"/>
      <c r="D234" s="24"/>
      <c r="E234" s="24"/>
      <c r="F234" s="24"/>
      <c r="G234" s="24"/>
      <c r="H234" s="24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59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59"/>
      <c r="B236" s="8"/>
      <c r="C236" s="55"/>
      <c r="D236" s="55"/>
      <c r="E236" s="55"/>
      <c r="F236" s="55"/>
      <c r="G236" s="55"/>
      <c r="H236" s="5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60"/>
      <c r="D237" s="60"/>
      <c r="E237" s="60"/>
      <c r="F237" s="60"/>
      <c r="G237" s="60"/>
      <c r="H237" s="60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59"/>
      <c r="B238" s="8"/>
      <c r="C238" s="61"/>
      <c r="D238" s="61"/>
      <c r="E238" s="61"/>
      <c r="F238" s="61"/>
      <c r="G238" s="61"/>
      <c r="H238" s="61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59"/>
      <c r="B239" s="8"/>
      <c r="C239" s="61"/>
      <c r="D239" s="61"/>
      <c r="E239" s="61"/>
      <c r="F239" s="61"/>
      <c r="G239" s="61"/>
      <c r="H239" s="61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59"/>
      <c r="B240" s="8"/>
      <c r="C240" s="61"/>
      <c r="D240" s="61"/>
      <c r="E240" s="61"/>
      <c r="F240" s="61"/>
      <c r="G240" s="61"/>
      <c r="H240" s="61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59"/>
      <c r="B241" s="8"/>
      <c r="C241" s="61"/>
      <c r="D241" s="61"/>
      <c r="E241" s="61"/>
      <c r="F241" s="61"/>
      <c r="G241" s="61"/>
      <c r="H241" s="61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60"/>
      <c r="D242" s="60"/>
      <c r="E242" s="60"/>
      <c r="F242" s="60"/>
      <c r="G242" s="60"/>
      <c r="H242" s="60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24"/>
      <c r="D244" s="24"/>
      <c r="E244" s="24"/>
      <c r="F244" s="24"/>
      <c r="G244" s="24"/>
      <c r="H244" s="24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24"/>
      <c r="D245" s="24"/>
      <c r="E245" s="24"/>
      <c r="F245" s="24"/>
      <c r="G245" s="24"/>
      <c r="H245" s="24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24"/>
      <c r="D246" s="24"/>
      <c r="E246" s="24"/>
      <c r="F246" s="24"/>
      <c r="G246" s="24"/>
      <c r="H246" s="24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62"/>
      <c r="C247" s="24"/>
      <c r="D247" s="24"/>
      <c r="E247" s="24"/>
      <c r="F247" s="24"/>
      <c r="G247" s="24"/>
      <c r="H247" s="24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59"/>
      <c r="B251" s="8"/>
      <c r="C251" s="55"/>
      <c r="D251" s="55"/>
      <c r="E251" s="55"/>
      <c r="F251" s="55"/>
      <c r="G251" s="55"/>
      <c r="H251" s="55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9"/>
      <c r="B252" s="8"/>
      <c r="C252" s="55"/>
      <c r="D252" s="55"/>
      <c r="E252" s="55"/>
      <c r="F252" s="55"/>
      <c r="G252" s="55"/>
      <c r="H252" s="55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62"/>
      <c r="C253" s="55"/>
      <c r="D253" s="55"/>
      <c r="E253" s="55"/>
      <c r="F253" s="55"/>
      <c r="G253" s="55"/>
      <c r="H253" s="55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8"/>
      <c r="B254" s="8"/>
      <c r="C254" s="55"/>
      <c r="D254" s="55"/>
      <c r="E254" s="55"/>
      <c r="F254" s="55"/>
      <c r="G254" s="55"/>
      <c r="H254" s="55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55"/>
      <c r="D255" s="55"/>
      <c r="E255" s="55"/>
      <c r="F255" s="55"/>
      <c r="G255" s="55"/>
      <c r="H255" s="55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55"/>
      <c r="D256" s="55"/>
      <c r="E256" s="55"/>
      <c r="F256" s="55"/>
      <c r="G256" s="55"/>
      <c r="H256" s="55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8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8"/>
      <c r="B258" s="8"/>
      <c r="C258" s="55"/>
      <c r="D258" s="55"/>
      <c r="E258" s="55"/>
      <c r="F258" s="55"/>
      <c r="G258" s="55"/>
      <c r="H258" s="55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21"/>
      <c r="B261" s="63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62"/>
      <c r="C262" s="63"/>
      <c r="D262" s="63"/>
      <c r="E262" s="63"/>
      <c r="F262" s="63"/>
      <c r="G262" s="63"/>
      <c r="H262" s="6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21"/>
      <c r="B263" s="63"/>
      <c r="C263" s="63"/>
      <c r="D263" s="63"/>
      <c r="E263" s="63"/>
      <c r="F263" s="63"/>
      <c r="G263" s="63"/>
      <c r="H263" s="6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63"/>
      <c r="D264" s="63"/>
      <c r="E264" s="63"/>
      <c r="F264" s="63"/>
      <c r="G264" s="63"/>
      <c r="H264" s="6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21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49"/>
      <c r="D269" s="49"/>
      <c r="E269" s="49"/>
      <c r="F269" s="49"/>
      <c r="G269" s="49"/>
      <c r="H269" s="49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8"/>
      <c r="B270" s="8"/>
      <c r="C270" s="63"/>
      <c r="D270" s="63"/>
      <c r="E270" s="63"/>
      <c r="F270" s="63"/>
      <c r="G270" s="63"/>
      <c r="H270" s="6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64"/>
      <c r="D271" s="64"/>
      <c r="E271" s="64"/>
      <c r="F271" s="64"/>
      <c r="G271" s="64"/>
      <c r="H271" s="6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8"/>
      <c r="B272" s="8"/>
      <c r="C272" s="49"/>
      <c r="D272" s="49"/>
      <c r="E272" s="49"/>
      <c r="F272" s="49"/>
      <c r="G272" s="49"/>
      <c r="H272" s="49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6" outlineLevel="1">
      <c r="A273" s="8"/>
      <c r="B273" s="8"/>
      <c r="C273" s="64"/>
      <c r="D273" s="64"/>
      <c r="E273" s="64"/>
      <c r="F273" s="64"/>
      <c r="G273" s="64"/>
      <c r="H273" s="64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6" outlineLevel="1">
      <c r="A274" s="8"/>
      <c r="B274" s="8"/>
      <c r="C274" s="65"/>
      <c r="D274" s="65"/>
      <c r="E274" s="65"/>
      <c r="F274" s="65"/>
      <c r="G274" s="65"/>
      <c r="H274" s="6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6" outlineLevel="1">
      <c r="A275" s="8"/>
      <c r="B275" s="8"/>
      <c r="C275" s="65"/>
      <c r="D275" s="65"/>
      <c r="E275" s="65"/>
      <c r="F275" s="65"/>
      <c r="G275" s="65"/>
      <c r="H275" s="6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6" ht="18.75" hidden="1" outlineLevel="2">
      <c r="A276" s="1067"/>
      <c r="B276" s="8"/>
      <c r="C276" s="65"/>
      <c r="D276" s="65"/>
      <c r="E276" s="65"/>
      <c r="F276" s="65"/>
      <c r="G276" s="65"/>
      <c r="H276" s="6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6" hidden="1" outlineLevel="2">
      <c r="A277" s="21"/>
      <c r="B277" s="8"/>
      <c r="C277" s="65"/>
      <c r="D277" s="65"/>
      <c r="E277" s="65"/>
      <c r="F277" s="65"/>
      <c r="G277" s="65"/>
      <c r="H277" s="6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6" hidden="1" outlineLevel="2">
      <c r="A278" s="8"/>
      <c r="B278" s="8"/>
      <c r="C278" s="65"/>
      <c r="D278" s="65"/>
      <c r="E278" s="65"/>
      <c r="F278" s="65"/>
      <c r="G278" s="65"/>
      <c r="H278" s="6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6" hidden="1" outlineLevel="2">
      <c r="A279" s="21"/>
      <c r="B279" s="13"/>
      <c r="C279" s="13"/>
      <c r="D279" s="12"/>
      <c r="E279" s="12"/>
      <c r="F279" s="13"/>
      <c r="G279" s="13"/>
      <c r="H279" s="12"/>
      <c r="I279" s="13"/>
      <c r="J279" s="13"/>
      <c r="K279" s="13"/>
      <c r="L279" s="12"/>
      <c r="M279" s="13"/>
      <c r="N279" s="13"/>
      <c r="O279" s="8"/>
      <c r="P279" s="8"/>
      <c r="Q279" s="8"/>
      <c r="R279" s="8"/>
      <c r="S279" s="8"/>
      <c r="T279" s="13"/>
      <c r="U279" s="8"/>
    </row>
    <row r="280" spans="1:26" hidden="1" outlineLevel="2">
      <c r="A280" s="21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6" hidden="1" outlineLevel="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6" hidden="1" outlineLevel="2">
      <c r="A282" s="8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8"/>
      <c r="P282" s="8"/>
      <c r="Q282" s="8"/>
      <c r="R282" s="8"/>
      <c r="S282" s="8"/>
      <c r="T282" s="49"/>
      <c r="U282" s="8"/>
    </row>
    <row r="283" spans="1:26" hidden="1" outlineLevel="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6" hidden="1" outlineLevel="2">
      <c r="A284" s="8"/>
      <c r="B284" s="63"/>
      <c r="C284" s="63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8"/>
      <c r="P284" s="8"/>
      <c r="Q284" s="8"/>
      <c r="R284" s="8"/>
      <c r="S284" s="8"/>
      <c r="T284" s="49"/>
      <c r="U284" s="8"/>
    </row>
    <row r="285" spans="1:26" hidden="1" outlineLevel="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6" hidden="1" outlineLevel="2">
      <c r="A286" s="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8"/>
      <c r="P286" s="8"/>
      <c r="Q286" s="8"/>
      <c r="R286" s="8"/>
      <c r="S286" s="8"/>
      <c r="T286" s="49"/>
      <c r="U286" s="49"/>
      <c r="V286" s="49"/>
      <c r="W286" s="49"/>
      <c r="X286" s="49"/>
      <c r="Y286" s="49"/>
      <c r="Z286" s="49"/>
    </row>
    <row r="287" spans="1:26" hidden="1" outlineLevel="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6" hidden="1" outlineLevel="2">
      <c r="A288" s="8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8"/>
      <c r="P288" s="8"/>
      <c r="Q288" s="8"/>
      <c r="R288" s="8"/>
      <c r="S288" s="8"/>
      <c r="T288" s="49"/>
      <c r="U288" s="8"/>
    </row>
    <row r="289" spans="1:21" hidden="1" outlineLevel="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hidden="1" outlineLevel="2">
      <c r="A290" s="8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8"/>
      <c r="P290" s="8"/>
      <c r="Q290" s="8"/>
      <c r="R290" s="8"/>
      <c r="S290" s="8"/>
      <c r="T290" s="49"/>
      <c r="U290" s="49"/>
    </row>
    <row r="291" spans="1:21" hidden="1" outlineLevel="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hidden="1" outlineLevel="2">
      <c r="A292" s="8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8"/>
      <c r="P292" s="8"/>
      <c r="Q292" s="8"/>
      <c r="R292" s="8"/>
      <c r="S292" s="8"/>
      <c r="T292" s="49"/>
      <c r="U292" s="49"/>
    </row>
    <row r="293" spans="1:21" hidden="1" outlineLevel="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 collapsed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outlineLevel="1">
      <c r="A297" s="106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3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21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48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4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48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4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4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21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21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21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48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21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3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21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21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1:21" outlineLevel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1:21" ht="18.75" outlineLevel="1">
      <c r="A347" s="106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1:21" outlineLevel="1">
      <c r="A348" s="21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1:21" outlineLevel="1">
      <c r="A349" s="21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1:21" outlineLevel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1:21" outlineLevel="1">
      <c r="A351" s="3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8"/>
      <c r="P351" s="8"/>
      <c r="Q351" s="8"/>
      <c r="R351" s="8"/>
      <c r="S351" s="8"/>
      <c r="T351" s="8"/>
      <c r="U351" s="8"/>
    </row>
    <row r="352" spans="1:21" outlineLevel="1">
      <c r="A352" s="21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21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48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4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48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48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48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48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48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8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21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21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21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21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21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21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spans="1:21" outlineLevel="1">
      <c r="A396" s="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spans="1:21" outlineLevel="1">
      <c r="A397" s="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spans="1:21" outlineLevel="1">
      <c r="A398" s="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spans="1:21" outlineLevel="1">
      <c r="A399" s="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spans="1:21" outlineLevel="1">
      <c r="A400" s="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spans="1:21" outlineLevel="1">
      <c r="A401" s="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spans="1:21" outlineLevel="1">
      <c r="A402" s="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spans="1:21" outlineLevel="1">
      <c r="A403" s="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21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21"/>
      <c r="B408" s="67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1:21" ht="18.75" outlineLevel="1">
      <c r="A410" s="106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1:21" outlineLevel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1:21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1:21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 outlineLevel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8"/>
      <c r="C416" s="35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8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8"/>
      <c r="P418" s="8"/>
      <c r="Q418" s="8"/>
      <c r="R418" s="8"/>
      <c r="S418" s="8"/>
      <c r="T418" s="8"/>
      <c r="U418" s="8"/>
    </row>
    <row r="419" spans="1:21" outlineLevel="1">
      <c r="A419" s="8"/>
      <c r="B419" s="8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8"/>
      <c r="P420" s="8"/>
      <c r="Q420" s="8"/>
      <c r="R420" s="8"/>
      <c r="S420" s="8"/>
      <c r="T420" s="8"/>
      <c r="U420" s="8"/>
    </row>
    <row r="421" spans="1:21" outlineLevel="1">
      <c r="A421" s="59"/>
      <c r="B421" s="8"/>
      <c r="C421" s="35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8"/>
      <c r="P421" s="8"/>
      <c r="Q421" s="8"/>
      <c r="R421" s="8"/>
      <c r="S421" s="8"/>
      <c r="T421" s="8"/>
      <c r="U421" s="8"/>
    </row>
    <row r="422" spans="1:21" outlineLevel="1">
      <c r="A422" s="59"/>
      <c r="B422" s="8"/>
      <c r="C422" s="35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8"/>
      <c r="P422" s="8"/>
      <c r="Q422" s="8"/>
      <c r="R422" s="8"/>
      <c r="S422" s="8"/>
      <c r="T422" s="8"/>
      <c r="U422" s="8"/>
    </row>
    <row r="423" spans="1:21" outlineLevel="1">
      <c r="A423" s="21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:21" outlineLevel="1">
      <c r="A424" s="8"/>
      <c r="B424" s="67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8"/>
      <c r="P424" s="8"/>
      <c r="Q424" s="8"/>
      <c r="R424" s="8"/>
      <c r="S424" s="8"/>
      <c r="T424" s="8"/>
      <c r="U424" s="8"/>
    </row>
    <row r="425" spans="1:21" outlineLevel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8"/>
      <c r="C426" s="35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8"/>
      <c r="P426" s="8"/>
      <c r="Q426" s="8"/>
      <c r="R426" s="8"/>
      <c r="S426" s="8"/>
      <c r="T426" s="8"/>
      <c r="U426" s="8"/>
    </row>
    <row r="427" spans="1:21" outlineLevel="1">
      <c r="A427" s="8"/>
      <c r="B427" s="8"/>
      <c r="C427" s="35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8"/>
      <c r="C428" s="35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8"/>
      <c r="P428" s="8"/>
      <c r="Q428" s="8"/>
      <c r="R428" s="8"/>
      <c r="S428" s="8"/>
      <c r="T428" s="8"/>
      <c r="U428" s="8"/>
    </row>
    <row r="429" spans="1:21" outlineLevel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s="71" customFormat="1" ht="18.75" outlineLevel="1">
      <c r="A431" s="1069"/>
      <c r="B431" s="70"/>
      <c r="C431" s="70"/>
    </row>
    <row r="432" spans="1:21" s="71" customFormat="1" outlineLevel="1">
      <c r="A432" s="70"/>
      <c r="B432" s="72"/>
      <c r="C432" s="73"/>
      <c r="D432" s="70"/>
      <c r="E432" s="74"/>
    </row>
    <row r="433" spans="1:21" s="71" customFormat="1" outlineLevel="1">
      <c r="A433" s="70"/>
      <c r="B433" s="75"/>
      <c r="C433" s="51"/>
      <c r="D433" s="51"/>
      <c r="E433" s="74"/>
    </row>
    <row r="434" spans="1:21" s="71" customFormat="1" outlineLevel="1">
      <c r="A434" s="70"/>
      <c r="B434" s="51"/>
      <c r="C434" s="74"/>
      <c r="D434" s="51"/>
      <c r="E434" s="75"/>
    </row>
    <row r="435" spans="1:21" s="71" customFormat="1" outlineLevel="1">
      <c r="A435" s="76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spans="1:21" s="71" customFormat="1" outlineLevel="1">
      <c r="A436" s="44"/>
      <c r="B436" s="70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43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43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3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42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3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44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80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80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80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6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80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80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80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80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</row>
    <row r="453" spans="1:21" s="71" customFormat="1" outlineLevel="1">
      <c r="A453" s="80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outlineLevel="1">
      <c r="A454" s="44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71" customFormat="1" outlineLevel="1">
      <c r="A455" s="44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4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4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4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5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s="71" customFormat="1" outlineLevel="1">
      <c r="A462" s="43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ht="13.9" customHeight="1" outlineLevel="1">
      <c r="A463" s="42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1071" customFormat="1" outlineLevel="1">
      <c r="A464" s="107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42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43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43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43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4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1071" customFormat="1" outlineLevel="1">
      <c r="A471" s="1072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3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45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5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5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3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1071" customFormat="1" outlineLevel="1">
      <c r="A477" s="107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3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5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2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1071" customFormat="1" outlineLevel="1">
      <c r="A481" s="1072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4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1071" customFormat="1" outlineLevel="1">
      <c r="A483" s="1072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44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44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outlineLevel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:21" outlineLevel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:21" outlineLevel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t="18.75" outlineLevel="1">
      <c r="A490" s="106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:21" outlineLevel="1">
      <c r="A491" s="21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:21" outlineLevel="1">
      <c r="A492" s="87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8"/>
      <c r="N492" s="8"/>
      <c r="O492" s="8"/>
      <c r="P492" s="8"/>
      <c r="Q492" s="8"/>
      <c r="R492" s="8"/>
      <c r="S492" s="8"/>
      <c r="T492" s="8"/>
      <c r="U492" s="8"/>
    </row>
    <row r="493" spans="1:21" outlineLevel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:21" outlineLevel="1">
      <c r="A494" s="3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21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8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21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4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4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4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4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4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48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idden="1" outlineLevel="2">
      <c r="A511" s="48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hidden="1" outlineLevel="2">
      <c r="A512" s="8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hidden="1" outlineLevel="2">
      <c r="A513" s="8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hidden="1" outlineLevel="2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hidden="1" outlineLevel="2">
      <c r="A515" s="4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8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4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 collapsed="1">
      <c r="A520" s="21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21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outlineLevel="1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21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21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1">
      <c r="A527" s="21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1">
      <c r="A528" s="21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4:12" s="8" customFormat="1">
      <c r="D529" s="49"/>
      <c r="E529" s="49"/>
      <c r="F529" s="49"/>
      <c r="G529" s="49"/>
      <c r="H529" s="49"/>
      <c r="I529" s="49"/>
      <c r="J529" s="49"/>
      <c r="K529" s="49"/>
      <c r="L529" s="49"/>
    </row>
    <row r="530" spans="4:12" s="8" customFormat="1">
      <c r="D530" s="49"/>
      <c r="E530" s="49"/>
      <c r="F530" s="49"/>
      <c r="G530" s="49"/>
      <c r="H530" s="49"/>
      <c r="I530" s="49"/>
      <c r="J530" s="49"/>
      <c r="K530" s="49"/>
      <c r="L530" s="49"/>
    </row>
    <row r="531" spans="4:12" s="8" customFormat="1">
      <c r="D531" s="49"/>
      <c r="E531" s="49"/>
      <c r="F531" s="49"/>
      <c r="G531" s="49"/>
      <c r="H531" s="49"/>
      <c r="I531" s="49"/>
      <c r="J531" s="49"/>
      <c r="K531" s="49"/>
      <c r="L531" s="49"/>
    </row>
    <row r="532" spans="4:12" s="8" customFormat="1">
      <c r="D532" s="49"/>
      <c r="E532" s="49"/>
      <c r="F532" s="49"/>
      <c r="G532" s="49"/>
      <c r="H532" s="49"/>
      <c r="I532" s="49"/>
      <c r="J532" s="49"/>
      <c r="K532" s="49"/>
      <c r="L532" s="49"/>
    </row>
    <row r="533" spans="4:12" s="8" customFormat="1">
      <c r="D533" s="49"/>
      <c r="E533" s="49"/>
      <c r="F533" s="49"/>
      <c r="G533" s="49"/>
      <c r="H533" s="49"/>
      <c r="I533" s="49"/>
      <c r="J533" s="49"/>
      <c r="K533" s="49"/>
      <c r="L533" s="49"/>
    </row>
    <row r="534" spans="4:12" s="8" customFormat="1"/>
    <row r="535" spans="4:12" s="8" customFormat="1"/>
    <row r="536" spans="4:12" s="8" customFormat="1"/>
    <row r="537" spans="4:12" s="8" customFormat="1"/>
    <row r="538" spans="4:12" s="8" customFormat="1"/>
    <row r="539" spans="4:12" s="8" customFormat="1"/>
    <row r="540" spans="4:12" s="8" customFormat="1"/>
    <row r="541" spans="4:12" s="8" customFormat="1"/>
    <row r="542" spans="4:12" s="8" customFormat="1"/>
    <row r="543" spans="4:12" s="8" customFormat="1"/>
    <row r="544" spans="4:12" s="8" customFormat="1"/>
    <row r="545" s="8" customFormat="1"/>
    <row r="546" s="8" customFormat="1"/>
    <row r="547" s="8" customFormat="1"/>
    <row r="548" s="8" customFormat="1"/>
    <row r="549" s="8" customFormat="1"/>
    <row r="550" s="8" customFormat="1"/>
    <row r="551" s="8" customFormat="1"/>
    <row r="552" s="8" customFormat="1"/>
    <row r="553" s="8" customFormat="1"/>
    <row r="554" s="8" customFormat="1"/>
    <row r="555" s="8" customFormat="1"/>
    <row r="556" s="8" customFormat="1"/>
    <row r="557" s="8" customFormat="1"/>
    <row r="558" s="8" customFormat="1"/>
    <row r="559" s="8" customFormat="1"/>
    <row r="560" s="8" customFormat="1"/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5" max="65535" man="1"/>
    <brk id="296" max="65535" man="1"/>
    <brk id="347" max="65535" man="1"/>
    <brk id="400" max="65535" man="1"/>
    <brk id="455" max="65535" man="1"/>
    <brk id="476" max="65535" man="1"/>
    <brk id="526" max="65535" man="1"/>
    <brk id="589" max="65535" man="1"/>
    <brk id="610" max="65535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IR733"/>
  <sheetViews>
    <sheetView zoomScale="75" zoomScaleNormal="75" workbookViewId="0"/>
  </sheetViews>
  <sheetFormatPr defaultRowHeight="12.75" outlineLevelRow="2" outlineLevelCol="1"/>
  <cols>
    <col min="1" max="1" width="47.285156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.42578125" style="8" bestFit="1" customWidth="1"/>
    <col min="24" max="24" width="10.5703125" style="8" bestFit="1" customWidth="1"/>
    <col min="25" max="25" width="9.42578125" style="8" bestFit="1" customWidth="1"/>
    <col min="26" max="16384" width="9.140625" style="8"/>
  </cols>
  <sheetData>
    <row r="1" spans="1:51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1" ht="18.75">
      <c r="A2" s="270" t="s">
        <v>548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1" ht="13.5" thickBot="1">
      <c r="A5" s="99" t="s">
        <v>5</v>
      </c>
      <c r="B5" s="9">
        <f>Brownsville!$B$5</f>
        <v>2001</v>
      </c>
      <c r="C5" s="9">
        <f>B5+1</f>
        <v>2002</v>
      </c>
      <c r="D5" s="9">
        <f t="shared" ref="D5:U5" si="0">C5+1</f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1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1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4742.12</v>
      </c>
      <c r="AA7" s="950">
        <f>C10+C11</f>
        <v>4884.3836000000001</v>
      </c>
      <c r="AB7" s="950">
        <f>D10+D11</f>
        <v>5030.9151080000001</v>
      </c>
      <c r="AC7" s="950">
        <f t="shared" ref="AC7:AS7" si="1">E16</f>
        <v>4731.6390372399992</v>
      </c>
      <c r="AD7" s="950">
        <f t="shared" si="1"/>
        <v>4873.5882083571996</v>
      </c>
      <c r="AE7" s="950">
        <f t="shared" si="1"/>
        <v>5019.7958546079153</v>
      </c>
      <c r="AF7" s="950">
        <f t="shared" si="1"/>
        <v>5170.3897302461537</v>
      </c>
      <c r="AG7" s="950">
        <f t="shared" si="1"/>
        <v>5325.5014221535375</v>
      </c>
      <c r="AH7" s="950">
        <f t="shared" si="1"/>
        <v>5485.2664648181426</v>
      </c>
      <c r="AI7" s="950">
        <f t="shared" si="1"/>
        <v>5649.8244587626887</v>
      </c>
      <c r="AJ7" s="950">
        <f t="shared" si="1"/>
        <v>5819.3191925255687</v>
      </c>
      <c r="AK7" s="950">
        <f t="shared" si="1"/>
        <v>5993.8987683013347</v>
      </c>
      <c r="AL7" s="950">
        <f t="shared" si="1"/>
        <v>6173.7157313503749</v>
      </c>
      <c r="AM7" s="950">
        <f t="shared" si="1"/>
        <v>6358.9272032908866</v>
      </c>
      <c r="AN7" s="950">
        <f t="shared" si="1"/>
        <v>6549.6950193896137</v>
      </c>
      <c r="AO7" s="950">
        <f t="shared" si="1"/>
        <v>6746.1858699713002</v>
      </c>
      <c r="AP7" s="950">
        <f t="shared" si="1"/>
        <v>6948.5714460704403</v>
      </c>
      <c r="AQ7" s="950">
        <f t="shared" si="1"/>
        <v>7157.0285894525532</v>
      </c>
      <c r="AR7" s="950">
        <f t="shared" si="1"/>
        <v>7371.7394471361295</v>
      </c>
      <c r="AS7" s="950">
        <f t="shared" si="1"/>
        <v>7592.8916305502144</v>
      </c>
    </row>
    <row r="8" spans="1:51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4742.12</v>
      </c>
      <c r="AA8" s="1048">
        <f>C23+C24</f>
        <v>4884.3836000000001</v>
      </c>
      <c r="AB8" s="1048">
        <f>D23+D24</f>
        <v>5030.9151080000001</v>
      </c>
      <c r="AC8" s="1048">
        <f t="shared" ref="AC8:AS8" si="2">E23+1/3*E24</f>
        <v>4731.6390372399992</v>
      </c>
      <c r="AD8" s="1048">
        <f t="shared" si="2"/>
        <v>4873.5882083571996</v>
      </c>
      <c r="AE8" s="1048">
        <f t="shared" si="2"/>
        <v>5019.7958546079153</v>
      </c>
      <c r="AF8" s="1048">
        <f t="shared" si="2"/>
        <v>5170.3897302461537</v>
      </c>
      <c r="AG8" s="1048">
        <f t="shared" si="2"/>
        <v>5325.5014221535375</v>
      </c>
      <c r="AH8" s="1048">
        <f t="shared" si="2"/>
        <v>5485.2664648181426</v>
      </c>
      <c r="AI8" s="1048">
        <f t="shared" si="2"/>
        <v>5649.8244587626887</v>
      </c>
      <c r="AJ8" s="1048">
        <f t="shared" si="2"/>
        <v>5819.3191925255687</v>
      </c>
      <c r="AK8" s="1048">
        <f t="shared" si="2"/>
        <v>5993.8987683013347</v>
      </c>
      <c r="AL8" s="1048">
        <f t="shared" si="2"/>
        <v>6173.7157313503749</v>
      </c>
      <c r="AM8" s="1048">
        <f t="shared" si="2"/>
        <v>6358.9272032908866</v>
      </c>
      <c r="AN8" s="1048">
        <f t="shared" si="2"/>
        <v>6549.6950193896137</v>
      </c>
      <c r="AO8" s="1048">
        <f t="shared" si="2"/>
        <v>6746.1858699713002</v>
      </c>
      <c r="AP8" s="1048">
        <f t="shared" si="2"/>
        <v>6948.5714460704403</v>
      </c>
      <c r="AQ8" s="1048">
        <f t="shared" si="2"/>
        <v>7157.0285894525532</v>
      </c>
      <c r="AR8" s="1048">
        <f t="shared" si="2"/>
        <v>7371.7394471361295</v>
      </c>
      <c r="AS8" s="1048">
        <f t="shared" si="2"/>
        <v>7592.8916305502144</v>
      </c>
      <c r="AT8" s="271"/>
      <c r="AU8" s="271"/>
      <c r="AV8" s="271"/>
      <c r="AW8" s="271"/>
      <c r="AX8" s="271"/>
      <c r="AY8" s="271"/>
    </row>
    <row r="9" spans="1:51">
      <c r="A9" s="4" t="s">
        <v>8</v>
      </c>
      <c r="B9" s="20">
        <f>'ENA_Power Price Assumption'!C53*12*ENA_Assumptions!$I$9</f>
        <v>29184</v>
      </c>
      <c r="C9" s="20">
        <f>'ENA_Power Price Assumption'!D53*12*ENA_Assumptions!$I$9</f>
        <v>29184</v>
      </c>
      <c r="D9" s="20">
        <f>'ENA_Power Price Assumption'!E53*12*ENA_Assumptions!$I$9</f>
        <v>29184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87552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</row>
    <row r="10" spans="1:51">
      <c r="A10" s="4" t="s">
        <v>9</v>
      </c>
      <c r="B10" s="20">
        <f>ENA_Assumptions!I20*ENA_Assumptions!I18/1000*(1+ENA_Assumptions!$I$26)</f>
        <v>4124.12</v>
      </c>
      <c r="C10" s="20">
        <f>B10*(1+ENA_Assumptions!$I$26)</f>
        <v>4247.8436000000002</v>
      </c>
      <c r="D10" s="20">
        <f>C10*(1+ENA_Assumptions!$I$26)</f>
        <v>4375.2789080000002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12747.242507999999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</row>
    <row r="11" spans="1:51">
      <c r="A11" s="4" t="s">
        <v>458</v>
      </c>
      <c r="B11" s="90">
        <f>ENA_Assumptions!$I$19*ENA_Assumptions!$I$11*ENA_Assumptions!$I$8/1000*(1+ENA_Assumptions!$I$26)</f>
        <v>618</v>
      </c>
      <c r="C11" s="55">
        <f>B11*(1+ENA_Assumptions!$I$26)</f>
        <v>636.54</v>
      </c>
      <c r="D11" s="55">
        <f>C11*(1+ENA_Assumptions!$I$26)</f>
        <v>655.63620000000003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1910.1761999999999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</row>
    <row r="12" spans="1:51">
      <c r="A12" s="4" t="s">
        <v>459</v>
      </c>
      <c r="B12" s="90">
        <f>'Amortization of Power Contract'!$C$41/3</f>
        <v>12464.127487981823</v>
      </c>
      <c r="C12" s="90">
        <f>'Amortization of Power Contract'!$C$41/3</f>
        <v>12464.127487981823</v>
      </c>
      <c r="D12" s="90">
        <f>'Amortization of Power Contract'!$C$41/3</f>
        <v>12464.127487981823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37392.382463945469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</row>
    <row r="13" spans="1:51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</row>
    <row r="14" spans="1:51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</row>
    <row r="15" spans="1:51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Assumption'!F53*ENA_Assumptions!$I$9*12</f>
        <v>48870.984327150094</v>
      </c>
      <c r="F15" s="295">
        <f>'ENA_Power Price Assumption'!G53*ENA_Assumptions!$I$9*12</f>
        <v>51162.7528016746</v>
      </c>
      <c r="G15" s="295">
        <f>'ENA_Power Price Assumption'!H53*ENA_Assumptions!$I$9*12</f>
        <v>52194.062403645206</v>
      </c>
      <c r="H15" s="295">
        <f>'ENA_Power Price Assumption'!I53*ENA_Assumptions!$I$9*12</f>
        <v>53246.160556600138</v>
      </c>
      <c r="I15" s="295">
        <f>'ENA_Power Price Assumption'!J53*ENA_Assumptions!$I$9*12</f>
        <v>54319.46630429817</v>
      </c>
      <c r="J15" s="295">
        <f>'ENA_Power Price Assumption'!K53*ENA_Assumptions!$I$9*12</f>
        <v>55414.40713734318</v>
      </c>
      <c r="K15" s="295">
        <f>'ENA_Power Price Assumption'!L53*ENA_Assumptions!$I$9*12</f>
        <v>56531.419163450977</v>
      </c>
      <c r="L15" s="295">
        <f>'ENA_Power Price Assumption'!M53*ENA_Assumptions!$I$9*12</f>
        <v>57643.022453635509</v>
      </c>
      <c r="M15" s="295">
        <f>'ENA_Power Price Assumption'!N53*ENA_Assumptions!$I$9*12</f>
        <v>58776.483710469969</v>
      </c>
      <c r="N15" s="295">
        <f>'ENA_Power Price Assumption'!O53*ENA_Assumptions!$I$9*12</f>
        <v>59932.232737203711</v>
      </c>
      <c r="O15" s="295">
        <f>'ENA_Power Price Assumption'!P53*ENA_Assumptions!$I$9*12</f>
        <v>61110.707788504937</v>
      </c>
      <c r="P15" s="295">
        <f>'ENA_Power Price Assumption'!Q53*ENA_Assumptions!$I$9*12</f>
        <v>62312.355736644997</v>
      </c>
      <c r="Q15" s="295">
        <f>'ENA_Power Price Assumption'!R53*ENA_Assumptions!$I$9*12</f>
        <v>63270.978088780772</v>
      </c>
      <c r="R15" s="295">
        <f>'ENA_Power Price Assumption'!S53*ENA_Assumptions!$I$9*12</f>
        <v>64244.348026738808</v>
      </c>
      <c r="S15" s="295">
        <f>'ENA_Power Price Assumption'!T53*ENA_Assumptions!$I$9*12</f>
        <v>65232.692429526382</v>
      </c>
      <c r="T15" s="295">
        <f>'ENA_Power Price Assumption'!U53*ENA_Assumptions!$I$9*12</f>
        <v>66236.241666490401</v>
      </c>
      <c r="U15" s="295">
        <f>'ENA_Power Price Assumption'!V53*ENA_Assumptions!$I$9*12</f>
        <v>67255.229651013404</v>
      </c>
      <c r="W15" s="55">
        <f>SUM(B15:U15)</f>
        <v>997753.54498317116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</row>
    <row r="16" spans="1:51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1/3*ENA_Assumptions!$I$19*ENA_Assumptions!$I$11*ENA_Assumptions!$I$8/1000*(1+ENA_Assumptions!$I$26)^(E5-2000)+ENA_Assumptions!$I$20*ENA_Assumptions!$I$18*(1+ENA_Assumptions!$I$26)^(E5-2000)/1000</f>
        <v>4731.6390372399992</v>
      </c>
      <c r="F16" s="90">
        <f>1/3*ENA_Assumptions!$I$19*ENA_Assumptions!$I$11*ENA_Assumptions!$I$8/1000*(1+ENA_Assumptions!$I$26)^(F5-2000)+ENA_Assumptions!$I$20*ENA_Assumptions!$I$18*(1+ENA_Assumptions!$I$26)^(F5-2000)/1000</f>
        <v>4873.5882083571996</v>
      </c>
      <c r="G16" s="90">
        <f>1/3*ENA_Assumptions!$I$19*ENA_Assumptions!$I$11*ENA_Assumptions!$I$8/1000*(1+ENA_Assumptions!$I$26)^(G5-2000)+ENA_Assumptions!$I$20*ENA_Assumptions!$I$18*(1+ENA_Assumptions!$I$26)^(G5-2000)/1000</f>
        <v>5019.7958546079153</v>
      </c>
      <c r="H16" s="90">
        <f>1/3*ENA_Assumptions!$I$19*ENA_Assumptions!$I$11*ENA_Assumptions!$I$8/1000*(1+ENA_Assumptions!$I$26)^(H5-2000)+ENA_Assumptions!$I$20*ENA_Assumptions!$I$18*(1+ENA_Assumptions!$I$26)^(H5-2000)/1000</f>
        <v>5170.3897302461537</v>
      </c>
      <c r="I16" s="90">
        <f>1/3*ENA_Assumptions!$I$19*ENA_Assumptions!$I$11*ENA_Assumptions!$I$8/1000*(1+ENA_Assumptions!$I$26)^(I5-2000)+ENA_Assumptions!$I$20*ENA_Assumptions!$I$18*(1+ENA_Assumptions!$I$26)^(I5-2000)/1000</f>
        <v>5325.5014221535375</v>
      </c>
      <c r="J16" s="90">
        <f>1/3*ENA_Assumptions!$I$19*ENA_Assumptions!$I$11*ENA_Assumptions!$I$8/1000*(1+ENA_Assumptions!$I$26)^(J5-2000)+ENA_Assumptions!$I$20*ENA_Assumptions!$I$18*(1+ENA_Assumptions!$I$26)^(J5-2000)/1000</f>
        <v>5485.2664648181426</v>
      </c>
      <c r="K16" s="90">
        <f>1/3*ENA_Assumptions!$I$19*ENA_Assumptions!$I$11*ENA_Assumptions!$I$8/1000*(1+ENA_Assumptions!$I$26)^(K5-2000)+ENA_Assumptions!$I$20*ENA_Assumptions!$I$18*(1+ENA_Assumptions!$I$26)^(K5-2000)/1000</f>
        <v>5649.8244587626887</v>
      </c>
      <c r="L16" s="90">
        <f>1/3*ENA_Assumptions!$I$19*ENA_Assumptions!$I$11*ENA_Assumptions!$I$8/1000*(1+ENA_Assumptions!$I$26)^(L5-2000)+ENA_Assumptions!$I$20*ENA_Assumptions!$I$18*(1+ENA_Assumptions!$I$26)^(L5-2000)/1000</f>
        <v>5819.3191925255687</v>
      </c>
      <c r="M16" s="90">
        <f>1/3*ENA_Assumptions!$I$19*ENA_Assumptions!$I$11*ENA_Assumptions!$I$8/1000*(1+ENA_Assumptions!$I$26)^(M5-2000)+ENA_Assumptions!$I$20*ENA_Assumptions!$I$18*(1+ENA_Assumptions!$I$26)^(M5-2000)/1000</f>
        <v>5993.8987683013347</v>
      </c>
      <c r="N16" s="90">
        <f>1/3*ENA_Assumptions!$I$19*ENA_Assumptions!$I$11*ENA_Assumptions!$I$8/1000*(1+ENA_Assumptions!$I$26)^(N5-2000)+ENA_Assumptions!$I$20*ENA_Assumptions!$I$18*(1+ENA_Assumptions!$I$26)^(N5-2000)/1000</f>
        <v>6173.7157313503749</v>
      </c>
      <c r="O16" s="90">
        <f>1/3*ENA_Assumptions!$I$19*ENA_Assumptions!$I$11*ENA_Assumptions!$I$8/1000*(1+ENA_Assumptions!$I$26)^(O5-2000)+ENA_Assumptions!$I$20*ENA_Assumptions!$I$18*(1+ENA_Assumptions!$I$26)^(O5-2000)/1000</f>
        <v>6358.9272032908866</v>
      </c>
      <c r="P16" s="90">
        <f>1/3*ENA_Assumptions!$I$19*ENA_Assumptions!$I$11*ENA_Assumptions!$I$8/1000*(1+ENA_Assumptions!$I$26)^(P5-2000)+ENA_Assumptions!$I$20*ENA_Assumptions!$I$18*(1+ENA_Assumptions!$I$26)^(P5-2000)/1000</f>
        <v>6549.6950193896137</v>
      </c>
      <c r="Q16" s="90">
        <f>1/3*ENA_Assumptions!$I$19*ENA_Assumptions!$I$11*ENA_Assumptions!$I$8/1000*(1+ENA_Assumptions!$I$26)^(Q5-2000)+ENA_Assumptions!$I$20*ENA_Assumptions!$I$18*(1+ENA_Assumptions!$I$26)^(Q5-2000)/1000</f>
        <v>6746.1858699713002</v>
      </c>
      <c r="R16" s="90">
        <f>1/3*ENA_Assumptions!$I$19*ENA_Assumptions!$I$11*ENA_Assumptions!$I$8/1000*(1+ENA_Assumptions!$I$26)^(R5-2000)+ENA_Assumptions!$I$20*ENA_Assumptions!$I$18*(1+ENA_Assumptions!$I$26)^(R5-2000)/1000</f>
        <v>6948.5714460704403</v>
      </c>
      <c r="S16" s="90">
        <f>1/3*ENA_Assumptions!$I$19*ENA_Assumptions!$I$11*ENA_Assumptions!$I$8/1000*(1+ENA_Assumptions!$I$26)^(S5-2000)+ENA_Assumptions!$I$20*ENA_Assumptions!$I$18*(1+ENA_Assumptions!$I$26)^(S5-2000)/1000</f>
        <v>7157.0285894525532</v>
      </c>
      <c r="T16" s="90">
        <f>1/3*ENA_Assumptions!$I$19*ENA_Assumptions!$I$11*ENA_Assumptions!$I$8/1000*(1+ENA_Assumptions!$I$26)^(T5-2000)+ENA_Assumptions!$I$20*ENA_Assumptions!$I$18*(1+ENA_Assumptions!$I$26)^(T5-2000)/1000</f>
        <v>7371.7394471361295</v>
      </c>
      <c r="U16" s="90">
        <f>1/3*ENA_Assumptions!$I$19*ENA_Assumptions!$I$11*ENA_Assumptions!$I$8/1000*(1+ENA_Assumptions!$I$26)^(U5-2000)+ENA_Assumptions!$I$20*ENA_Assumptions!$I$18*(1+ENA_Assumptions!$I$26)^(U5-2000)/1000</f>
        <v>7592.8916305502144</v>
      </c>
      <c r="W16" s="55">
        <f>SUM(B16:U16)</f>
        <v>102967.97807422408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</row>
    <row r="17" spans="1:51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</row>
    <row r="18" spans="1:51" s="237" customFormat="1" ht="12" customHeight="1">
      <c r="A18" s="4" t="s">
        <v>14</v>
      </c>
      <c r="B18" s="297">
        <f>(SUM(B9:B11)-SUM(B22:B27))*'ENA_Summary Output'!$B$29/4</f>
        <v>331.12124700534935</v>
      </c>
      <c r="C18" s="297">
        <f>(SUM(C9:C11)-SUM(C22:C27))*'ENA_Summary Output'!$B$29/4</f>
        <v>331.17131864178054</v>
      </c>
      <c r="D18" s="297">
        <f>(SUM(D9:D11)-SUM(D22:D27))*'ENA_Summary Output'!$B$29/4</f>
        <v>330.28939242449837</v>
      </c>
      <c r="E18" s="297">
        <f>(SUM(E9:E16)-SUM(E22:E27))*'ENA_Summary Output'!$B$29/4</f>
        <v>569.8426559600739</v>
      </c>
      <c r="F18" s="297">
        <f>(SUM(F9:F16)-SUM(F22:F27))*'ENA_Summary Output'!$B$29/4</f>
        <v>597.38920667121567</v>
      </c>
      <c r="G18" s="297">
        <f>(SUM(G9:G16)-SUM(G22:G27))*'ENA_Summary Output'!$B$29/4</f>
        <v>609.14779231882119</v>
      </c>
      <c r="H18" s="297">
        <f>(SUM(H9:H16)-SUM(H22:H27))*'ENA_Summary Output'!$B$29/4</f>
        <v>621.29190132242002</v>
      </c>
      <c r="I18" s="297">
        <f>(SUM(I9:I16)-SUM(I22:I27))*'ENA_Summary Output'!$B$29/4</f>
        <v>633.67089172305737</v>
      </c>
      <c r="J18" s="297">
        <f>(SUM(J9:J16)-SUM(J22:J27))*'ENA_Summary Output'!$B$29/4</f>
        <v>646.28920074716427</v>
      </c>
      <c r="K18" s="297">
        <f>(SUM(K9:K16)-SUM(K22:K27))*'ENA_Summary Output'!$B$29/4</f>
        <v>659.15134614288752</v>
      </c>
      <c r="L18" s="297">
        <f>(SUM(L9:L16)-SUM(L22:L27))*'ENA_Summary Output'!$B$29/4</f>
        <v>671.912867191651</v>
      </c>
      <c r="M18" s="297">
        <f>(SUM(M9:M16)-SUM(M22:M27))*'ENA_Summary Output'!$B$29/4</f>
        <v>684.91360722118247</v>
      </c>
      <c r="N18" s="297">
        <f>(SUM(N9:N16)-SUM(N22:N27))*'ENA_Summary Output'!$B$29/4</f>
        <v>698.15791860402783</v>
      </c>
      <c r="O18" s="297">
        <f>(SUM(O9:O16)-SUM(O22:O27))*'ENA_Summary Output'!$B$29/4</f>
        <v>711.65022875042723</v>
      </c>
      <c r="P18" s="297">
        <f>(SUM(P9:P16)-SUM(P22:P27))*'ENA_Summary Output'!$B$29/4</f>
        <v>725.39504126746579</v>
      </c>
      <c r="Q18" s="297">
        <f>(SUM(Q9:Q16)-SUM(Q22:Q27))*'ENA_Summary Output'!$B$29/4</f>
        <v>736.06376022940958</v>
      </c>
      <c r="R18" s="297">
        <f>(SUM(R9:R16)-SUM(R22:R27))*'ENA_Summary Output'!$B$29/4</f>
        <v>746.87740220093883</v>
      </c>
      <c r="S18" s="297">
        <f>(SUM(S9:S16)-SUM(S22:S27))*'ENA_Summary Output'!$B$29/4</f>
        <v>757.837620515249</v>
      </c>
      <c r="T18" s="297">
        <f>(SUM(T9:T16)-SUM(T22:T27))*'ENA_Summary Output'!$B$29/4</f>
        <v>768.94607665514889</v>
      </c>
      <c r="U18" s="297">
        <f>(SUM(U9:U16)-SUM(U22:U27))*'ENA_Summary Output'!$B$29/4</f>
        <v>780.2044398598714</v>
      </c>
      <c r="W18" s="55">
        <f>SUM(B18:U18)</f>
        <v>12611.323915452642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</row>
    <row r="19" spans="1:51" s="237" customFormat="1" ht="12" customHeight="1">
      <c r="A19" s="4" t="s">
        <v>15</v>
      </c>
      <c r="B19" s="20">
        <f>SUM(B9:B18)</f>
        <v>46721.368734987176</v>
      </c>
      <c r="C19" s="20">
        <f t="shared" ref="C19:U19" si="4">SUM(C9:C18)</f>
        <v>46863.682406623608</v>
      </c>
      <c r="D19" s="20">
        <f t="shared" si="4"/>
        <v>47009.331988406324</v>
      </c>
      <c r="E19" s="20">
        <f t="shared" si="4"/>
        <v>54172.46602035017</v>
      </c>
      <c r="F19" s="20">
        <f t="shared" si="4"/>
        <v>56633.730216703014</v>
      </c>
      <c r="G19" s="20">
        <f t="shared" si="4"/>
        <v>57823.006050571945</v>
      </c>
      <c r="H19" s="20">
        <f t="shared" si="4"/>
        <v>59037.84218816871</v>
      </c>
      <c r="I19" s="20">
        <f t="shared" si="4"/>
        <v>60278.638618174766</v>
      </c>
      <c r="J19" s="20">
        <f t="shared" si="4"/>
        <v>61545.962802908492</v>
      </c>
      <c r="K19" s="20">
        <f t="shared" si="4"/>
        <v>62840.394968356552</v>
      </c>
      <c r="L19" s="20">
        <f t="shared" si="4"/>
        <v>64134.254513352724</v>
      </c>
      <c r="M19" s="20">
        <f t="shared" si="4"/>
        <v>65455.296085992486</v>
      </c>
      <c r="N19" s="20">
        <f t="shared" si="4"/>
        <v>66804.106387158114</v>
      </c>
      <c r="O19" s="20">
        <f t="shared" si="4"/>
        <v>68181.285220546255</v>
      </c>
      <c r="P19" s="20">
        <f t="shared" si="4"/>
        <v>69587.445797302076</v>
      </c>
      <c r="Q19" s="20">
        <f t="shared" si="4"/>
        <v>70753.227718981492</v>
      </c>
      <c r="R19" s="20">
        <f t="shared" si="4"/>
        <v>71939.796875010186</v>
      </c>
      <c r="S19" s="20">
        <f t="shared" si="4"/>
        <v>73147.558639494178</v>
      </c>
      <c r="T19" s="20">
        <f t="shared" si="4"/>
        <v>74376.927190281684</v>
      </c>
      <c r="U19" s="20">
        <f t="shared" si="4"/>
        <v>75628.325721423491</v>
      </c>
      <c r="W19" s="55">
        <f>SUM(B19:U19)</f>
        <v>1252934.6481447937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</row>
    <row r="20" spans="1:51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1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1">
      <c r="A22" s="4" t="s">
        <v>1</v>
      </c>
      <c r="B22" s="90">
        <f>ENA_Assumptions!I29*(1+ENA_Assumptions!$I$26)</f>
        <v>1491.9967885714286</v>
      </c>
      <c r="C22" s="55">
        <f>B22*(1+ENA_Assumptions!$I$26)</f>
        <v>1536.7566922285714</v>
      </c>
      <c r="D22" s="55">
        <f>C22*(1+ENA_Assumptions!$I$26)</f>
        <v>1582.8593929954286</v>
      </c>
      <c r="E22" s="55">
        <f>D22*(1+ENA_Assumptions!$I$26)</f>
        <v>1630.3451747852914</v>
      </c>
      <c r="F22" s="55">
        <f>E22*(1+ENA_Assumptions!$I$26)</f>
        <v>1679.2555300288502</v>
      </c>
      <c r="G22" s="55">
        <f>F22*(1+ENA_Assumptions!$I$26)</f>
        <v>1729.6331959297158</v>
      </c>
      <c r="H22" s="55">
        <f>G22*(1+ENA_Assumptions!$I$26)</f>
        <v>1781.5221918076074</v>
      </c>
      <c r="I22" s="55">
        <f>H22*(1+ENA_Assumptions!$I$26)</f>
        <v>1834.9678575618357</v>
      </c>
      <c r="J22" s="55">
        <f>I22*(1+ENA_Assumptions!$I$26)</f>
        <v>1890.0168932886909</v>
      </c>
      <c r="K22" s="55">
        <f>J22*(1+ENA_Assumptions!$I$26)</f>
        <v>1946.7174000873517</v>
      </c>
      <c r="L22" s="55">
        <f>K22*(1+ENA_Assumptions!$I$26)</f>
        <v>2005.1189220899723</v>
      </c>
      <c r="M22" s="55">
        <f>L22*(1+ENA_Assumptions!$I$26)</f>
        <v>2065.2724897526714</v>
      </c>
      <c r="N22" s="55">
        <f>M22*(1+ENA_Assumptions!$I$26)</f>
        <v>2127.2306644452515</v>
      </c>
      <c r="O22" s="55">
        <f>N22*(1+ENA_Assumptions!$I$26)</f>
        <v>2191.0475843786089</v>
      </c>
      <c r="P22" s="55">
        <f>O22*(1+ENA_Assumptions!$I$26)</f>
        <v>2256.7790119099673</v>
      </c>
      <c r="Q22" s="55">
        <f>P22*(1+ENA_Assumptions!$I$26)</f>
        <v>2324.4823822672665</v>
      </c>
      <c r="R22" s="55">
        <f>Q22*(1+ENA_Assumptions!$I$26)</f>
        <v>2394.2168537352845</v>
      </c>
      <c r="S22" s="55">
        <f>R22*(1+ENA_Assumptions!$I$26)</f>
        <v>2466.0433593473431</v>
      </c>
      <c r="T22" s="55">
        <f>S22*(1+ENA_Assumptions!$I$26)</f>
        <v>2540.0246601277636</v>
      </c>
      <c r="U22" s="55">
        <f>T22*(1+ENA_Assumptions!$I$26)</f>
        <v>2616.2253999315967</v>
      </c>
      <c r="W22" s="55">
        <f t="shared" ref="W22:W28" si="5">SUM(B22:U22)</f>
        <v>40090.512445270491</v>
      </c>
    </row>
    <row r="23" spans="1:51">
      <c r="A23" s="4" t="s">
        <v>428</v>
      </c>
      <c r="B23" s="90">
        <f>ENA_Assumptions!$I$30*(1+ENA_Assumptions!$I$26)</f>
        <v>4124.12</v>
      </c>
      <c r="C23" s="20">
        <f>B23*(1+ENA_Assumptions!$I$26)</f>
        <v>4247.8436000000002</v>
      </c>
      <c r="D23" s="20">
        <f>C23*(1+ENA_Assumptions!$I$26)</f>
        <v>4375.2789080000002</v>
      </c>
      <c r="E23" s="90">
        <f>ENA_Assumptions!$I$20*ENA_Assumptions!$I$24*(1+ENA_Assumptions!$I$26)^(E5-2000)/1000</f>
        <v>4506.537275239999</v>
      </c>
      <c r="F23" s="90">
        <f>ENA_Assumptions!$I$20*ENA_Assumptions!$I$24*(1+ENA_Assumptions!$I$26)^(F5-2000)/1000</f>
        <v>4641.7333934971994</v>
      </c>
      <c r="G23" s="90">
        <f>ENA_Assumptions!$I$20*ENA_Assumptions!$I$24*(1+ENA_Assumptions!$I$26)^(G5-2000)/1000</f>
        <v>4780.9853953021156</v>
      </c>
      <c r="H23" s="90">
        <f>ENA_Assumptions!$I$20*ENA_Assumptions!$I$24*(1+ENA_Assumptions!$I$26)^(H5-2000)/1000</f>
        <v>4924.4149571611797</v>
      </c>
      <c r="I23" s="90">
        <f>ENA_Assumptions!$I$20*ENA_Assumptions!$I$24*(1+ENA_Assumptions!$I$26)^(I5-2000)/1000</f>
        <v>5072.1474058760141</v>
      </c>
      <c r="J23" s="90">
        <f>ENA_Assumptions!$I$20*ENA_Assumptions!$I$24*(1+ENA_Assumptions!$I$26)^(J5-2000)/1000</f>
        <v>5224.311828052294</v>
      </c>
      <c r="K23" s="90">
        <f>ENA_Assumptions!$I$20*ENA_Assumptions!$I$24*(1+ENA_Assumptions!$I$26)^(K5-2000)/1000</f>
        <v>5381.0411828938641</v>
      </c>
      <c r="L23" s="90">
        <f>ENA_Assumptions!$I$20*ENA_Assumptions!$I$24*(1+ENA_Assumptions!$I$26)^(L5-2000)/1000</f>
        <v>5542.4724183806793</v>
      </c>
      <c r="M23" s="90">
        <f>ENA_Assumptions!$I$20*ENA_Assumptions!$I$24*(1+ENA_Assumptions!$I$26)^(M5-2000)/1000</f>
        <v>5708.746590932099</v>
      </c>
      <c r="N23" s="90">
        <f>ENA_Assumptions!$I$20*ENA_Assumptions!$I$24*(1+ENA_Assumptions!$I$26)^(N5-2000)/1000</f>
        <v>5880.0089886600617</v>
      </c>
      <c r="O23" s="90">
        <f>ENA_Assumptions!$I$20*ENA_Assumptions!$I$24*(1+ENA_Assumptions!$I$26)^(O5-2000)/1000</f>
        <v>6056.4092583198644</v>
      </c>
      <c r="P23" s="90">
        <f>ENA_Assumptions!$I$20*ENA_Assumptions!$I$24*(1+ENA_Assumptions!$I$26)^(P5-2000)/1000</f>
        <v>6238.101536069461</v>
      </c>
      <c r="Q23" s="90">
        <f>ENA_Assumptions!$I$20*ENA_Assumptions!$I$24*(1+ENA_Assumptions!$I$26)^(Q5-2000)/1000</f>
        <v>6425.244582151543</v>
      </c>
      <c r="R23" s="90">
        <f>ENA_Assumptions!$I$20*ENA_Assumptions!$I$24*(1+ENA_Assumptions!$I$26)^(R5-2000)/1000</f>
        <v>6618.0019196160902</v>
      </c>
      <c r="S23" s="90">
        <f>ENA_Assumptions!$I$20*ENA_Assumptions!$I$24*(1+ENA_Assumptions!$I$26)^(S5-2000)/1000</f>
        <v>6816.5419772045725</v>
      </c>
      <c r="T23" s="90">
        <f>ENA_Assumptions!$I$20*ENA_Assumptions!$I$24*(1+ENA_Assumptions!$I$26)^(T5-2000)/1000</f>
        <v>7021.0382365207097</v>
      </c>
      <c r="U23" s="90">
        <f>ENA_Assumptions!$I$20*ENA_Assumptions!$I$24*(1+ENA_Assumptions!$I$26)^(U5-2000)/1000</f>
        <v>7231.6693836163313</v>
      </c>
      <c r="W23" s="55">
        <f t="shared" si="5"/>
        <v>110816.64883749407</v>
      </c>
    </row>
    <row r="24" spans="1:51">
      <c r="A24" s="4" t="s">
        <v>461</v>
      </c>
      <c r="B24" s="90">
        <f>ENA_Assumptions!$I$25*ENA_Assumptions!$I$11*ENA_Assumptions!$I$8/1000*(1+ENA_Assumptions!$I$26)</f>
        <v>618</v>
      </c>
      <c r="C24" s="55">
        <f>B24*(1+ENA_Assumptions!$I$26)</f>
        <v>636.54</v>
      </c>
      <c r="D24" s="55">
        <f>C24*(1+ENA_Assumptions!$I$26)</f>
        <v>655.63620000000003</v>
      </c>
      <c r="E24" s="55">
        <f>D24*(1+ENA_Assumptions!$I$26)</f>
        <v>675.30528600000002</v>
      </c>
      <c r="F24" s="55">
        <f>E24*(1+ENA_Assumptions!$I$26)</f>
        <v>695.56444457999999</v>
      </c>
      <c r="G24" s="55">
        <f>F24*(1+ENA_Assumptions!$I$26)</f>
        <v>716.43137791740003</v>
      </c>
      <c r="H24" s="55">
        <f>G24*(1+ENA_Assumptions!$I$26)</f>
        <v>737.92431925492201</v>
      </c>
      <c r="I24" s="55">
        <f>H24*(1+ENA_Assumptions!$I$26)</f>
        <v>760.06204883256964</v>
      </c>
      <c r="J24" s="55">
        <f>I24*(1+ENA_Assumptions!$I$26)</f>
        <v>782.86391029754679</v>
      </c>
      <c r="K24" s="55">
        <f>J24*(1+ENA_Assumptions!$I$26)</f>
        <v>806.34982760647324</v>
      </c>
      <c r="L24" s="55">
        <f>K24*(1+ENA_Assumptions!$I$26)</f>
        <v>830.54032243466747</v>
      </c>
      <c r="M24" s="55">
        <f>L24*(1+ENA_Assumptions!$I$26)</f>
        <v>855.45653210770752</v>
      </c>
      <c r="N24" s="55">
        <f>M24*(1+ENA_Assumptions!$I$26)</f>
        <v>881.12022807093877</v>
      </c>
      <c r="O24" s="55">
        <f>N24*(1+ENA_Assumptions!$I$26)</f>
        <v>907.55383491306691</v>
      </c>
      <c r="P24" s="55">
        <f>O24*(1+ENA_Assumptions!$I$26)</f>
        <v>934.7804499604589</v>
      </c>
      <c r="Q24" s="55">
        <f>P24*(1+ENA_Assumptions!$I$26)</f>
        <v>962.82386345927273</v>
      </c>
      <c r="R24" s="55">
        <f>Q24*(1+ENA_Assumptions!$I$26)</f>
        <v>991.70857936305094</v>
      </c>
      <c r="S24" s="55">
        <f>R24*(1+ENA_Assumptions!$I$26)</f>
        <v>1021.4598367439424</v>
      </c>
      <c r="T24" s="55">
        <f>S24*(1+ENA_Assumptions!$I$26)</f>
        <v>1052.1036318462607</v>
      </c>
      <c r="U24" s="55">
        <f>T24*(1+ENA_Assumptions!$I$26)</f>
        <v>1083.6667408016485</v>
      </c>
      <c r="W24" s="55">
        <f t="shared" si="5"/>
        <v>16605.891434189925</v>
      </c>
    </row>
    <row r="25" spans="1:51">
      <c r="A25" s="4" t="s">
        <v>430</v>
      </c>
      <c r="B25" s="90">
        <f>ENA_Assumptions!I32*(1+ENA_Assumptions!$I$26)</f>
        <v>412.66655714285713</v>
      </c>
      <c r="C25" s="55">
        <f>B25*(1+ENA_Assumptions!$I$26)</f>
        <v>425.04655385714284</v>
      </c>
      <c r="D25" s="55">
        <f>C25*(1+ENA_Assumptions!$I$26)</f>
        <v>437.79795047285711</v>
      </c>
      <c r="E25" s="55">
        <f>D25*(1+ENA_Assumptions!$I$26)</f>
        <v>450.93188898704284</v>
      </c>
      <c r="F25" s="55">
        <f>E25*(1+ENA_Assumptions!$I$26)</f>
        <v>464.45984565665412</v>
      </c>
      <c r="G25" s="55">
        <f>F25*(1+ENA_Assumptions!$I$26)</f>
        <v>478.39364102635375</v>
      </c>
      <c r="H25" s="55">
        <f>G25*(1+ENA_Assumptions!$I$26)</f>
        <v>492.7454502571444</v>
      </c>
      <c r="I25" s="55">
        <f>H25*(1+ENA_Assumptions!$I$26)</f>
        <v>507.52781376485876</v>
      </c>
      <c r="J25" s="55">
        <f>I25*(1+ENA_Assumptions!$I$26)</f>
        <v>522.75364817780451</v>
      </c>
      <c r="K25" s="55">
        <f>J25*(1+ENA_Assumptions!$I$26)</f>
        <v>538.43625762313866</v>
      </c>
      <c r="L25" s="55">
        <f>K25*(1+ENA_Assumptions!$I$26)</f>
        <v>554.58934535183278</v>
      </c>
      <c r="M25" s="55">
        <f>L25*(1+ENA_Assumptions!$I$26)</f>
        <v>571.22702571238779</v>
      </c>
      <c r="N25" s="55">
        <f>M25*(1+ENA_Assumptions!$I$26)</f>
        <v>588.36383648375943</v>
      </c>
      <c r="O25" s="55">
        <f>N25*(1+ENA_Assumptions!$I$26)</f>
        <v>606.01475157827224</v>
      </c>
      <c r="P25" s="55">
        <f>O25*(1+ENA_Assumptions!$I$26)</f>
        <v>624.19519412562045</v>
      </c>
      <c r="Q25" s="55">
        <f>P25*(1+ENA_Assumptions!$I$26)</f>
        <v>642.92104994938904</v>
      </c>
      <c r="R25" s="55">
        <f>Q25*(1+ENA_Assumptions!$I$26)</f>
        <v>662.20868144787073</v>
      </c>
      <c r="S25" s="55">
        <f>R25*(1+ENA_Assumptions!$I$26)</f>
        <v>682.07494189130682</v>
      </c>
      <c r="T25" s="55">
        <f>S25*(1+ENA_Assumptions!$I$26)</f>
        <v>702.53719014804608</v>
      </c>
      <c r="U25" s="55">
        <f>T25*(1+ENA_Assumptions!$I$26)</f>
        <v>723.61330585248743</v>
      </c>
      <c r="W25" s="55">
        <f t="shared" si="5"/>
        <v>11088.504929506827</v>
      </c>
    </row>
    <row r="26" spans="1:51">
      <c r="A26" s="4" t="s">
        <v>506</v>
      </c>
      <c r="B26" s="336">
        <v>572</v>
      </c>
      <c r="C26" s="336">
        <v>583.4</v>
      </c>
      <c r="D26" s="336">
        <v>595.1</v>
      </c>
      <c r="E26" s="336">
        <v>607</v>
      </c>
      <c r="F26" s="336">
        <v>619.1</v>
      </c>
      <c r="G26" s="336">
        <v>631.5</v>
      </c>
      <c r="H26" s="336">
        <v>631.5</v>
      </c>
      <c r="I26" s="336">
        <v>631.5</v>
      </c>
      <c r="J26" s="336">
        <v>631.5</v>
      </c>
      <c r="K26" s="336">
        <v>631.5</v>
      </c>
      <c r="L26" s="336">
        <v>631.5</v>
      </c>
      <c r="M26" s="336">
        <v>631.5</v>
      </c>
      <c r="N26" s="336">
        <v>631.5</v>
      </c>
      <c r="O26" s="336">
        <v>631.5</v>
      </c>
      <c r="P26" s="336">
        <v>631.5</v>
      </c>
      <c r="Q26" s="336">
        <v>631.5</v>
      </c>
      <c r="R26" s="336">
        <v>631.5</v>
      </c>
      <c r="S26" s="336">
        <v>631.5</v>
      </c>
      <c r="T26" s="336">
        <v>631.5</v>
      </c>
      <c r="U26" s="336">
        <v>631.5</v>
      </c>
      <c r="W26" s="55">
        <f t="shared" si="5"/>
        <v>12449.1</v>
      </c>
    </row>
    <row r="27" spans="1:51" s="271" customFormat="1">
      <c r="A27" s="1098" t="s">
        <v>507</v>
      </c>
      <c r="B27" s="600">
        <f>B78</f>
        <v>217.63689385776883</v>
      </c>
      <c r="C27" s="600">
        <f t="shared" ref="C27:U27" si="6">C78</f>
        <v>145.09126257184587</v>
      </c>
      <c r="D27" s="600">
        <f t="shared" si="6"/>
        <v>145.09126257184587</v>
      </c>
      <c r="E27" s="600">
        <f t="shared" si="6"/>
        <v>145.09126257184587</v>
      </c>
      <c r="F27" s="600">
        <f t="shared" si="6"/>
        <v>145.09126257184587</v>
      </c>
      <c r="G27" s="600">
        <f t="shared" si="6"/>
        <v>145.09126257184587</v>
      </c>
      <c r="H27" s="600">
        <f t="shared" si="6"/>
        <v>145.09126257184587</v>
      </c>
      <c r="I27" s="600">
        <f t="shared" si="6"/>
        <v>145.09126257184587</v>
      </c>
      <c r="J27" s="600">
        <f t="shared" si="6"/>
        <v>145.09126257184587</v>
      </c>
      <c r="K27" s="600">
        <f t="shared" si="6"/>
        <v>145.09126257184587</v>
      </c>
      <c r="L27" s="600">
        <f t="shared" si="6"/>
        <v>145.09126257184587</v>
      </c>
      <c r="M27" s="600">
        <f t="shared" si="6"/>
        <v>145.09126257184587</v>
      </c>
      <c r="N27" s="600">
        <f t="shared" si="6"/>
        <v>145.09126257184587</v>
      </c>
      <c r="O27" s="600">
        <f t="shared" si="6"/>
        <v>145.09126257184587</v>
      </c>
      <c r="P27" s="600">
        <f t="shared" si="6"/>
        <v>145.09126257184587</v>
      </c>
      <c r="Q27" s="600">
        <f t="shared" si="6"/>
        <v>145.09126257184587</v>
      </c>
      <c r="R27" s="600">
        <f t="shared" si="6"/>
        <v>145.09126257184587</v>
      </c>
      <c r="S27" s="600">
        <f t="shared" si="6"/>
        <v>145.09126257184587</v>
      </c>
      <c r="T27" s="600">
        <f t="shared" si="6"/>
        <v>145.09126257184587</v>
      </c>
      <c r="U27" s="600">
        <f t="shared" si="6"/>
        <v>145.09126257184587</v>
      </c>
      <c r="V27" s="55"/>
      <c r="W27" s="55">
        <f t="shared" si="5"/>
        <v>2974.3708827228415</v>
      </c>
    </row>
    <row r="28" spans="1:51">
      <c r="A28" s="4" t="s">
        <v>22</v>
      </c>
      <c r="B28" s="90">
        <f t="shared" ref="B28:U28" si="7">SUM(B22:B27)</f>
        <v>7436.4202395720549</v>
      </c>
      <c r="C28" s="90">
        <f t="shared" si="7"/>
        <v>7574.6781086575593</v>
      </c>
      <c r="D28" s="90">
        <f t="shared" si="7"/>
        <v>7791.7637140401321</v>
      </c>
      <c r="E28" s="90">
        <f t="shared" si="7"/>
        <v>8015.2108875841786</v>
      </c>
      <c r="F28" s="90">
        <f t="shared" si="7"/>
        <v>8245.2044763345511</v>
      </c>
      <c r="G28" s="90">
        <f t="shared" si="7"/>
        <v>8482.034872747432</v>
      </c>
      <c r="H28" s="90">
        <f t="shared" si="7"/>
        <v>8713.1981810527013</v>
      </c>
      <c r="I28" s="90">
        <f t="shared" si="7"/>
        <v>8951.2963886071248</v>
      </c>
      <c r="J28" s="90">
        <f t="shared" si="7"/>
        <v>9196.5375423881833</v>
      </c>
      <c r="K28" s="90">
        <f t="shared" si="7"/>
        <v>9449.1359307826733</v>
      </c>
      <c r="L28" s="90">
        <f t="shared" si="7"/>
        <v>9709.3122708289993</v>
      </c>
      <c r="M28" s="90">
        <f t="shared" si="7"/>
        <v>9977.2939010767113</v>
      </c>
      <c r="N28" s="90">
        <f t="shared" si="7"/>
        <v>10253.314980231857</v>
      </c>
      <c r="O28" s="90">
        <f t="shared" si="7"/>
        <v>10537.616691761659</v>
      </c>
      <c r="P28" s="90">
        <f t="shared" si="7"/>
        <v>10830.447454637355</v>
      </c>
      <c r="Q28" s="90">
        <f t="shared" si="7"/>
        <v>11132.063140399317</v>
      </c>
      <c r="R28" s="90">
        <f t="shared" si="7"/>
        <v>11442.727296734143</v>
      </c>
      <c r="S28" s="90">
        <f t="shared" si="7"/>
        <v>11762.711377759013</v>
      </c>
      <c r="T28" s="90">
        <f t="shared" si="7"/>
        <v>12092.294981214627</v>
      </c>
      <c r="U28" s="90">
        <f t="shared" si="7"/>
        <v>12431.766092773911</v>
      </c>
      <c r="W28" s="55">
        <f t="shared" si="5"/>
        <v>194025.0285291842</v>
      </c>
    </row>
    <row r="29" spans="1:51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1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1" s="21" customFormat="1" ht="18.75" customHeight="1">
      <c r="A31" s="1" t="s">
        <v>23</v>
      </c>
      <c r="B31" s="273">
        <f t="shared" ref="B31:U31" si="8">B19-B28</f>
        <v>39284.948495415119</v>
      </c>
      <c r="C31" s="273">
        <f t="shared" si="8"/>
        <v>39289.00429796605</v>
      </c>
      <c r="D31" s="273">
        <f t="shared" si="8"/>
        <v>39217.568274366189</v>
      </c>
      <c r="E31" s="273">
        <f t="shared" si="8"/>
        <v>46157.255132765989</v>
      </c>
      <c r="F31" s="273">
        <f t="shared" si="8"/>
        <v>48388.525740368466</v>
      </c>
      <c r="G31" s="273">
        <f t="shared" si="8"/>
        <v>49340.971177824511</v>
      </c>
      <c r="H31" s="273">
        <f t="shared" si="8"/>
        <v>50324.64400711601</v>
      </c>
      <c r="I31" s="273">
        <f t="shared" si="8"/>
        <v>51327.342229567643</v>
      </c>
      <c r="J31" s="273">
        <f t="shared" si="8"/>
        <v>52349.425260520307</v>
      </c>
      <c r="K31" s="273">
        <f t="shared" si="8"/>
        <v>53391.25903757388</v>
      </c>
      <c r="L31" s="273">
        <f t="shared" si="8"/>
        <v>54424.942242523728</v>
      </c>
      <c r="M31" s="273">
        <f t="shared" si="8"/>
        <v>55478.002184915778</v>
      </c>
      <c r="N31" s="273">
        <f t="shared" si="8"/>
        <v>56550.791406926255</v>
      </c>
      <c r="O31" s="273">
        <f t="shared" si="8"/>
        <v>57643.668528784598</v>
      </c>
      <c r="P31" s="273">
        <f t="shared" si="8"/>
        <v>58756.998342664723</v>
      </c>
      <c r="Q31" s="273">
        <f t="shared" si="8"/>
        <v>59621.164578582175</v>
      </c>
      <c r="R31" s="273">
        <f t="shared" si="8"/>
        <v>60497.069578276045</v>
      </c>
      <c r="S31" s="273">
        <f t="shared" si="8"/>
        <v>61384.847261735165</v>
      </c>
      <c r="T31" s="273">
        <f t="shared" si="8"/>
        <v>62284.632209067058</v>
      </c>
      <c r="U31" s="273">
        <f t="shared" si="8"/>
        <v>63196.559628649578</v>
      </c>
      <c r="W31" s="55">
        <f>SUM(B31:U31)</f>
        <v>1058909.6196156093</v>
      </c>
    </row>
    <row r="32" spans="1:51" s="21" customFormat="1" ht="18.75" customHeigh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ENA_Depreciation!C53</f>
        <v>11019.158120067157</v>
      </c>
      <c r="C33" s="90">
        <f>ENA_Depreciation!D53</f>
        <v>11019.158120067157</v>
      </c>
      <c r="D33" s="90">
        <f>ENA_Depreciation!E53</f>
        <v>11019.158120067157</v>
      </c>
      <c r="E33" s="90">
        <f>ENA_Depreciation!F53</f>
        <v>11019.158120067157</v>
      </c>
      <c r="F33" s="90">
        <f>ENA_Depreciation!G53</f>
        <v>11019.158120067157</v>
      </c>
      <c r="G33" s="90">
        <f>ENA_Depreciation!H53</f>
        <v>11019.158120067157</v>
      </c>
      <c r="H33" s="90">
        <f>ENA_Depreciation!I53</f>
        <v>11019.158120067157</v>
      </c>
      <c r="I33" s="90">
        <f>ENA_Depreciation!J53</f>
        <v>11019.158120067157</v>
      </c>
      <c r="J33" s="90">
        <f>ENA_Depreciation!K53</f>
        <v>11019.158120067157</v>
      </c>
      <c r="K33" s="90">
        <f>ENA_Depreciation!L53</f>
        <v>11019.158120067157</v>
      </c>
      <c r="L33" s="90">
        <f>ENA_Depreciation!M53</f>
        <v>11019.158120067157</v>
      </c>
      <c r="M33" s="90">
        <f>ENA_Depreciation!N53</f>
        <v>11019.158120067157</v>
      </c>
      <c r="N33" s="90">
        <f>ENA_Depreciation!O53</f>
        <v>11019.158120067157</v>
      </c>
      <c r="O33" s="90">
        <f>ENA_Depreciation!P53</f>
        <v>11019.158120067157</v>
      </c>
      <c r="P33" s="90">
        <f>ENA_Depreciation!Q53</f>
        <v>11019.158120067157</v>
      </c>
      <c r="Q33" s="90">
        <f>ENA_Depreciation!R53</f>
        <v>11019.158120067157</v>
      </c>
      <c r="R33" s="90">
        <f>ENA_Depreciation!S53</f>
        <v>11019.158120067157</v>
      </c>
      <c r="S33" s="90">
        <f>ENA_Depreciation!T53</f>
        <v>11019.158120067157</v>
      </c>
      <c r="T33" s="90">
        <f>ENA_Depreciation!U53</f>
        <v>11019.158120067157</v>
      </c>
      <c r="U33" s="90">
        <f>ENA_Depreciation!V53</f>
        <v>11019.158120067157</v>
      </c>
      <c r="W33" s="55">
        <f>SUM(B33:U33)</f>
        <v>220383.16240134306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28265.790375347962</v>
      </c>
      <c r="C35" s="93">
        <f t="shared" si="9"/>
        <v>28269.846177898893</v>
      </c>
      <c r="D35" s="93">
        <f t="shared" si="9"/>
        <v>28198.410154299032</v>
      </c>
      <c r="E35" s="93">
        <f t="shared" si="9"/>
        <v>35138.097012698832</v>
      </c>
      <c r="F35" s="93">
        <f t="shared" si="9"/>
        <v>37369.367620301309</v>
      </c>
      <c r="G35" s="93">
        <f t="shared" si="9"/>
        <v>38321.813057757354</v>
      </c>
      <c r="H35" s="93">
        <f t="shared" si="9"/>
        <v>39305.485887048853</v>
      </c>
      <c r="I35" s="93">
        <f t="shared" si="9"/>
        <v>40308.184109500486</v>
      </c>
      <c r="J35" s="93">
        <f t="shared" si="9"/>
        <v>41330.26714045315</v>
      </c>
      <c r="K35" s="93">
        <f t="shared" si="9"/>
        <v>42372.100917506723</v>
      </c>
      <c r="L35" s="93">
        <f t="shared" si="9"/>
        <v>43405.784122456571</v>
      </c>
      <c r="M35" s="93">
        <f t="shared" si="9"/>
        <v>44458.844064848621</v>
      </c>
      <c r="N35" s="93">
        <f t="shared" si="9"/>
        <v>45531.633286859098</v>
      </c>
      <c r="O35" s="93">
        <f t="shared" si="9"/>
        <v>46624.51040871744</v>
      </c>
      <c r="P35" s="93">
        <f t="shared" si="9"/>
        <v>47737.840222597566</v>
      </c>
      <c r="Q35" s="93">
        <f t="shared" si="9"/>
        <v>48602.006458515018</v>
      </c>
      <c r="R35" s="93">
        <f t="shared" si="9"/>
        <v>49477.911458208888</v>
      </c>
      <c r="S35" s="93">
        <f t="shared" si="9"/>
        <v>50365.689141668008</v>
      </c>
      <c r="T35" s="93">
        <f t="shared" si="9"/>
        <v>51265.474088999901</v>
      </c>
      <c r="U35" s="93">
        <f t="shared" si="9"/>
        <v>52177.401508582421</v>
      </c>
      <c r="W35" s="55">
        <f>SUM(B35:U35)</f>
        <v>838526.45721426629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ENA_IS!B38*ENA_Allocation!$E$14</f>
        <v>17898.660959956007</v>
      </c>
      <c r="C37" s="90">
        <f>ENA_IS!C38*ENA_Allocation!$E$14</f>
        <v>17630.097914123908</v>
      </c>
      <c r="D37" s="90">
        <f>ENA_IS!D38*ENA_Allocation!$E$14</f>
        <v>17251.280656046682</v>
      </c>
      <c r="E37" s="90">
        <f>ENA_IS!E38*ENA_Allocation!$E$14</f>
        <v>16953.910372010145</v>
      </c>
      <c r="F37" s="90">
        <f>ENA_IS!F38*ENA_Allocation!$E$14</f>
        <v>16427.798973677371</v>
      </c>
      <c r="G37" s="90">
        <f>ENA_IS!G38*ENA_Allocation!$E$14</f>
        <v>15804.22083599118</v>
      </c>
      <c r="H37" s="90">
        <f>ENA_IS!H38*ENA_Allocation!$E$14</f>
        <v>15103.402967915445</v>
      </c>
      <c r="I37" s="90">
        <f>ENA_IS!I38*ENA_Allocation!$E$14</f>
        <v>14370.218805763445</v>
      </c>
      <c r="J37" s="90">
        <f>ENA_IS!J38*ENA_Allocation!$E$14</f>
        <v>13459.489685637125</v>
      </c>
      <c r="K37" s="90">
        <f>ENA_IS!K38*ENA_Allocation!$E$14</f>
        <v>12450.333975706642</v>
      </c>
      <c r="L37" s="90">
        <f>ENA_IS!L38*ENA_Allocation!$E$14</f>
        <v>11388.471611412735</v>
      </c>
      <c r="M37" s="90">
        <f>ENA_IS!M38*ENA_Allocation!$E$14</f>
        <v>10230.68836317049</v>
      </c>
      <c r="N37" s="90">
        <f>ENA_IS!N38*ENA_Allocation!$E$14</f>
        <v>9015.3654167845198</v>
      </c>
      <c r="O37" s="90">
        <f>ENA_IS!O38*ENA_Allocation!$E$14</f>
        <v>7828.8123194704112</v>
      </c>
      <c r="P37" s="90">
        <f>ENA_IS!P38*ENA_Allocation!$E$14</f>
        <v>6627.305402299743</v>
      </c>
      <c r="Q37" s="90">
        <f>ENA_IS!Q38*ENA_Allocation!$E$14</f>
        <v>5382.0748162006494</v>
      </c>
      <c r="R37" s="90">
        <f>ENA_IS!R38*ENA_Allocation!$E$14</f>
        <v>4061.2624232178496</v>
      </c>
      <c r="S37" s="90">
        <f>ENA_IS!S38*ENA_Allocation!$E$14</f>
        <v>2815.8692955985766</v>
      </c>
      <c r="T37" s="90">
        <f>ENA_IS!T38*ENA_Allocation!$E$14</f>
        <v>1747.971508015879</v>
      </c>
      <c r="U37" s="90">
        <f>ENA_IS!U38*ENA_Allocation!$E$14</f>
        <v>682.67438475606207</v>
      </c>
      <c r="W37" s="55">
        <f>SUM(B37:U37)</f>
        <v>217129.91068775486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10367.129415391955</v>
      </c>
      <c r="C39" s="93">
        <f t="shared" si="10"/>
        <v>10639.748263774985</v>
      </c>
      <c r="D39" s="93">
        <f t="shared" si="10"/>
        <v>10947.12949825235</v>
      </c>
      <c r="E39" s="93">
        <f t="shared" si="10"/>
        <v>18184.186640688687</v>
      </c>
      <c r="F39" s="93">
        <f t="shared" si="10"/>
        <v>20941.568646623939</v>
      </c>
      <c r="G39" s="93">
        <f t="shared" si="10"/>
        <v>22517.592221766172</v>
      </c>
      <c r="H39" s="93">
        <f t="shared" si="10"/>
        <v>24202.082919133409</v>
      </c>
      <c r="I39" s="93">
        <f t="shared" si="10"/>
        <v>25937.965303737041</v>
      </c>
      <c r="J39" s="93">
        <f t="shared" si="10"/>
        <v>27870.777454816023</v>
      </c>
      <c r="K39" s="93">
        <f t="shared" si="10"/>
        <v>29921.766941800081</v>
      </c>
      <c r="L39" s="93">
        <f t="shared" si="10"/>
        <v>32017.312511043834</v>
      </c>
      <c r="M39" s="93">
        <f t="shared" si="10"/>
        <v>34228.15570167813</v>
      </c>
      <c r="N39" s="93">
        <f t="shared" si="10"/>
        <v>36516.267870074575</v>
      </c>
      <c r="O39" s="93">
        <f t="shared" si="10"/>
        <v>38795.698089247031</v>
      </c>
      <c r="P39" s="93">
        <f t="shared" si="10"/>
        <v>41110.53482029782</v>
      </c>
      <c r="Q39" s="93">
        <f t="shared" si="10"/>
        <v>43219.931642314368</v>
      </c>
      <c r="R39" s="93">
        <f t="shared" si="10"/>
        <v>45416.649034991038</v>
      </c>
      <c r="S39" s="93">
        <f t="shared" si="10"/>
        <v>47549.819846069433</v>
      </c>
      <c r="T39" s="93">
        <f t="shared" si="10"/>
        <v>49517.502580984023</v>
      </c>
      <c r="U39" s="93">
        <f t="shared" si="10"/>
        <v>51494.727123826357</v>
      </c>
      <c r="W39" s="55">
        <f>SUM(B39:U39)</f>
        <v>621396.5465265112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B39*-ENA_Assumptions!$I$39</f>
        <v>-744.35989202514247</v>
      </c>
      <c r="C41" s="90">
        <f>C39*-ENA_Assumptions!$I$39</f>
        <v>-763.93392533904398</v>
      </c>
      <c r="D41" s="90">
        <f>D39*-ENA_Assumptions!$I$39</f>
        <v>-786.00389797451874</v>
      </c>
      <c r="E41" s="90">
        <f>E39*-ENA_Assumptions!$I$39</f>
        <v>-1305.6246008014477</v>
      </c>
      <c r="F41" s="90">
        <f>F39*-ENA_Assumptions!$I$39</f>
        <v>-1503.6046288275988</v>
      </c>
      <c r="G41" s="90">
        <f>G39*-ENA_Assumptions!$I$39</f>
        <v>-1616.7631215228112</v>
      </c>
      <c r="H41" s="90">
        <f>H39*-ENA_Assumptions!$I$39</f>
        <v>-1737.7095535937788</v>
      </c>
      <c r="I41" s="90">
        <f>I39*-ENA_Assumptions!$I$39</f>
        <v>-1862.3459088083196</v>
      </c>
      <c r="J41" s="90">
        <f>J39*-ENA_Assumptions!$I$39</f>
        <v>-2001.1218212557906</v>
      </c>
      <c r="K41" s="90">
        <f>K39*-ENA_Assumptions!$I$39</f>
        <v>-2148.382866421246</v>
      </c>
      <c r="L41" s="90">
        <f>L39*-ENA_Assumptions!$I$39</f>
        <v>-2298.8430382929473</v>
      </c>
      <c r="M41" s="90">
        <f>M39*-ENA_Assumptions!$I$39</f>
        <v>-2457.58157938049</v>
      </c>
      <c r="N41" s="90">
        <f>N39*-ENA_Assumptions!$I$39</f>
        <v>-2621.8680330713546</v>
      </c>
      <c r="O41" s="90">
        <f>O39*-ENA_Assumptions!$I$39</f>
        <v>-2785.5311228079368</v>
      </c>
      <c r="P41" s="90">
        <f>P39*-ENA_Assumptions!$I$39</f>
        <v>-2951.7364000973835</v>
      </c>
      <c r="Q41" s="90">
        <f>Q39*-ENA_Assumptions!$I$39</f>
        <v>-3103.1910919181719</v>
      </c>
      <c r="R41" s="90">
        <f>R39*-ENA_Assumptions!$I$39</f>
        <v>-3260.9154007123566</v>
      </c>
      <c r="S41" s="90">
        <f>S39*-ENA_Assumptions!$I$39</f>
        <v>-3414.0770649477854</v>
      </c>
      <c r="T41" s="90">
        <f>T39*-ENA_Assumptions!$I$39</f>
        <v>-3555.3566853146531</v>
      </c>
      <c r="U41" s="90">
        <f>U39*-ENA_Assumptions!$I$39</f>
        <v>-3697.3214074907323</v>
      </c>
      <c r="W41" s="55">
        <f>SUM(B41:U41)</f>
        <v>-44616.272040603508</v>
      </c>
    </row>
    <row r="42" spans="1:23">
      <c r="A42" s="4" t="s">
        <v>29</v>
      </c>
      <c r="B42" s="89">
        <f>(B39+B41)*-ENA_Assumptions!$I$38</f>
        <v>-3367.9693331783842</v>
      </c>
      <c r="C42" s="89">
        <f>(C39+C41)*-ENA_Assumptions!$I$38</f>
        <v>-3456.5350184525792</v>
      </c>
      <c r="D42" s="89">
        <f>(D39+D41)*-ENA_Assumptions!$I$38</f>
        <v>-3556.3939600972408</v>
      </c>
      <c r="E42" s="89">
        <f>(E39+E41)*-ENA_Assumptions!$I$38</f>
        <v>-5907.4967139605342</v>
      </c>
      <c r="F42" s="89">
        <f>(F39+F41)*-ENA_Assumptions!$I$38</f>
        <v>-6803.2874062287192</v>
      </c>
      <c r="G42" s="89">
        <f>(G39+G41)*-ENA_Assumptions!$I$38</f>
        <v>-7315.2901850851758</v>
      </c>
      <c r="H42" s="89">
        <f>(H39+H41)*-ENA_Assumptions!$I$38</f>
        <v>-7862.5306779388693</v>
      </c>
      <c r="I42" s="89">
        <f>(I39+I41)*-ENA_Assumptions!$I$38</f>
        <v>-8426.4667882250524</v>
      </c>
      <c r="J42" s="89">
        <f>(J39+J41)*-ENA_Assumptions!$I$38</f>
        <v>-9054.3794717460805</v>
      </c>
      <c r="K42" s="89">
        <f>(K39+K41)*-ENA_Assumptions!$I$38</f>
        <v>-9720.6844263825915</v>
      </c>
      <c r="L42" s="89">
        <f>(L39+L41)*-ENA_Assumptions!$I$38</f>
        <v>-10401.46431546281</v>
      </c>
      <c r="M42" s="89">
        <f>(M39+M41)*-ENA_Assumptions!$I$38</f>
        <v>-11119.700942804173</v>
      </c>
      <c r="N42" s="89">
        <f>(N39+N41)*-ENA_Assumptions!$I$38</f>
        <v>-11863.039942951127</v>
      </c>
      <c r="O42" s="89">
        <f>(O39+O41)*-ENA_Assumptions!$I$38</f>
        <v>-12603.558438253682</v>
      </c>
      <c r="P42" s="89">
        <f>(P39+P41)*-ENA_Assumptions!$I$38</f>
        <v>-13355.579447070153</v>
      </c>
      <c r="Q42" s="89">
        <f>(Q39+Q41)*-ENA_Assumptions!$I$38</f>
        <v>-14040.859192638667</v>
      </c>
      <c r="R42" s="89">
        <f>(R39+R41)*-ENA_Assumptions!$I$38</f>
        <v>-14754.506771997538</v>
      </c>
      <c r="S42" s="89">
        <f>(S39+S41)*-ENA_Assumptions!$I$38</f>
        <v>-15447.509973392576</v>
      </c>
      <c r="T42" s="89">
        <f>(T39+T41)*-ENA_Assumptions!$I$38</f>
        <v>-16086.751063484278</v>
      </c>
      <c r="U42" s="89">
        <f>(U39+U41)*-ENA_Assumptions!$I$38</f>
        <v>-16729.092000717468</v>
      </c>
      <c r="W42" s="55">
        <f>SUM(B42:U42)</f>
        <v>-201873.09607006775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6254.800190188429</v>
      </c>
      <c r="C44" s="239">
        <f t="shared" si="11"/>
        <v>6419.2793199833613</v>
      </c>
      <c r="D44" s="239">
        <f t="shared" si="11"/>
        <v>6604.7316401805911</v>
      </c>
      <c r="E44" s="239">
        <f t="shared" si="11"/>
        <v>10971.065325926707</v>
      </c>
      <c r="F44" s="239">
        <f t="shared" si="11"/>
        <v>12634.676611567622</v>
      </c>
      <c r="G44" s="239">
        <f t="shared" si="11"/>
        <v>13585.538915158186</v>
      </c>
      <c r="H44" s="239">
        <f t="shared" si="11"/>
        <v>14601.842687600758</v>
      </c>
      <c r="I44" s="239">
        <f t="shared" si="11"/>
        <v>15649.15260670367</v>
      </c>
      <c r="J44" s="239">
        <f t="shared" si="11"/>
        <v>16815.276161814152</v>
      </c>
      <c r="K44" s="239">
        <f t="shared" si="11"/>
        <v>18052.699648996244</v>
      </c>
      <c r="L44" s="239">
        <f t="shared" si="11"/>
        <v>19317.005157288077</v>
      </c>
      <c r="M44" s="239">
        <f t="shared" si="11"/>
        <v>20650.873179493465</v>
      </c>
      <c r="N44" s="239">
        <f t="shared" si="11"/>
        <v>22031.359894052093</v>
      </c>
      <c r="O44" s="239">
        <f t="shared" si="11"/>
        <v>23406.60852818541</v>
      </c>
      <c r="P44" s="239">
        <f t="shared" si="11"/>
        <v>24803.218973130286</v>
      </c>
      <c r="Q44" s="239">
        <f t="shared" si="11"/>
        <v>26075.881357757527</v>
      </c>
      <c r="R44" s="239">
        <f t="shared" si="11"/>
        <v>27401.226862281143</v>
      </c>
      <c r="S44" s="239">
        <f t="shared" si="11"/>
        <v>28688.232807729073</v>
      </c>
      <c r="T44" s="239">
        <f t="shared" si="11"/>
        <v>29875.394832185091</v>
      </c>
      <c r="U44" s="239">
        <f t="shared" si="11"/>
        <v>31068.313715618158</v>
      </c>
      <c r="W44" s="55">
        <f>SUM(B44:U44)</f>
        <v>374907.17841584008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 s="237" customFormat="1" ht="9" outlineLevel="1">
      <c r="A46" s="5"/>
      <c r="B46" s="241"/>
      <c r="C46" s="242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549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1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1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1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1" ht="13.5" outlineLevel="1" thickBot="1">
      <c r="A52" s="99" t="s">
        <v>5</v>
      </c>
      <c r="B52" s="9">
        <v>2001</v>
      </c>
      <c r="C52" s="9">
        <f>B52+1</f>
        <v>2002</v>
      </c>
      <c r="D52" s="9">
        <f t="shared" ref="D52:U52" si="12">C52+1</f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1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1" outlineLevel="1">
      <c r="A54" s="15" t="s">
        <v>510</v>
      </c>
      <c r="B54" s="29">
        <f>B31-B12</f>
        <v>26820.821007433296</v>
      </c>
      <c r="C54" s="29">
        <f>C31-C12</f>
        <v>26824.876809984227</v>
      </c>
      <c r="D54" s="29">
        <f>D31-D12</f>
        <v>26753.440786384366</v>
      </c>
      <c r="E54" s="29">
        <f t="shared" ref="E54:U54" si="13">E31</f>
        <v>46157.255132765989</v>
      </c>
      <c r="F54" s="29">
        <f t="shared" si="13"/>
        <v>48388.525740368466</v>
      </c>
      <c r="G54" s="29">
        <f t="shared" si="13"/>
        <v>49340.971177824511</v>
      </c>
      <c r="H54" s="29">
        <f t="shared" si="13"/>
        <v>50324.64400711601</v>
      </c>
      <c r="I54" s="29">
        <f t="shared" si="13"/>
        <v>51327.342229567643</v>
      </c>
      <c r="J54" s="29">
        <f t="shared" si="13"/>
        <v>52349.425260520307</v>
      </c>
      <c r="K54" s="29">
        <f t="shared" si="13"/>
        <v>53391.25903757388</v>
      </c>
      <c r="L54" s="29">
        <f t="shared" si="13"/>
        <v>54424.942242523728</v>
      </c>
      <c r="M54" s="29">
        <f t="shared" si="13"/>
        <v>55478.002184915778</v>
      </c>
      <c r="N54" s="29">
        <f t="shared" si="13"/>
        <v>56550.791406926255</v>
      </c>
      <c r="O54" s="29">
        <f t="shared" si="13"/>
        <v>57643.668528784598</v>
      </c>
      <c r="P54" s="29">
        <f t="shared" si="13"/>
        <v>58756.998342664723</v>
      </c>
      <c r="Q54" s="29">
        <f t="shared" si="13"/>
        <v>59621.164578582175</v>
      </c>
      <c r="R54" s="29">
        <f t="shared" si="13"/>
        <v>60497.069578276045</v>
      </c>
      <c r="S54" s="29">
        <f t="shared" si="13"/>
        <v>61384.847261735165</v>
      </c>
      <c r="T54" s="29">
        <f t="shared" si="13"/>
        <v>62284.632209067058</v>
      </c>
      <c r="U54" s="29">
        <f t="shared" si="13"/>
        <v>63196.559628649578</v>
      </c>
      <c r="W54" s="954">
        <f>SUM(B54:U54)</f>
        <v>1021517.2371516638</v>
      </c>
    </row>
    <row r="55" spans="1:51">
      <c r="A55" s="15" t="s">
        <v>481</v>
      </c>
      <c r="B55" s="29">
        <f>B26</f>
        <v>572</v>
      </c>
      <c r="C55" s="29">
        <f t="shared" ref="C55:U55" si="14">C26</f>
        <v>583.4</v>
      </c>
      <c r="D55" s="29">
        <f t="shared" si="14"/>
        <v>595.1</v>
      </c>
      <c r="E55" s="29">
        <f t="shared" si="14"/>
        <v>607</v>
      </c>
      <c r="F55" s="29">
        <f t="shared" si="14"/>
        <v>619.1</v>
      </c>
      <c r="G55" s="29">
        <f t="shared" si="14"/>
        <v>631.5</v>
      </c>
      <c r="H55" s="29">
        <f t="shared" si="14"/>
        <v>631.5</v>
      </c>
      <c r="I55" s="29">
        <f t="shared" si="14"/>
        <v>631.5</v>
      </c>
      <c r="J55" s="29">
        <f t="shared" si="14"/>
        <v>631.5</v>
      </c>
      <c r="K55" s="29">
        <f t="shared" si="14"/>
        <v>631.5</v>
      </c>
      <c r="L55" s="29">
        <f t="shared" si="14"/>
        <v>631.5</v>
      </c>
      <c r="M55" s="29">
        <f t="shared" si="14"/>
        <v>631.5</v>
      </c>
      <c r="N55" s="29">
        <f t="shared" si="14"/>
        <v>631.5</v>
      </c>
      <c r="O55" s="29">
        <f t="shared" si="14"/>
        <v>631.5</v>
      </c>
      <c r="P55" s="29">
        <f t="shared" si="14"/>
        <v>631.5</v>
      </c>
      <c r="Q55" s="29">
        <f t="shared" si="14"/>
        <v>631.5</v>
      </c>
      <c r="R55" s="29">
        <f t="shared" si="14"/>
        <v>631.5</v>
      </c>
      <c r="S55" s="29">
        <f t="shared" si="14"/>
        <v>631.5</v>
      </c>
      <c r="T55" s="29">
        <f t="shared" si="14"/>
        <v>631.5</v>
      </c>
      <c r="U55" s="29">
        <f t="shared" si="14"/>
        <v>631.5</v>
      </c>
      <c r="W55" s="954">
        <f>SUM(B55:U55)</f>
        <v>12449.1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</row>
    <row r="56" spans="1:51">
      <c r="A56" s="15" t="s">
        <v>482</v>
      </c>
      <c r="B56" s="1049">
        <v>-333.7</v>
      </c>
      <c r="C56" s="29">
        <f>-B55</f>
        <v>-572</v>
      </c>
      <c r="D56" s="29">
        <f t="shared" ref="D56:U56" si="15">-C55</f>
        <v>-583.4</v>
      </c>
      <c r="E56" s="29">
        <f t="shared" si="15"/>
        <v>-595.1</v>
      </c>
      <c r="F56" s="29">
        <f t="shared" si="15"/>
        <v>-607</v>
      </c>
      <c r="G56" s="29">
        <f t="shared" si="15"/>
        <v>-619.1</v>
      </c>
      <c r="H56" s="29">
        <f t="shared" si="15"/>
        <v>-631.5</v>
      </c>
      <c r="I56" s="29">
        <f t="shared" si="15"/>
        <v>-631.5</v>
      </c>
      <c r="J56" s="29">
        <f t="shared" si="15"/>
        <v>-631.5</v>
      </c>
      <c r="K56" s="29">
        <f t="shared" si="15"/>
        <v>-631.5</v>
      </c>
      <c r="L56" s="29">
        <f t="shared" si="15"/>
        <v>-631.5</v>
      </c>
      <c r="M56" s="29">
        <f t="shared" si="15"/>
        <v>-631.5</v>
      </c>
      <c r="N56" s="29">
        <f t="shared" si="15"/>
        <v>-631.5</v>
      </c>
      <c r="O56" s="29">
        <f t="shared" si="15"/>
        <v>-631.5</v>
      </c>
      <c r="P56" s="29">
        <f t="shared" si="15"/>
        <v>-631.5</v>
      </c>
      <c r="Q56" s="29">
        <f t="shared" si="15"/>
        <v>-631.5</v>
      </c>
      <c r="R56" s="29">
        <f t="shared" si="15"/>
        <v>-631.5</v>
      </c>
      <c r="S56" s="29">
        <f t="shared" si="15"/>
        <v>-631.5</v>
      </c>
      <c r="T56" s="29">
        <f t="shared" si="15"/>
        <v>-631.5</v>
      </c>
      <c r="U56" s="29">
        <f t="shared" si="15"/>
        <v>-631.5</v>
      </c>
      <c r="W56" s="954">
        <f>SUM(B56:U56)</f>
        <v>-12151.3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</row>
    <row r="57" spans="1:51" outlineLevel="1">
      <c r="A57" s="15" t="s">
        <v>33</v>
      </c>
      <c r="B57" s="1050">
        <f>-ENA_Debt!B77*ENA_Allocation!$E$14</f>
        <v>-21358.091406606876</v>
      </c>
      <c r="C57" s="1050">
        <f>-ENA_Debt!C77*ENA_Allocation!$E$14</f>
        <v>-21340.616054483311</v>
      </c>
      <c r="D57" s="1050">
        <f>-ENA_Debt!D77*ENA_Allocation!$E$14</f>
        <v>-21240.785122748894</v>
      </c>
      <c r="E57" s="1050">
        <f>-ENA_Debt!E77*ENA_Allocation!$E$14</f>
        <v>-20937.835112185501</v>
      </c>
      <c r="F57" s="1050">
        <f>-ENA_Debt!F77*ENA_Allocation!$E$14</f>
        <v>-21911.554204271684</v>
      </c>
      <c r="G57" s="1050">
        <f>-ENA_Debt!G77*ENA_Allocation!$E$14</f>
        <v>-22037.891311794971</v>
      </c>
      <c r="H57" s="1050">
        <f>-ENA_Debt!H77*ENA_Allocation!$E$14</f>
        <v>-21899.509877626344</v>
      </c>
      <c r="I57" s="1050">
        <f>-ENA_Debt!I77*ENA_Allocation!$E$14</f>
        <v>-22103.719771986191</v>
      </c>
      <c r="J57" s="1050">
        <f>-ENA_Debt!J77*ENA_Allocation!$E$14</f>
        <v>-21942.905897069351</v>
      </c>
      <c r="K57" s="1050">
        <f>-ENA_Debt!K77*ENA_Allocation!$E$14</f>
        <v>-22195.884327513748</v>
      </c>
      <c r="L57" s="1050">
        <f>-ENA_Debt!L77*ENA_Allocation!$E$14</f>
        <v>-21989.952012439593</v>
      </c>
      <c r="M57" s="1050">
        <f>-ENA_Debt!M77*ENA_Allocation!$E$14</f>
        <v>-20832.168764197348</v>
      </c>
      <c r="N57" s="1050">
        <f>-ENA_Debt!N77*ENA_Allocation!$E$14</f>
        <v>-19616.845817811376</v>
      </c>
      <c r="O57" s="1050">
        <f>-ENA_Debt!O77*ENA_Allocation!$E$14</f>
        <v>-18430.292720497269</v>
      </c>
      <c r="P57" s="1050">
        <f>-ENA_Debt!P77*ENA_Allocation!$E$14</f>
        <v>-17758.859823377945</v>
      </c>
      <c r="Q57" s="1050">
        <f>-ENA_Debt!Q77*ENA_Allocation!$E$14</f>
        <v>-17043.703257330191</v>
      </c>
      <c r="R57" s="1050">
        <f>-ENA_Debt!R77*ENA_Allocation!$E$14</f>
        <v>-15722.890864347395</v>
      </c>
      <c r="S57" s="1050">
        <f>-ENA_Debt!S77*ENA_Allocation!$E$14</f>
        <v>-12357.201656522748</v>
      </c>
      <c r="T57" s="1050">
        <f>-ENA_Debt!T77*ENA_Allocation!$E$14</f>
        <v>-11289.303868940051</v>
      </c>
      <c r="U57" s="1050">
        <f>-ENA_Debt!U77*ENA_Allocation!$E$14</f>
        <v>-9163.858705577557</v>
      </c>
      <c r="W57" s="954">
        <f>SUM(B57:U57)</f>
        <v>-381173.87057732831</v>
      </c>
    </row>
    <row r="58" spans="1:51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1" s="21" customFormat="1" outlineLevel="1">
      <c r="A59" s="14" t="s">
        <v>34</v>
      </c>
      <c r="B59" s="95">
        <f t="shared" ref="B59:U59" si="16">SUM(B54:B57)</f>
        <v>5701.0296008264195</v>
      </c>
      <c r="C59" s="95">
        <f t="shared" si="16"/>
        <v>5495.6607555009177</v>
      </c>
      <c r="D59" s="95">
        <f t="shared" si="16"/>
        <v>5524.3556636354697</v>
      </c>
      <c r="E59" s="95">
        <f t="shared" si="16"/>
        <v>25231.32002058049</v>
      </c>
      <c r="F59" s="95">
        <f t="shared" si="16"/>
        <v>26489.071536096781</v>
      </c>
      <c r="G59" s="95">
        <f t="shared" si="16"/>
        <v>27315.479866029542</v>
      </c>
      <c r="H59" s="95">
        <f t="shared" si="16"/>
        <v>28425.134129489667</v>
      </c>
      <c r="I59" s="95">
        <f t="shared" si="16"/>
        <v>29223.622457581452</v>
      </c>
      <c r="J59" s="95">
        <f t="shared" si="16"/>
        <v>30406.519363450956</v>
      </c>
      <c r="K59" s="95">
        <f t="shared" si="16"/>
        <v>31195.374710060132</v>
      </c>
      <c r="L59" s="95">
        <f t="shared" si="16"/>
        <v>32434.990230084135</v>
      </c>
      <c r="M59" s="95">
        <f t="shared" si="16"/>
        <v>34645.833420718431</v>
      </c>
      <c r="N59" s="95">
        <f t="shared" si="16"/>
        <v>36933.945589114883</v>
      </c>
      <c r="O59" s="95">
        <f t="shared" si="16"/>
        <v>39213.375808287325</v>
      </c>
      <c r="P59" s="95">
        <f t="shared" si="16"/>
        <v>40998.138519286775</v>
      </c>
      <c r="Q59" s="95">
        <f t="shared" si="16"/>
        <v>42577.461321251983</v>
      </c>
      <c r="R59" s="95">
        <f t="shared" si="16"/>
        <v>44774.178713928646</v>
      </c>
      <c r="S59" s="95">
        <f t="shared" si="16"/>
        <v>49027.645605212419</v>
      </c>
      <c r="T59" s="95">
        <f t="shared" si="16"/>
        <v>50995.328340127009</v>
      </c>
      <c r="U59" s="95">
        <f t="shared" si="16"/>
        <v>54032.700923072021</v>
      </c>
      <c r="W59" s="954">
        <f>SUM(B59:U59)</f>
        <v>640641.16657433542</v>
      </c>
    </row>
    <row r="60" spans="1:51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1" ht="15" outlineLevel="1">
      <c r="A61" s="15" t="s">
        <v>511</v>
      </c>
      <c r="B61" s="100">
        <f>-B97</f>
        <v>0</v>
      </c>
      <c r="C61" s="100">
        <f t="shared" ref="C61:U61" si="17">-C97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-766.16517024765517</v>
      </c>
      <c r="J61" s="100">
        <f t="shared" si="17"/>
        <v>-1394.7203972627619</v>
      </c>
      <c r="K61" s="100">
        <f t="shared" si="17"/>
        <v>-1539.6126678909056</v>
      </c>
      <c r="L61" s="100">
        <f t="shared" si="17"/>
        <v>-1692.4416142999187</v>
      </c>
      <c r="M61" s="100">
        <f t="shared" si="17"/>
        <v>-1848.8113808501496</v>
      </c>
      <c r="N61" s="100">
        <f t="shared" si="17"/>
        <v>-2015.466609078326</v>
      </c>
      <c r="O61" s="100">
        <f t="shared" si="17"/>
        <v>-2176.7609242775966</v>
      </c>
      <c r="P61" s="100">
        <f t="shared" si="17"/>
        <v>-2345.3349761043551</v>
      </c>
      <c r="Q61" s="100">
        <f t="shared" si="17"/>
        <v>-3195.5781564320682</v>
      </c>
      <c r="R61" s="100">
        <f t="shared" si="17"/>
        <v>-4052.0909537331786</v>
      </c>
      <c r="S61" s="100">
        <f t="shared" si="17"/>
        <v>-4205.2526179686074</v>
      </c>
      <c r="T61" s="100">
        <f t="shared" si="17"/>
        <v>-4346.5322383354751</v>
      </c>
      <c r="U61" s="100">
        <f t="shared" si="17"/>
        <v>-4488.4969605115548</v>
      </c>
      <c r="W61" s="954">
        <f>SUM(B61:U61)</f>
        <v>-34067.264666992553</v>
      </c>
    </row>
    <row r="62" spans="1:51" outlineLevel="1">
      <c r="A62" s="15" t="s">
        <v>512</v>
      </c>
      <c r="B62" s="91">
        <f>-ENA_Allocation!$E$14*ENA_Tax!B24</f>
        <v>0</v>
      </c>
      <c r="C62" s="91">
        <f>-ENA_Allocation!$E$14*ENA_Tax!C24</f>
        <v>0</v>
      </c>
      <c r="D62" s="91">
        <f>-ENA_Allocation!$E$14*ENA_Tax!D24</f>
        <v>0</v>
      </c>
      <c r="E62" s="91">
        <f>-ENA_Allocation!$E$14*ENA_Tax!E24</f>
        <v>0</v>
      </c>
      <c r="F62" s="91">
        <f>-ENA_Allocation!$E$14*ENA_Tax!F24</f>
        <v>0</v>
      </c>
      <c r="G62" s="91">
        <f>-ENA_Allocation!$E$14*ENA_Tax!G24</f>
        <v>0</v>
      </c>
      <c r="H62" s="91">
        <f>-ENA_Allocation!$E$14*ENA_Tax!H24</f>
        <v>-4784.7984407661606</v>
      </c>
      <c r="I62" s="91">
        <f>-ENA_Allocation!$E$14*ENA_Tax!I24</f>
        <v>-6476.9645220107031</v>
      </c>
      <c r="J62" s="91">
        <f>-ENA_Allocation!$E$14*ENA_Tax!J24</f>
        <v>-6977.4496411546788</v>
      </c>
      <c r="K62" s="91">
        <f>-ENA_Allocation!$E$14*ENA_Tax!K24</f>
        <v>-7496.0452874474795</v>
      </c>
      <c r="L62" s="91">
        <f>-ENA_Allocation!$E$14*ENA_Tax!L24</f>
        <v>-8178.3579373815774</v>
      </c>
      <c r="M62" s="91">
        <f>-ENA_Allocation!$E$14*ENA_Tax!M24</f>
        <v>-8891.9611004786493</v>
      </c>
      <c r="N62" s="91">
        <f>-ENA_Allocation!$E$14*ENA_Tax!N24</f>
        <v>-9612.033188444364</v>
      </c>
      <c r="O62" s="91">
        <f>-ENA_Allocation!$E$14*ENA_Tax!O24</f>
        <v>-10315.366430687171</v>
      </c>
      <c r="P62" s="91">
        <f>-ENA_Allocation!$E$14*ENA_Tax!P24</f>
        <v>-11011.928805809484</v>
      </c>
      <c r="Q62" s="91">
        <f>-ENA_Allocation!$E$14*ENA_Tax!Q24</f>
        <v>-14573.512052757751</v>
      </c>
      <c r="R62" s="91">
        <f>-ENA_Allocation!$E$14*ENA_Tax!R24</f>
        <v>-18119.091593451085</v>
      </c>
      <c r="S62" s="91">
        <f>-ENA_Allocation!$E$14*ENA_Tax!S24</f>
        <v>-18793.917818265785</v>
      </c>
      <c r="T62" s="91">
        <f>-ENA_Allocation!$E$14*ENA_Tax!T24</f>
        <v>-19413.624877054994</v>
      </c>
      <c r="U62" s="91">
        <f>-ENA_Allocation!$E$14*ENA_Tax!U24</f>
        <v>-20036.271266373886</v>
      </c>
      <c r="W62" s="954">
        <f>SUM(B62:U62)</f>
        <v>-164681.3229620838</v>
      </c>
    </row>
    <row r="63" spans="1:51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1" s="240" customFormat="1" ht="15.75" outlineLevel="1">
      <c r="A64" s="245" t="s">
        <v>35</v>
      </c>
      <c r="B64" s="246">
        <f t="shared" ref="B64:U64" si="18">B59+B62+B61</f>
        <v>5701.0296008264195</v>
      </c>
      <c r="C64" s="246">
        <f t="shared" si="18"/>
        <v>5495.6607555009177</v>
      </c>
      <c r="D64" s="246">
        <f t="shared" si="18"/>
        <v>5524.3556636354697</v>
      </c>
      <c r="E64" s="246">
        <f t="shared" si="18"/>
        <v>25231.32002058049</v>
      </c>
      <c r="F64" s="246">
        <f t="shared" si="18"/>
        <v>26489.071536096781</v>
      </c>
      <c r="G64" s="246">
        <f t="shared" si="18"/>
        <v>27315.479866029542</v>
      </c>
      <c r="H64" s="246">
        <f t="shared" si="18"/>
        <v>23640.335688723506</v>
      </c>
      <c r="I64" s="246">
        <f t="shared" si="18"/>
        <v>21980.492765323095</v>
      </c>
      <c r="J64" s="246">
        <f t="shared" si="18"/>
        <v>22034.349325033516</v>
      </c>
      <c r="K64" s="246">
        <f t="shared" si="18"/>
        <v>22159.716754721747</v>
      </c>
      <c r="L64" s="246">
        <f t="shared" si="18"/>
        <v>22564.19067840264</v>
      </c>
      <c r="M64" s="246">
        <f t="shared" si="18"/>
        <v>23905.06093938963</v>
      </c>
      <c r="N64" s="246">
        <f t="shared" si="18"/>
        <v>25306.445791592192</v>
      </c>
      <c r="O64" s="246">
        <f t="shared" si="18"/>
        <v>26721.248453322554</v>
      </c>
      <c r="P64" s="246">
        <f t="shared" si="18"/>
        <v>27640.874737372938</v>
      </c>
      <c r="Q64" s="246">
        <f t="shared" si="18"/>
        <v>24808.371112062163</v>
      </c>
      <c r="R64" s="246">
        <f t="shared" si="18"/>
        <v>22602.996166744382</v>
      </c>
      <c r="S64" s="246">
        <f t="shared" si="18"/>
        <v>26028.475168978028</v>
      </c>
      <c r="T64" s="246">
        <f t="shared" si="18"/>
        <v>27235.171224736539</v>
      </c>
      <c r="U64" s="246">
        <f t="shared" si="18"/>
        <v>29507.932696186581</v>
      </c>
      <c r="W64" s="954">
        <f>SUM(B64:U64)</f>
        <v>441892.57894525916</v>
      </c>
    </row>
    <row r="65" spans="1:252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52" outlineLevel="1">
      <c r="A66" s="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2" outlineLevel="1">
      <c r="A67" s="32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2" ht="18.75" outlineLevel="1">
      <c r="A68" s="19" t="s">
        <v>550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2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2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2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2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2"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252" outlineLevel="1">
      <c r="A74" s="633" t="s">
        <v>514</v>
      </c>
      <c r="B74" s="313"/>
      <c r="C74" s="313"/>
      <c r="D74" s="313"/>
      <c r="E74" s="313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</row>
    <row r="75" spans="1:252" s="1084" customFormat="1" ht="12" customHeight="1">
      <c r="A75" s="1099"/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0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</row>
    <row r="76" spans="1:252" s="1084" customFormat="1" ht="12" customHeight="1">
      <c r="A76" s="598" t="s">
        <v>516</v>
      </c>
      <c r="B76" s="1085">
        <f>ENA_Allocation!$C$14*'ENA_Summary Output'!$C$8</f>
        <v>145091.26257184587</v>
      </c>
      <c r="C76" s="1085">
        <f>ENA_Allocation!$C$14*'ENA_Summary Output'!$C$8</f>
        <v>145091.26257184587</v>
      </c>
      <c r="D76" s="1085">
        <f>ENA_Allocation!$C$14*'ENA_Summary Output'!$C$8</f>
        <v>145091.26257184587</v>
      </c>
      <c r="E76" s="1085">
        <f>ENA_Allocation!$C$14*'ENA_Summary Output'!$C$8</f>
        <v>145091.26257184587</v>
      </c>
      <c r="F76" s="1085">
        <f>ENA_Allocation!$C$14*'ENA_Summary Output'!$C$8</f>
        <v>145091.26257184587</v>
      </c>
      <c r="G76" s="1085">
        <f>ENA_Allocation!$C$14*'ENA_Summary Output'!$C$8</f>
        <v>145091.26257184587</v>
      </c>
      <c r="H76" s="1085">
        <f>ENA_Allocation!$C$14*'ENA_Summary Output'!$C$8</f>
        <v>145091.26257184587</v>
      </c>
      <c r="I76" s="1085">
        <f>ENA_Allocation!$C$14*'ENA_Summary Output'!$C$8</f>
        <v>145091.26257184587</v>
      </c>
      <c r="J76" s="1085">
        <f>ENA_Allocation!$C$14*'ENA_Summary Output'!$C$8</f>
        <v>145091.26257184587</v>
      </c>
      <c r="K76" s="1085">
        <f>ENA_Allocation!$C$14*'ENA_Summary Output'!$C$8</f>
        <v>145091.26257184587</v>
      </c>
      <c r="L76" s="1085">
        <f>ENA_Allocation!$C$14*'ENA_Summary Output'!$C$8</f>
        <v>145091.26257184587</v>
      </c>
      <c r="M76" s="1085">
        <f>ENA_Allocation!$C$14*'ENA_Summary Output'!$C$8</f>
        <v>145091.26257184587</v>
      </c>
      <c r="N76" s="1085">
        <f>ENA_Allocation!$C$14*'ENA_Summary Output'!$C$8</f>
        <v>145091.26257184587</v>
      </c>
      <c r="O76" s="1085">
        <f>ENA_Allocation!$C$14*'ENA_Summary Output'!$C$8</f>
        <v>145091.26257184587</v>
      </c>
      <c r="P76" s="1085">
        <f>ENA_Allocation!$C$14*'ENA_Summary Output'!$C$8</f>
        <v>145091.26257184587</v>
      </c>
      <c r="Q76" s="1085">
        <f>ENA_Allocation!$C$14*'ENA_Summary Output'!$C$8</f>
        <v>145091.26257184587</v>
      </c>
      <c r="R76" s="1085">
        <f>ENA_Allocation!$C$14*'ENA_Summary Output'!$C$8</f>
        <v>145091.26257184587</v>
      </c>
      <c r="S76" s="1085">
        <f>ENA_Allocation!$C$14*'ENA_Summary Output'!$C$8</f>
        <v>145091.26257184587</v>
      </c>
      <c r="T76" s="1085">
        <f>ENA_Allocation!$C$14*'ENA_Summary Output'!$C$8</f>
        <v>145091.26257184587</v>
      </c>
      <c r="U76" s="1085">
        <f>ENA_Allocation!$C$14*'ENA_Summary Output'!$C$8</f>
        <v>145091.26257184587</v>
      </c>
      <c r="V76" s="1085"/>
      <c r="W76" s="1085"/>
      <c r="X76" s="1085"/>
      <c r="Y76" s="1085"/>
      <c r="Z76" s="1080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</row>
    <row r="77" spans="1:252" s="1087" customFormat="1" ht="12" customHeight="1">
      <c r="A77" s="598" t="s">
        <v>521</v>
      </c>
      <c r="B77" s="1086">
        <f>ENA_Assumptions!I42</f>
        <v>1.5E-3</v>
      </c>
      <c r="C77" s="1086">
        <f>ENA_Assumptions!$I$43</f>
        <v>1E-3</v>
      </c>
      <c r="D77" s="1086">
        <f>ENA_Assumptions!$I$43</f>
        <v>1E-3</v>
      </c>
      <c r="E77" s="1086">
        <f>ENA_Assumptions!$I$43</f>
        <v>1E-3</v>
      </c>
      <c r="F77" s="1086">
        <f>ENA_Assumptions!$I$43</f>
        <v>1E-3</v>
      </c>
      <c r="G77" s="1086">
        <f>ENA_Assumptions!$I$43</f>
        <v>1E-3</v>
      </c>
      <c r="H77" s="1086">
        <f>ENA_Assumptions!$I$43</f>
        <v>1E-3</v>
      </c>
      <c r="I77" s="1086">
        <f>ENA_Assumptions!$I$43</f>
        <v>1E-3</v>
      </c>
      <c r="J77" s="1086">
        <f>ENA_Assumptions!$I$43</f>
        <v>1E-3</v>
      </c>
      <c r="K77" s="1086">
        <f>ENA_Assumptions!$I$43</f>
        <v>1E-3</v>
      </c>
      <c r="L77" s="1086">
        <f>ENA_Assumptions!$I$43</f>
        <v>1E-3</v>
      </c>
      <c r="M77" s="1086">
        <f>ENA_Assumptions!$I$43</f>
        <v>1E-3</v>
      </c>
      <c r="N77" s="1086">
        <f>ENA_Assumptions!$I$43</f>
        <v>1E-3</v>
      </c>
      <c r="O77" s="1086">
        <f>ENA_Assumptions!$I$43</f>
        <v>1E-3</v>
      </c>
      <c r="P77" s="1086">
        <f>ENA_Assumptions!$I$43</f>
        <v>1E-3</v>
      </c>
      <c r="Q77" s="1086">
        <f>ENA_Assumptions!$I$43</f>
        <v>1E-3</v>
      </c>
      <c r="R77" s="1086">
        <f>ENA_Assumptions!$I$43</f>
        <v>1E-3</v>
      </c>
      <c r="S77" s="1086">
        <f>ENA_Assumptions!$I$43</f>
        <v>1E-3</v>
      </c>
      <c r="T77" s="1086">
        <f>ENA_Assumptions!$I$43</f>
        <v>1E-3</v>
      </c>
      <c r="U77" s="1086">
        <f>ENA_Assumptions!$I$43</f>
        <v>1E-3</v>
      </c>
      <c r="V77" s="1086"/>
      <c r="W77" s="1086"/>
      <c r="X77" s="1086"/>
      <c r="Y77" s="1086"/>
      <c r="Z77" s="1082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</row>
    <row r="78" spans="1:252" s="1087" customFormat="1" ht="12" customHeight="1">
      <c r="A78" s="314" t="s">
        <v>522</v>
      </c>
      <c r="B78" s="1088">
        <f>B76*B77</f>
        <v>217.63689385776883</v>
      </c>
      <c r="C78" s="1088">
        <f t="shared" ref="C78:U78" si="19">C76*C77</f>
        <v>145.09126257184587</v>
      </c>
      <c r="D78" s="1088">
        <f t="shared" si="19"/>
        <v>145.09126257184587</v>
      </c>
      <c r="E78" s="1088">
        <f t="shared" si="19"/>
        <v>145.09126257184587</v>
      </c>
      <c r="F78" s="1088">
        <f t="shared" si="19"/>
        <v>145.09126257184587</v>
      </c>
      <c r="G78" s="1088">
        <f t="shared" si="19"/>
        <v>145.09126257184587</v>
      </c>
      <c r="H78" s="1088">
        <f t="shared" si="19"/>
        <v>145.09126257184587</v>
      </c>
      <c r="I78" s="1088">
        <f t="shared" si="19"/>
        <v>145.09126257184587</v>
      </c>
      <c r="J78" s="1088">
        <f t="shared" si="19"/>
        <v>145.09126257184587</v>
      </c>
      <c r="K78" s="1088">
        <f t="shared" si="19"/>
        <v>145.09126257184587</v>
      </c>
      <c r="L78" s="1088">
        <f t="shared" si="19"/>
        <v>145.09126257184587</v>
      </c>
      <c r="M78" s="1088">
        <f t="shared" si="19"/>
        <v>145.09126257184587</v>
      </c>
      <c r="N78" s="1088">
        <f t="shared" si="19"/>
        <v>145.09126257184587</v>
      </c>
      <c r="O78" s="1088">
        <f t="shared" si="19"/>
        <v>145.09126257184587</v>
      </c>
      <c r="P78" s="1088">
        <f t="shared" si="19"/>
        <v>145.09126257184587</v>
      </c>
      <c r="Q78" s="1088">
        <f t="shared" si="19"/>
        <v>145.09126257184587</v>
      </c>
      <c r="R78" s="1088">
        <f t="shared" si="19"/>
        <v>145.09126257184587</v>
      </c>
      <c r="S78" s="1088">
        <f t="shared" si="19"/>
        <v>145.09126257184587</v>
      </c>
      <c r="T78" s="1088">
        <f t="shared" si="19"/>
        <v>145.09126257184587</v>
      </c>
      <c r="U78" s="1088">
        <f t="shared" si="19"/>
        <v>145.09126257184587</v>
      </c>
      <c r="V78" s="1088"/>
      <c r="W78" s="1088"/>
      <c r="X78" s="1088"/>
      <c r="Y78" s="1088"/>
      <c r="Z78" s="1082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</row>
    <row r="79" spans="1:252" s="1087" customFormat="1" ht="12" customHeight="1">
      <c r="A79" s="1100"/>
      <c r="B79" s="1100"/>
      <c r="C79" s="1100"/>
      <c r="D79" s="1101"/>
      <c r="E79" s="1101"/>
      <c r="F79" s="1101"/>
      <c r="G79" s="1101"/>
      <c r="H79" s="1101"/>
      <c r="I79" s="1101"/>
      <c r="J79" s="1101"/>
      <c r="K79" s="1101"/>
      <c r="L79" s="1101"/>
      <c r="M79" s="1101"/>
      <c r="N79" s="1101"/>
      <c r="O79" s="1101"/>
      <c r="P79" s="1101"/>
      <c r="Q79" s="1101"/>
      <c r="R79" s="1101"/>
      <c r="S79" s="1101"/>
      <c r="T79" s="1101"/>
      <c r="U79" s="1101"/>
      <c r="V79" s="1101"/>
      <c r="W79" s="1101"/>
      <c r="X79" s="1101"/>
      <c r="Y79" s="1101"/>
      <c r="Z79" s="1082"/>
      <c r="AA79" s="1083"/>
      <c r="AB79" s="1083"/>
      <c r="AC79" s="1083"/>
      <c r="AD79" s="1083"/>
      <c r="AE79" s="1083"/>
      <c r="AF79" s="1083"/>
      <c r="AG79" s="1083"/>
      <c r="AH79" s="1083"/>
      <c r="AI79" s="1083"/>
      <c r="AJ79" s="1083"/>
      <c r="AK79" s="1083"/>
      <c r="AL79" s="1083"/>
      <c r="AM79" s="1083"/>
      <c r="AN79" s="1083"/>
      <c r="AO79" s="1083"/>
      <c r="AP79" s="1083"/>
      <c r="AQ79" s="1083"/>
      <c r="AR79" s="1083"/>
      <c r="AS79" s="1083"/>
      <c r="AT79" s="1083"/>
      <c r="AU79" s="1083"/>
      <c r="AV79" s="1083"/>
      <c r="AW79" s="1083"/>
      <c r="AX79" s="1083"/>
      <c r="AY79" s="1083"/>
      <c r="AZ79" s="1083"/>
      <c r="BA79" s="1083"/>
      <c r="BB79" s="1083"/>
      <c r="BC79" s="1083"/>
      <c r="BD79" s="1083"/>
      <c r="BE79" s="1083"/>
      <c r="BF79" s="1083"/>
      <c r="BG79" s="1083"/>
      <c r="BH79" s="1083"/>
      <c r="BI79" s="1083"/>
      <c r="BJ79" s="1083"/>
      <c r="BK79" s="1083"/>
      <c r="BL79" s="1083"/>
      <c r="BM79" s="1083"/>
      <c r="BN79" s="1083"/>
      <c r="BO79" s="1083"/>
      <c r="BP79" s="1083"/>
      <c r="BQ79" s="1083"/>
      <c r="BR79" s="1083"/>
      <c r="BS79" s="1083"/>
      <c r="BT79" s="1083"/>
      <c r="BU79" s="1083"/>
      <c r="BV79" s="1083"/>
      <c r="BW79" s="1083"/>
      <c r="BX79" s="1083"/>
      <c r="BY79" s="1083"/>
      <c r="BZ79" s="1083"/>
      <c r="CA79" s="1083"/>
      <c r="CB79" s="1083"/>
      <c r="CC79" s="1083"/>
      <c r="CD79" s="1083"/>
      <c r="CE79" s="1083"/>
      <c r="CF79" s="1083"/>
      <c r="CG79" s="1083"/>
      <c r="CH79" s="1083"/>
      <c r="CI79" s="1083"/>
      <c r="CJ79" s="1083"/>
      <c r="CK79" s="1083"/>
      <c r="CL79" s="1083"/>
      <c r="CM79" s="1083"/>
      <c r="CN79" s="1083"/>
      <c r="CO79" s="1083"/>
      <c r="CP79" s="1083"/>
      <c r="CQ79" s="1083"/>
      <c r="CR79" s="1083"/>
      <c r="CS79" s="1083"/>
      <c r="CT79" s="1083"/>
      <c r="CU79" s="1083"/>
      <c r="CV79" s="1083"/>
      <c r="CW79" s="1083"/>
      <c r="CX79" s="1083"/>
      <c r="CY79" s="1083"/>
      <c r="CZ79" s="1083"/>
      <c r="DA79" s="1083"/>
      <c r="DB79" s="1083"/>
      <c r="DC79" s="1083"/>
      <c r="DD79" s="1083"/>
      <c r="DE79" s="1083"/>
      <c r="DF79" s="1083"/>
      <c r="DG79" s="1083"/>
      <c r="DH79" s="1083"/>
      <c r="DI79" s="1083"/>
      <c r="DJ79" s="1083"/>
      <c r="DK79" s="1083"/>
      <c r="DL79" s="1083"/>
      <c r="DM79" s="1083"/>
      <c r="DN79" s="1083"/>
      <c r="DO79" s="1083"/>
      <c r="DP79" s="1083"/>
      <c r="DQ79" s="1083"/>
      <c r="DR79" s="1083"/>
      <c r="DS79" s="1083"/>
      <c r="DT79" s="1083"/>
      <c r="DU79" s="1083"/>
      <c r="DV79" s="1083"/>
      <c r="DW79" s="1083"/>
      <c r="DX79" s="1083"/>
      <c r="DY79" s="1083"/>
      <c r="DZ79" s="1083"/>
      <c r="EA79" s="1083"/>
      <c r="EB79" s="1083"/>
      <c r="EC79" s="1083"/>
      <c r="ED79" s="1083"/>
      <c r="EE79" s="1083"/>
      <c r="EF79" s="1083"/>
      <c r="EG79" s="1083"/>
      <c r="EH79" s="1083"/>
      <c r="EI79" s="1083"/>
      <c r="EJ79" s="1083"/>
      <c r="EK79" s="1083"/>
      <c r="EL79" s="1083"/>
      <c r="EM79" s="1083"/>
      <c r="EN79" s="1083"/>
      <c r="EO79" s="1083"/>
      <c r="EP79" s="1083"/>
      <c r="EQ79" s="1083"/>
      <c r="ER79" s="1083"/>
      <c r="ES79" s="1083"/>
      <c r="ET79" s="1083"/>
      <c r="EU79" s="1083"/>
      <c r="EV79" s="1083"/>
      <c r="EW79" s="1083"/>
      <c r="EX79" s="1083"/>
      <c r="EY79" s="1083"/>
      <c r="EZ79" s="1083"/>
      <c r="FA79" s="1083"/>
      <c r="FB79" s="1083"/>
      <c r="FC79" s="1083"/>
      <c r="FD79" s="1083"/>
      <c r="FE79" s="1083"/>
      <c r="FF79" s="1083"/>
      <c r="FG79" s="1083"/>
      <c r="FH79" s="1083"/>
      <c r="FI79" s="1083"/>
      <c r="FJ79" s="1083"/>
      <c r="FK79" s="1083"/>
      <c r="FL79" s="1083"/>
      <c r="FM79" s="1083"/>
      <c r="FN79" s="1083"/>
      <c r="FO79" s="1083"/>
      <c r="FP79" s="1083"/>
      <c r="FQ79" s="1083"/>
      <c r="FR79" s="1083"/>
      <c r="FS79" s="1083"/>
      <c r="FT79" s="1083"/>
      <c r="FU79" s="1083"/>
      <c r="FV79" s="1083"/>
      <c r="FW79" s="1083"/>
      <c r="FX79" s="1083"/>
      <c r="FY79" s="1083"/>
      <c r="FZ79" s="1083"/>
      <c r="GA79" s="1083"/>
      <c r="GB79" s="1083"/>
      <c r="GC79" s="1083"/>
      <c r="GD79" s="1083"/>
      <c r="GE79" s="1083"/>
      <c r="GF79" s="1083"/>
      <c r="GG79" s="1083"/>
      <c r="GH79" s="1083"/>
      <c r="GI79" s="1083"/>
      <c r="GJ79" s="1083"/>
      <c r="GK79" s="1083"/>
      <c r="GL79" s="1083"/>
      <c r="GM79" s="1083"/>
      <c r="GN79" s="1083"/>
      <c r="GO79" s="1083"/>
      <c r="GP79" s="1083"/>
      <c r="GQ79" s="1083"/>
      <c r="GR79" s="1083"/>
      <c r="GS79" s="1083"/>
      <c r="GT79" s="1083"/>
      <c r="GU79" s="1083"/>
      <c r="GV79" s="1083"/>
      <c r="GW79" s="1083"/>
      <c r="GX79" s="1083"/>
      <c r="GY79" s="1083"/>
      <c r="GZ79" s="1083"/>
      <c r="HA79" s="1083"/>
      <c r="HB79" s="1083"/>
      <c r="HC79" s="1083"/>
      <c r="HD79" s="1083"/>
      <c r="HE79" s="1083"/>
      <c r="HF79" s="1083"/>
      <c r="HG79" s="1083"/>
      <c r="HH79" s="1083"/>
      <c r="HI79" s="1083"/>
      <c r="HJ79" s="1083"/>
      <c r="HK79" s="1083"/>
      <c r="HL79" s="1083"/>
      <c r="HM79" s="1083"/>
      <c r="HN79" s="1083"/>
      <c r="HO79" s="1083"/>
      <c r="HP79" s="1083"/>
      <c r="HQ79" s="1083"/>
      <c r="HR79" s="1083"/>
      <c r="HS79" s="1083"/>
      <c r="HT79" s="1083"/>
      <c r="HU79" s="1083"/>
      <c r="HV79" s="1083"/>
      <c r="HW79" s="1083"/>
      <c r="HX79" s="1083"/>
      <c r="HY79" s="1083"/>
      <c r="HZ79" s="1083"/>
      <c r="IA79" s="1083"/>
      <c r="IB79" s="1083"/>
      <c r="IC79" s="1083"/>
      <c r="ID79" s="1083"/>
      <c r="IE79" s="1083"/>
      <c r="IF79" s="1083"/>
      <c r="IG79" s="1083"/>
      <c r="IH79" s="1083"/>
      <c r="II79" s="1083"/>
      <c r="IJ79" s="1083"/>
      <c r="IK79" s="1083"/>
      <c r="IL79" s="1083"/>
      <c r="IM79" s="1083"/>
      <c r="IN79" s="1083"/>
      <c r="IO79" s="1083"/>
      <c r="IP79" s="1083"/>
      <c r="IQ79" s="1083"/>
    </row>
    <row r="80" spans="1:252" s="1087" customFormat="1" ht="12" customHeight="1">
      <c r="A80" s="1100"/>
      <c r="B80" s="1100"/>
      <c r="C80" s="1100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1101"/>
      <c r="X80" s="1101"/>
      <c r="Y80" s="1101"/>
      <c r="Z80" s="1082"/>
      <c r="AA80" s="1083"/>
      <c r="AB80" s="1083"/>
      <c r="AC80" s="1083"/>
      <c r="AD80" s="1083"/>
      <c r="AE80" s="1083"/>
      <c r="AF80" s="1083"/>
      <c r="AG80" s="1083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</row>
    <row r="81" spans="1:251" s="1087" customFormat="1" ht="12" customHeight="1">
      <c r="A81" s="633" t="s">
        <v>344</v>
      </c>
      <c r="B81" s="1100"/>
      <c r="C81" s="1100"/>
      <c r="D81" s="1101"/>
      <c r="E81" s="1101"/>
      <c r="F81" s="1101"/>
      <c r="G81" s="1101"/>
      <c r="H81" s="1101"/>
      <c r="I81" s="1101"/>
      <c r="J81" s="1101"/>
      <c r="K81" s="1101"/>
      <c r="L81" s="1101"/>
      <c r="M81" s="1101"/>
      <c r="N81" s="1101"/>
      <c r="O81" s="1101"/>
      <c r="P81" s="1101"/>
      <c r="Q81" s="1101"/>
      <c r="R81" s="1101"/>
      <c r="S81" s="1101"/>
      <c r="T81" s="1101"/>
      <c r="U81" s="1101"/>
      <c r="V81" s="1101"/>
      <c r="W81" s="1101"/>
      <c r="X81" s="1101"/>
      <c r="Y81" s="1101"/>
      <c r="Z81" s="108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</row>
    <row r="82" spans="1:251" s="1087" customFormat="1" ht="12" customHeight="1">
      <c r="A82" s="633"/>
      <c r="B82" s="1100"/>
      <c r="C82" s="1100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1101"/>
      <c r="X82" s="1101"/>
      <c r="Y82" s="1101"/>
      <c r="Z82" s="1082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</row>
    <row r="83" spans="1:251" outlineLevel="1">
      <c r="A83" s="598" t="s">
        <v>523</v>
      </c>
      <c r="B83" s="316">
        <f>B39-B12</f>
        <v>-2096.9980725898677</v>
      </c>
      <c r="C83" s="316">
        <f>C39-C12</f>
        <v>-1824.3792242068375</v>
      </c>
      <c r="D83" s="316">
        <f>D39-D12</f>
        <v>-1516.9979897294725</v>
      </c>
      <c r="E83" s="316">
        <f t="shared" ref="E83:U83" si="20">E39</f>
        <v>18184.186640688687</v>
      </c>
      <c r="F83" s="316">
        <f t="shared" si="20"/>
        <v>20941.568646623939</v>
      </c>
      <c r="G83" s="316">
        <f t="shared" si="20"/>
        <v>22517.592221766172</v>
      </c>
      <c r="H83" s="316">
        <f t="shared" si="20"/>
        <v>24202.082919133409</v>
      </c>
      <c r="I83" s="316">
        <f t="shared" si="20"/>
        <v>25937.965303737041</v>
      </c>
      <c r="J83" s="316">
        <f t="shared" si="20"/>
        <v>27870.777454816023</v>
      </c>
      <c r="K83" s="316">
        <f t="shared" si="20"/>
        <v>29921.766941800081</v>
      </c>
      <c r="L83" s="316">
        <f t="shared" si="20"/>
        <v>32017.312511043834</v>
      </c>
      <c r="M83" s="316">
        <f t="shared" si="20"/>
        <v>34228.15570167813</v>
      </c>
      <c r="N83" s="316">
        <f t="shared" si="20"/>
        <v>36516.267870074575</v>
      </c>
      <c r="O83" s="316">
        <f t="shared" si="20"/>
        <v>38795.698089247031</v>
      </c>
      <c r="P83" s="316">
        <f t="shared" si="20"/>
        <v>41110.53482029782</v>
      </c>
      <c r="Q83" s="316">
        <f t="shared" si="20"/>
        <v>43219.931642314368</v>
      </c>
      <c r="R83" s="316">
        <f t="shared" si="20"/>
        <v>45416.649034991038</v>
      </c>
      <c r="S83" s="316">
        <f t="shared" si="20"/>
        <v>47549.819846069433</v>
      </c>
      <c r="T83" s="316">
        <f t="shared" si="20"/>
        <v>49517.502580984023</v>
      </c>
      <c r="U83" s="316">
        <f t="shared" si="20"/>
        <v>51494.727123826357</v>
      </c>
      <c r="W83" s="1054">
        <f>SUM(B83:U83)</f>
        <v>584004.16406256577</v>
      </c>
    </row>
    <row r="84" spans="1:251" outlineLevel="1">
      <c r="A84" s="598" t="s">
        <v>502</v>
      </c>
      <c r="B84" s="316">
        <f>B33</f>
        <v>11019.158120067157</v>
      </c>
      <c r="C84" s="316">
        <f t="shared" ref="C84:U84" si="21">C33</f>
        <v>11019.158120067157</v>
      </c>
      <c r="D84" s="316">
        <f t="shared" si="21"/>
        <v>11019.158120067157</v>
      </c>
      <c r="E84" s="316">
        <f t="shared" si="21"/>
        <v>11019.158120067157</v>
      </c>
      <c r="F84" s="316">
        <f t="shared" si="21"/>
        <v>11019.158120067157</v>
      </c>
      <c r="G84" s="316">
        <f t="shared" si="21"/>
        <v>11019.158120067157</v>
      </c>
      <c r="H84" s="316">
        <f t="shared" si="21"/>
        <v>11019.158120067157</v>
      </c>
      <c r="I84" s="316">
        <f t="shared" si="21"/>
        <v>11019.158120067157</v>
      </c>
      <c r="J84" s="316">
        <f t="shared" si="21"/>
        <v>11019.158120067157</v>
      </c>
      <c r="K84" s="316">
        <f t="shared" si="21"/>
        <v>11019.158120067157</v>
      </c>
      <c r="L84" s="316">
        <f t="shared" si="21"/>
        <v>11019.158120067157</v>
      </c>
      <c r="M84" s="316">
        <f t="shared" si="21"/>
        <v>11019.158120067157</v>
      </c>
      <c r="N84" s="316">
        <f t="shared" si="21"/>
        <v>11019.158120067157</v>
      </c>
      <c r="O84" s="316">
        <f t="shared" si="21"/>
        <v>11019.158120067157</v>
      </c>
      <c r="P84" s="316">
        <f t="shared" si="21"/>
        <v>11019.158120067157</v>
      </c>
      <c r="Q84" s="316">
        <f t="shared" si="21"/>
        <v>11019.158120067157</v>
      </c>
      <c r="R84" s="316">
        <f t="shared" si="21"/>
        <v>11019.158120067157</v>
      </c>
      <c r="S84" s="316">
        <f t="shared" si="21"/>
        <v>11019.158120067157</v>
      </c>
      <c r="T84" s="316">
        <f t="shared" si="21"/>
        <v>11019.158120067157</v>
      </c>
      <c r="U84" s="316">
        <f t="shared" si="21"/>
        <v>11019.158120067157</v>
      </c>
      <c r="W84" s="1054">
        <f>SUM(B84:U84)</f>
        <v>220383.16240134306</v>
      </c>
    </row>
    <row r="85" spans="1:251" ht="15" outlineLevel="1">
      <c r="A85" s="598" t="s">
        <v>352</v>
      </c>
      <c r="B85" s="1062">
        <f>-ENA_Depreciation!C99</f>
        <v>-16495.644410247987</v>
      </c>
      <c r="C85" s="1062">
        <f>-ENA_Depreciation!D99</f>
        <v>-31341.724379471176</v>
      </c>
      <c r="D85" s="1062">
        <f>-ENA_Depreciation!E99</f>
        <v>-28207.55194152406</v>
      </c>
      <c r="E85" s="1062">
        <f>-ENA_Depreciation!F99</f>
        <v>-25403.292391781899</v>
      </c>
      <c r="F85" s="1062">
        <f>-ENA_Depreciation!G99</f>
        <v>-22862.963152603712</v>
      </c>
      <c r="G85" s="1062">
        <f>-ENA_Depreciation!H99</f>
        <v>-20553.572935168992</v>
      </c>
      <c r="H85" s="1062">
        <f>-ENA_Depreciation!I99</f>
        <v>-19464.860404092626</v>
      </c>
      <c r="I85" s="1062">
        <f>-ENA_Depreciation!J99</f>
        <v>-19497.851692913122</v>
      </c>
      <c r="J85" s="1062">
        <f>-ENA_Depreciation!K99</f>
        <v>-19464.860404092626</v>
      </c>
      <c r="K85" s="1062">
        <f>-ENA_Depreciation!L99</f>
        <v>-19497.851692913122</v>
      </c>
      <c r="L85" s="1062">
        <f>-ENA_Depreciation!M99</f>
        <v>-19464.860404092626</v>
      </c>
      <c r="M85" s="1062">
        <f>-ENA_Depreciation!N99</f>
        <v>-19497.851692913122</v>
      </c>
      <c r="N85" s="1062">
        <f>-ENA_Depreciation!O99</f>
        <v>-19464.860404092626</v>
      </c>
      <c r="O85" s="1062">
        <f>-ENA_Depreciation!P99</f>
        <v>-19497.851692913122</v>
      </c>
      <c r="P85" s="1062">
        <f>-ENA_Depreciation!Q99</f>
        <v>-19464.860404092626</v>
      </c>
      <c r="Q85" s="1062">
        <f>-ENA_Depreciation!R99</f>
        <v>-9732.4302020463128</v>
      </c>
      <c r="R85" s="1062">
        <f>-ENA_Depreciation!S99</f>
        <v>0</v>
      </c>
      <c r="S85" s="1062">
        <f>-ENA_Depreciation!T99</f>
        <v>0</v>
      </c>
      <c r="T85" s="1062">
        <f>-ENA_Depreciation!U99</f>
        <v>0</v>
      </c>
      <c r="U85" s="1062">
        <f>-ENA_Depreciation!V99</f>
        <v>0</v>
      </c>
      <c r="W85" s="1063">
        <f>SUM(B85:U85)</f>
        <v>-329912.88820495975</v>
      </c>
    </row>
    <row r="86" spans="1:251" outlineLevel="1">
      <c r="A86" s="318" t="s">
        <v>524</v>
      </c>
      <c r="B86" s="296">
        <f t="shared" ref="B86:U86" si="22">SUM(B83:B85)</f>
        <v>-7573.4843627706978</v>
      </c>
      <c r="C86" s="296">
        <f t="shared" si="22"/>
        <v>-22146.945483610856</v>
      </c>
      <c r="D86" s="296">
        <f t="shared" si="22"/>
        <v>-18705.391811186375</v>
      </c>
      <c r="E86" s="296">
        <f t="shared" si="22"/>
        <v>3800.0523689739457</v>
      </c>
      <c r="F86" s="296">
        <f t="shared" si="22"/>
        <v>9097.7636140873838</v>
      </c>
      <c r="G86" s="296">
        <f t="shared" si="22"/>
        <v>12983.177406664337</v>
      </c>
      <c r="H86" s="296">
        <f t="shared" si="22"/>
        <v>15756.380635107944</v>
      </c>
      <c r="I86" s="296">
        <f t="shared" si="22"/>
        <v>17459.271730891072</v>
      </c>
      <c r="J86" s="296">
        <f t="shared" si="22"/>
        <v>19425.075170790555</v>
      </c>
      <c r="K86" s="296">
        <f t="shared" si="22"/>
        <v>21443.073368954116</v>
      </c>
      <c r="L86" s="296">
        <f t="shared" si="22"/>
        <v>23571.610227018366</v>
      </c>
      <c r="M86" s="296">
        <f t="shared" si="22"/>
        <v>25749.462128832165</v>
      </c>
      <c r="N86" s="296">
        <f t="shared" si="22"/>
        <v>28070.565586049106</v>
      </c>
      <c r="O86" s="296">
        <f t="shared" si="22"/>
        <v>30317.004516401066</v>
      </c>
      <c r="P86" s="296">
        <f t="shared" si="22"/>
        <v>32664.832536272352</v>
      </c>
      <c r="Q86" s="296">
        <f t="shared" si="22"/>
        <v>44506.659560335211</v>
      </c>
      <c r="R86" s="296">
        <f t="shared" si="22"/>
        <v>56435.807155058195</v>
      </c>
      <c r="S86" s="296">
        <f t="shared" si="22"/>
        <v>58568.97796613659</v>
      </c>
      <c r="T86" s="296">
        <f t="shared" si="22"/>
        <v>60536.66070105118</v>
      </c>
      <c r="U86" s="296">
        <f t="shared" si="22"/>
        <v>62513.885243893514</v>
      </c>
      <c r="W86" s="1054">
        <f>SUM(B86:U86)</f>
        <v>474474.4382589492</v>
      </c>
    </row>
    <row r="87" spans="1:251" outlineLevel="1">
      <c r="A87" s="598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</row>
    <row r="88" spans="1:251" outlineLevel="1">
      <c r="A88" s="598" t="s">
        <v>434</v>
      </c>
      <c r="B88" s="1064">
        <f>ENA_Assumptions!$I$39</f>
        <v>7.1800000000000003E-2</v>
      </c>
      <c r="C88" s="1064">
        <f>ENA_Assumptions!$I$39</f>
        <v>7.1800000000000003E-2</v>
      </c>
      <c r="D88" s="1064">
        <f>ENA_Assumptions!$I$39</f>
        <v>7.1800000000000003E-2</v>
      </c>
      <c r="E88" s="1064">
        <f>ENA_Assumptions!$I$39</f>
        <v>7.1800000000000003E-2</v>
      </c>
      <c r="F88" s="1064">
        <f>ENA_Assumptions!$I$39</f>
        <v>7.1800000000000003E-2</v>
      </c>
      <c r="G88" s="1064">
        <f>ENA_Assumptions!$I$39</f>
        <v>7.1800000000000003E-2</v>
      </c>
      <c r="H88" s="1064">
        <f>ENA_Assumptions!$I$39</f>
        <v>7.1800000000000003E-2</v>
      </c>
      <c r="I88" s="1064">
        <f>ENA_Assumptions!$I$39</f>
        <v>7.1800000000000003E-2</v>
      </c>
      <c r="J88" s="1064">
        <f>ENA_Assumptions!$I$39</f>
        <v>7.1800000000000003E-2</v>
      </c>
      <c r="K88" s="1064">
        <f>ENA_Assumptions!$I$39</f>
        <v>7.1800000000000003E-2</v>
      </c>
      <c r="L88" s="1064">
        <f>ENA_Assumptions!$I$39</f>
        <v>7.1800000000000003E-2</v>
      </c>
      <c r="M88" s="1064">
        <f>ENA_Assumptions!$I$39</f>
        <v>7.1800000000000003E-2</v>
      </c>
      <c r="N88" s="1064">
        <f>ENA_Assumptions!$I$39</f>
        <v>7.1800000000000003E-2</v>
      </c>
      <c r="O88" s="1064">
        <f>ENA_Assumptions!$I$39</f>
        <v>7.1800000000000003E-2</v>
      </c>
      <c r="P88" s="1064">
        <f>ENA_Assumptions!$I$39</f>
        <v>7.1800000000000003E-2</v>
      </c>
      <c r="Q88" s="1064">
        <f>ENA_Assumptions!$I$39</f>
        <v>7.1800000000000003E-2</v>
      </c>
      <c r="R88" s="1064">
        <f>ENA_Assumptions!$I$39</f>
        <v>7.1800000000000003E-2</v>
      </c>
      <c r="S88" s="1064">
        <f>ENA_Assumptions!$I$39</f>
        <v>7.1800000000000003E-2</v>
      </c>
      <c r="T88" s="1064">
        <f>ENA_Assumptions!$I$39</f>
        <v>7.1800000000000003E-2</v>
      </c>
      <c r="U88" s="1064">
        <f>ENA_Assumptions!$I$39</f>
        <v>7.1800000000000003E-2</v>
      </c>
    </row>
    <row r="89" spans="1:251" outlineLevel="1">
      <c r="A89" s="598" t="s">
        <v>262</v>
      </c>
      <c r="B89" s="316">
        <f>B86*B88</f>
        <v>-543.77617724693607</v>
      </c>
      <c r="C89" s="316">
        <f t="shared" ref="C89:U89" si="23">C86*C88</f>
        <v>-1590.1506857232596</v>
      </c>
      <c r="D89" s="316">
        <f t="shared" si="23"/>
        <v>-1343.0471320431818</v>
      </c>
      <c r="E89" s="316">
        <f t="shared" si="23"/>
        <v>272.84376009232932</v>
      </c>
      <c r="F89" s="316">
        <f t="shared" si="23"/>
        <v>653.21942749147422</v>
      </c>
      <c r="G89" s="316">
        <f t="shared" si="23"/>
        <v>932.19213779849952</v>
      </c>
      <c r="H89" s="316">
        <f t="shared" si="23"/>
        <v>1131.3081296007504</v>
      </c>
      <c r="I89" s="316">
        <f t="shared" si="23"/>
        <v>1253.5757102779789</v>
      </c>
      <c r="J89" s="316">
        <f t="shared" si="23"/>
        <v>1394.7203972627619</v>
      </c>
      <c r="K89" s="316">
        <f t="shared" si="23"/>
        <v>1539.6126678909056</v>
      </c>
      <c r="L89" s="316">
        <f t="shared" si="23"/>
        <v>1692.4416142999187</v>
      </c>
      <c r="M89" s="316">
        <f t="shared" si="23"/>
        <v>1848.8113808501496</v>
      </c>
      <c r="N89" s="316">
        <f t="shared" si="23"/>
        <v>2015.466609078326</v>
      </c>
      <c r="O89" s="316">
        <f t="shared" si="23"/>
        <v>2176.7609242775966</v>
      </c>
      <c r="P89" s="316">
        <f t="shared" si="23"/>
        <v>2345.3349761043551</v>
      </c>
      <c r="Q89" s="316">
        <f t="shared" si="23"/>
        <v>3195.5781564320682</v>
      </c>
      <c r="R89" s="316">
        <f t="shared" si="23"/>
        <v>4052.0909537331786</v>
      </c>
      <c r="S89" s="316">
        <f t="shared" si="23"/>
        <v>4205.2526179686074</v>
      </c>
      <c r="T89" s="316">
        <f t="shared" si="23"/>
        <v>4346.5322383354751</v>
      </c>
      <c r="U89" s="316">
        <f t="shared" si="23"/>
        <v>4488.4969605115548</v>
      </c>
    </row>
    <row r="90" spans="1:251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251" outlineLevel="1">
      <c r="A91" s="598" t="s">
        <v>258</v>
      </c>
      <c r="B91" s="316">
        <v>0</v>
      </c>
      <c r="C91" s="316">
        <f t="shared" ref="C91:U91" si="24">B95</f>
        <v>543.77617724693607</v>
      </c>
      <c r="D91" s="316">
        <f t="shared" si="24"/>
        <v>2133.9268629701955</v>
      </c>
      <c r="E91" s="316">
        <f t="shared" si="24"/>
        <v>3476.9739950133771</v>
      </c>
      <c r="F91" s="316">
        <f t="shared" si="24"/>
        <v>3204.1302349210478</v>
      </c>
      <c r="G91" s="316">
        <f t="shared" si="24"/>
        <v>2550.9108074295737</v>
      </c>
      <c r="H91" s="316">
        <f t="shared" si="24"/>
        <v>1618.7186696310741</v>
      </c>
      <c r="I91" s="316">
        <f t="shared" si="24"/>
        <v>487.41054003032377</v>
      </c>
      <c r="J91" s="316">
        <f t="shared" si="24"/>
        <v>0</v>
      </c>
      <c r="K91" s="316">
        <f t="shared" si="24"/>
        <v>0</v>
      </c>
      <c r="L91" s="316">
        <f t="shared" si="24"/>
        <v>0</v>
      </c>
      <c r="M91" s="316">
        <f t="shared" si="24"/>
        <v>0</v>
      </c>
      <c r="N91" s="316">
        <f>M95</f>
        <v>0</v>
      </c>
      <c r="O91" s="316">
        <f t="shared" si="24"/>
        <v>0</v>
      </c>
      <c r="P91" s="316">
        <f t="shared" si="24"/>
        <v>0</v>
      </c>
      <c r="Q91" s="316">
        <f t="shared" si="24"/>
        <v>0</v>
      </c>
      <c r="R91" s="316">
        <v>0</v>
      </c>
      <c r="S91" s="316">
        <f t="shared" si="24"/>
        <v>0</v>
      </c>
      <c r="T91" s="316">
        <f t="shared" si="24"/>
        <v>0</v>
      </c>
      <c r="U91" s="316">
        <f t="shared" si="24"/>
        <v>0</v>
      </c>
    </row>
    <row r="92" spans="1:251" outlineLevel="1">
      <c r="A92" s="598" t="s">
        <v>259</v>
      </c>
      <c r="B92" s="319">
        <f t="shared" ref="B92:U92" si="25">IF(B68&gt;2020,0,IF(B89&lt;0,-B89,0))</f>
        <v>543.77617724693607</v>
      </c>
      <c r="C92" s="319">
        <f t="shared" si="25"/>
        <v>1590.1506857232596</v>
      </c>
      <c r="D92" s="319">
        <f t="shared" si="25"/>
        <v>1343.0471320431818</v>
      </c>
      <c r="E92" s="319">
        <f t="shared" si="25"/>
        <v>0</v>
      </c>
      <c r="F92" s="319">
        <f t="shared" si="25"/>
        <v>0</v>
      </c>
      <c r="G92" s="319">
        <f t="shared" si="25"/>
        <v>0</v>
      </c>
      <c r="H92" s="319">
        <f t="shared" si="25"/>
        <v>0</v>
      </c>
      <c r="I92" s="319">
        <f t="shared" si="25"/>
        <v>0</v>
      </c>
      <c r="J92" s="319">
        <f t="shared" si="25"/>
        <v>0</v>
      </c>
      <c r="K92" s="319">
        <f t="shared" si="25"/>
        <v>0</v>
      </c>
      <c r="L92" s="319">
        <f t="shared" si="25"/>
        <v>0</v>
      </c>
      <c r="M92" s="319">
        <f t="shared" si="25"/>
        <v>0</v>
      </c>
      <c r="N92" s="319">
        <f t="shared" si="25"/>
        <v>0</v>
      </c>
      <c r="O92" s="319">
        <f t="shared" si="25"/>
        <v>0</v>
      </c>
      <c r="P92" s="319">
        <f t="shared" si="25"/>
        <v>0</v>
      </c>
      <c r="Q92" s="319">
        <f t="shared" si="25"/>
        <v>0</v>
      </c>
      <c r="R92" s="319">
        <f t="shared" si="25"/>
        <v>0</v>
      </c>
      <c r="S92" s="319">
        <f t="shared" si="25"/>
        <v>0</v>
      </c>
      <c r="T92" s="319">
        <f t="shared" si="25"/>
        <v>0</v>
      </c>
      <c r="U92" s="319">
        <f t="shared" si="25"/>
        <v>0</v>
      </c>
    </row>
    <row r="93" spans="1:251" outlineLevel="1">
      <c r="A93" s="598" t="s">
        <v>260</v>
      </c>
      <c r="B93" s="329">
        <v>0</v>
      </c>
      <c r="C93" s="329">
        <v>0</v>
      </c>
      <c r="D93" s="329">
        <v>0</v>
      </c>
      <c r="E93" s="329">
        <v>0</v>
      </c>
      <c r="F93" s="329">
        <v>0</v>
      </c>
      <c r="G93" s="329">
        <v>0</v>
      </c>
      <c r="H93" s="329">
        <v>0</v>
      </c>
      <c r="I93" s="329">
        <v>0</v>
      </c>
      <c r="J93" s="329">
        <v>0</v>
      </c>
      <c r="K93" s="329">
        <v>0</v>
      </c>
      <c r="L93" s="329">
        <v>0</v>
      </c>
      <c r="M93" s="329">
        <v>0</v>
      </c>
      <c r="N93" s="329">
        <v>0</v>
      </c>
      <c r="O93" s="329">
        <v>0</v>
      </c>
      <c r="P93" s="329">
        <v>0</v>
      </c>
      <c r="Q93" s="329">
        <v>0</v>
      </c>
      <c r="R93" s="329">
        <v>0</v>
      </c>
      <c r="S93" s="329">
        <v>0</v>
      </c>
      <c r="T93" s="316">
        <f>IF(L92&gt;(SUM(M94:S94)+SUM(L93:S93))*-1,L92-(SUM(L94:S94)+SUM(L93:S93))*-1,0)</f>
        <v>0</v>
      </c>
      <c r="U93" s="316">
        <f>IF(M92&gt;(SUM(N94:T94)+SUM(M93:T93))*-1,M92-(SUM(M94:T94)+SUM(M93:T93))*-1,0)</f>
        <v>0</v>
      </c>
    </row>
    <row r="94" spans="1:251" outlineLevel="1">
      <c r="A94" s="313" t="s">
        <v>225</v>
      </c>
      <c r="B94" s="330">
        <f t="shared" ref="B94:T94" si="26">IF(B89&lt;0,0,IF(B91&gt;B89,-B89,-B91))</f>
        <v>0</v>
      </c>
      <c r="C94" s="330">
        <f t="shared" si="26"/>
        <v>0</v>
      </c>
      <c r="D94" s="330">
        <f t="shared" si="26"/>
        <v>0</v>
      </c>
      <c r="E94" s="330">
        <f t="shared" si="26"/>
        <v>-272.84376009232932</v>
      </c>
      <c r="F94" s="330">
        <f t="shared" si="26"/>
        <v>-653.21942749147422</v>
      </c>
      <c r="G94" s="330">
        <f t="shared" si="26"/>
        <v>-932.19213779849952</v>
      </c>
      <c r="H94" s="330">
        <f t="shared" si="26"/>
        <v>-1131.3081296007504</v>
      </c>
      <c r="I94" s="330">
        <f t="shared" si="26"/>
        <v>-487.41054003032377</v>
      </c>
      <c r="J94" s="330">
        <f t="shared" si="26"/>
        <v>0</v>
      </c>
      <c r="K94" s="330">
        <f t="shared" si="26"/>
        <v>0</v>
      </c>
      <c r="L94" s="330">
        <f t="shared" si="26"/>
        <v>0</v>
      </c>
      <c r="M94" s="330">
        <f t="shared" si="26"/>
        <v>0</v>
      </c>
      <c r="N94" s="330">
        <f t="shared" si="26"/>
        <v>0</v>
      </c>
      <c r="O94" s="330">
        <f t="shared" si="26"/>
        <v>0</v>
      </c>
      <c r="P94" s="330">
        <f t="shared" si="26"/>
        <v>0</v>
      </c>
      <c r="Q94" s="330">
        <f t="shared" si="26"/>
        <v>0</v>
      </c>
      <c r="R94" s="330">
        <f t="shared" si="26"/>
        <v>0</v>
      </c>
      <c r="S94" s="330">
        <f t="shared" si="26"/>
        <v>0</v>
      </c>
      <c r="T94" s="330">
        <f t="shared" si="26"/>
        <v>0</v>
      </c>
      <c r="U94" s="330">
        <f>IF(U89&lt;0,0,IF(U91&gt;U89,-U89,-U91))</f>
        <v>0</v>
      </c>
    </row>
    <row r="95" spans="1:251" outlineLevel="1">
      <c r="A95" s="313" t="s">
        <v>261</v>
      </c>
      <c r="B95" s="330">
        <f t="shared" ref="B95:U95" si="27">SUM(B91:B94)</f>
        <v>543.77617724693607</v>
      </c>
      <c r="C95" s="330">
        <f t="shared" si="27"/>
        <v>2133.9268629701955</v>
      </c>
      <c r="D95" s="330">
        <f t="shared" si="27"/>
        <v>3476.9739950133771</v>
      </c>
      <c r="E95" s="330">
        <f t="shared" si="27"/>
        <v>3204.1302349210478</v>
      </c>
      <c r="F95" s="330">
        <f t="shared" si="27"/>
        <v>2550.9108074295737</v>
      </c>
      <c r="G95" s="330">
        <f t="shared" si="27"/>
        <v>1618.7186696310741</v>
      </c>
      <c r="H95" s="330">
        <f t="shared" si="27"/>
        <v>487.41054003032377</v>
      </c>
      <c r="I95" s="330">
        <f t="shared" si="27"/>
        <v>0</v>
      </c>
      <c r="J95" s="330">
        <f t="shared" si="27"/>
        <v>0</v>
      </c>
      <c r="K95" s="330">
        <f t="shared" si="27"/>
        <v>0</v>
      </c>
      <c r="L95" s="330">
        <f t="shared" si="27"/>
        <v>0</v>
      </c>
      <c r="M95" s="330">
        <f t="shared" si="27"/>
        <v>0</v>
      </c>
      <c r="N95" s="330">
        <f t="shared" si="27"/>
        <v>0</v>
      </c>
      <c r="O95" s="330">
        <f t="shared" si="27"/>
        <v>0</v>
      </c>
      <c r="P95" s="330">
        <f t="shared" si="27"/>
        <v>0</v>
      </c>
      <c r="Q95" s="330">
        <f t="shared" si="27"/>
        <v>0</v>
      </c>
      <c r="R95" s="330">
        <f t="shared" si="27"/>
        <v>0</v>
      </c>
      <c r="S95" s="330">
        <f t="shared" si="27"/>
        <v>0</v>
      </c>
      <c r="T95" s="330">
        <f t="shared" si="27"/>
        <v>0</v>
      </c>
      <c r="U95" s="330">
        <f t="shared" si="27"/>
        <v>0</v>
      </c>
    </row>
    <row r="96" spans="1:251" outlineLevel="1">
      <c r="A96" s="313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ht="13.5" outlineLevel="1" thickBot="1">
      <c r="A97" s="314" t="s">
        <v>221</v>
      </c>
      <c r="B97" s="635">
        <f>IF('NewCo_Summary Output'!$P$8=1,IF(B89&lt;0,0,B89+B94),B89)</f>
        <v>0</v>
      </c>
      <c r="C97" s="635">
        <f>IF('NewCo_Summary Output'!$P$8=1,IF(C89&lt;0,0,C89+C94),C89)</f>
        <v>0</v>
      </c>
      <c r="D97" s="635">
        <f>IF('NewCo_Summary Output'!$P$8=1,IF(D89&lt;0,0,D89+D94),D89)</f>
        <v>0</v>
      </c>
      <c r="E97" s="635">
        <f>IF('NewCo_Summary Output'!$P$8=1,IF(E89&lt;0,0,E89+E94),E89)</f>
        <v>0</v>
      </c>
      <c r="F97" s="635">
        <f>IF('NewCo_Summary Output'!$P$8=1,IF(F89&lt;0,0,F89+F94),F89)</f>
        <v>0</v>
      </c>
      <c r="G97" s="635">
        <f>IF('NewCo_Summary Output'!$P$8=1,IF(G89&lt;0,0,G89+G94),G89)</f>
        <v>0</v>
      </c>
      <c r="H97" s="635">
        <f>IF('NewCo_Summary Output'!$P$8=1,IF(H89&lt;0,0,H89+H94),H89)</f>
        <v>0</v>
      </c>
      <c r="I97" s="635">
        <f>IF('NewCo_Summary Output'!$P$8=1,IF(I89&lt;0,0,I89+I94),I89)</f>
        <v>766.16517024765517</v>
      </c>
      <c r="J97" s="635">
        <f>IF('NewCo_Summary Output'!$P$8=1,IF(J89&lt;0,0,J89+J94),J89)</f>
        <v>1394.7203972627619</v>
      </c>
      <c r="K97" s="635">
        <f>IF('NewCo_Summary Output'!$P$8=1,IF(K89&lt;0,0,K89+K94),K89)</f>
        <v>1539.6126678909056</v>
      </c>
      <c r="L97" s="635">
        <f>IF('NewCo_Summary Output'!$P$8=1,IF(L89&lt;0,0,L89+L94),L89)</f>
        <v>1692.4416142999187</v>
      </c>
      <c r="M97" s="635">
        <f>IF('NewCo_Summary Output'!$P$8=1,IF(M89&lt;0,0,M89+M94),M89)</f>
        <v>1848.8113808501496</v>
      </c>
      <c r="N97" s="635">
        <f>IF('NewCo_Summary Output'!$P$8=1,IF(N89&lt;0,0,N89+N94),N89)</f>
        <v>2015.466609078326</v>
      </c>
      <c r="O97" s="635">
        <f>IF('NewCo_Summary Output'!$P$8=1,IF(O89&lt;0,0,O89+O94),O89)</f>
        <v>2176.7609242775966</v>
      </c>
      <c r="P97" s="635">
        <f>IF('NewCo_Summary Output'!$P$8=1,IF(P89&lt;0,0,P89+P94),P89)</f>
        <v>2345.3349761043551</v>
      </c>
      <c r="Q97" s="635">
        <f>IF('NewCo_Summary Output'!$P$8=1,IF(Q89&lt;0,0,Q89+Q94),Q89)</f>
        <v>3195.5781564320682</v>
      </c>
      <c r="R97" s="635">
        <f>IF('NewCo_Summary Output'!$P$8=1,IF(R89&lt;0,0,R89+R94),R89)</f>
        <v>4052.0909537331786</v>
      </c>
      <c r="S97" s="635">
        <f>IF('NewCo_Summary Output'!$P$8=1,IF(S89&lt;0,0,S89+S94),S89)</f>
        <v>4205.2526179686074</v>
      </c>
      <c r="T97" s="635">
        <f>IF('NewCo_Summary Output'!$P$8=1,IF(T89&lt;0,0,T89+T94),T89)</f>
        <v>4346.5322383354751</v>
      </c>
      <c r="U97" s="635">
        <f>IF('NewCo_Summary Output'!$P$8=1,IF(U89&lt;0,0,U89+U94),U89)</f>
        <v>4488.4969605115548</v>
      </c>
      <c r="W97" s="1054">
        <f>SUM(B97:U97)</f>
        <v>34067.264666992553</v>
      </c>
    </row>
    <row r="98" spans="1:25" ht="12.75" customHeight="1" outlineLevel="1">
      <c r="A98" s="862"/>
      <c r="B98" s="8"/>
      <c r="C98" s="35"/>
      <c r="D98" s="8"/>
      <c r="E98" s="8"/>
      <c r="F98" s="8"/>
      <c r="G98" s="8"/>
      <c r="H98" s="8"/>
      <c r="I98" s="8"/>
      <c r="J98" s="8"/>
      <c r="K98" s="8"/>
      <c r="L98" s="24"/>
      <c r="M98" s="24"/>
      <c r="N98" s="24"/>
      <c r="O98" s="24"/>
      <c r="P98" s="24"/>
      <c r="Q98" s="24"/>
      <c r="R98" s="24"/>
      <c r="S98" s="24"/>
      <c r="T98" s="24"/>
      <c r="U98" s="24"/>
    </row>
    <row r="99" spans="1:25" ht="12.75" customHeight="1" outlineLevel="1">
      <c r="A99" s="21"/>
      <c r="B99" s="35"/>
      <c r="C99" s="38"/>
      <c r="D99" s="39"/>
      <c r="E99" s="39"/>
      <c r="F99" s="39"/>
      <c r="G99" s="39"/>
      <c r="H99" s="39"/>
      <c r="I99" s="39"/>
      <c r="J99" s="39"/>
      <c r="K99" s="39"/>
      <c r="L99" s="24"/>
      <c r="M99" s="24"/>
      <c r="N99" s="24"/>
      <c r="O99" s="24"/>
      <c r="P99" s="24"/>
      <c r="Q99" s="24"/>
      <c r="R99" s="24"/>
      <c r="S99" s="24"/>
      <c r="T99" s="24"/>
      <c r="U99" s="24"/>
    </row>
    <row r="100" spans="1:25" ht="12.75" customHeight="1" outlineLevel="1">
      <c r="A100" s="44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</row>
    <row r="101" spans="1:25" ht="12.75" customHeight="1" outlineLevel="1">
      <c r="A101" s="1065"/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</row>
    <row r="102" spans="1:25" ht="12.75" customHeight="1" outlineLevel="1">
      <c r="A102" s="42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5.75">
      <c r="A103" s="1189" t="s">
        <v>641</v>
      </c>
      <c r="B103" s="1065"/>
      <c r="C103" s="1065"/>
      <c r="D103" s="1065"/>
      <c r="E103" s="1065"/>
      <c r="F103" s="1065"/>
      <c r="G103" s="1065"/>
      <c r="H103" s="1065"/>
      <c r="I103" s="1065"/>
      <c r="J103" s="1065"/>
      <c r="K103" s="1065"/>
      <c r="L103" s="1065"/>
      <c r="M103" s="1065"/>
      <c r="N103" s="1065"/>
      <c r="O103" s="1065"/>
      <c r="P103" s="1065"/>
      <c r="Q103" s="1065"/>
      <c r="R103" s="1065"/>
      <c r="S103" s="1065"/>
      <c r="T103" s="1065"/>
      <c r="U103" s="1065"/>
    </row>
    <row r="104" spans="1:25">
      <c r="A104" s="42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>
      <c r="A105" s="318" t="s">
        <v>645</v>
      </c>
      <c r="B105" s="296">
        <f>B86</f>
        <v>-7573.4843627706978</v>
      </c>
      <c r="C105" s="296">
        <f t="shared" ref="C105:U105" si="28">C86</f>
        <v>-22146.945483610856</v>
      </c>
      <c r="D105" s="296">
        <f t="shared" si="28"/>
        <v>-18705.391811186375</v>
      </c>
      <c r="E105" s="296">
        <f t="shared" si="28"/>
        <v>3800.0523689739457</v>
      </c>
      <c r="F105" s="296">
        <f t="shared" si="28"/>
        <v>9097.7636140873838</v>
      </c>
      <c r="G105" s="296">
        <f t="shared" si="28"/>
        <v>12983.177406664337</v>
      </c>
      <c r="H105" s="296">
        <f t="shared" si="28"/>
        <v>15756.380635107944</v>
      </c>
      <c r="I105" s="296">
        <f t="shared" si="28"/>
        <v>17459.271730891072</v>
      </c>
      <c r="J105" s="296">
        <f t="shared" si="28"/>
        <v>19425.075170790555</v>
      </c>
      <c r="K105" s="296">
        <f t="shared" si="28"/>
        <v>21443.073368954116</v>
      </c>
      <c r="L105" s="296">
        <f t="shared" si="28"/>
        <v>23571.610227018366</v>
      </c>
      <c r="M105" s="296">
        <f t="shared" si="28"/>
        <v>25749.462128832165</v>
      </c>
      <c r="N105" s="296">
        <f t="shared" si="28"/>
        <v>28070.565586049106</v>
      </c>
      <c r="O105" s="296">
        <f t="shared" si="28"/>
        <v>30317.004516401066</v>
      </c>
      <c r="P105" s="296">
        <f t="shared" si="28"/>
        <v>32664.832536272352</v>
      </c>
      <c r="Q105" s="296">
        <f t="shared" si="28"/>
        <v>44506.659560335211</v>
      </c>
      <c r="R105" s="296">
        <f t="shared" si="28"/>
        <v>56435.807155058195</v>
      </c>
      <c r="S105" s="296">
        <f t="shared" si="28"/>
        <v>58568.97796613659</v>
      </c>
      <c r="T105" s="296">
        <f t="shared" si="28"/>
        <v>60536.66070105118</v>
      </c>
      <c r="U105" s="296">
        <f t="shared" si="28"/>
        <v>62513.885243893514</v>
      </c>
      <c r="W105" s="1054">
        <f>SUM(B105:U105)</f>
        <v>474474.4382589492</v>
      </c>
      <c r="X105" s="1054">
        <f>W86</f>
        <v>474474.4382589492</v>
      </c>
      <c r="Y105" s="1249">
        <f>W105-X105</f>
        <v>0</v>
      </c>
    </row>
    <row r="106" spans="1:25">
      <c r="A106" s="318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W106" s="1054"/>
    </row>
    <row r="107" spans="1:25">
      <c r="A107" s="4" t="s">
        <v>788</v>
      </c>
      <c r="B107" s="296">
        <f>'NewCo_Summary Output'!$C$11*ENA_Allocation!$E$14*NewCo_IS!B13</f>
        <v>2309.8002412536589</v>
      </c>
      <c r="C107" s="296">
        <f>'NewCo_Summary Output'!$C$11*ENA_Allocation!$E$14*NewCo_IS!C13</f>
        <v>2379.0942484912689</v>
      </c>
      <c r="D107" s="296">
        <f>'NewCo_Summary Output'!$C$11*ENA_Allocation!$E$14*NewCo_IS!D13</f>
        <v>2450.4670759460073</v>
      </c>
      <c r="E107" s="296">
        <f>'NewCo_Summary Output'!$C$11*ENA_Allocation!$E$14*NewCo_IS!E13</f>
        <v>2523.9810882243873</v>
      </c>
      <c r="F107" s="296">
        <f>'NewCo_Summary Output'!$C$11*ENA_Allocation!$E$14*NewCo_IS!F13</f>
        <v>2599.7005208711189</v>
      </c>
      <c r="G107" s="296">
        <f>'NewCo_Summary Output'!$C$11*ENA_Allocation!$E$14*NewCo_IS!G13</f>
        <v>2677.6915364972529</v>
      </c>
      <c r="H107" s="296">
        <f>'NewCo_Summary Output'!$C$11*ENA_Allocation!$E$14*NewCo_IS!H13</f>
        <v>2758.0222825921705</v>
      </c>
      <c r="I107" s="296">
        <f>'NewCo_Summary Output'!$C$11*ENA_Allocation!$E$14*NewCo_IS!I13</f>
        <v>2840.7629510699358</v>
      </c>
      <c r="J107" s="296">
        <f>'NewCo_Summary Output'!$C$11*ENA_Allocation!$E$14*NewCo_IS!J13</f>
        <v>2925.985839602034</v>
      </c>
      <c r="K107" s="296">
        <f>'NewCo_Summary Output'!$C$11*ENA_Allocation!$E$14*NewCo_IS!K13</f>
        <v>3013.7654147900953</v>
      </c>
      <c r="L107" s="296">
        <f>'NewCo_Summary Output'!$C$11*ENA_Allocation!$E$14*NewCo_IS!L13</f>
        <v>3104.1783772337981</v>
      </c>
      <c r="M107" s="296">
        <f>'NewCo_Summary Output'!$C$11*ENA_Allocation!$E$14*NewCo_IS!M13</f>
        <v>3197.3037285508121</v>
      </c>
      <c r="N107" s="296">
        <f>'NewCo_Summary Output'!$C$11*ENA_Allocation!$E$14*NewCo_IS!N13</f>
        <v>3293.2228404073367</v>
      </c>
      <c r="O107" s="296">
        <f>'NewCo_Summary Output'!$C$11*ENA_Allocation!$E$14*NewCo_IS!O13</f>
        <v>3392.019525619557</v>
      </c>
      <c r="P107" s="296">
        <f>'NewCo_Summary Output'!$C$11*ENA_Allocation!$E$14*NewCo_IS!P13</f>
        <v>3493.7801113881437</v>
      </c>
      <c r="Q107" s="296">
        <f>'NewCo_Summary Output'!$C$11*ENA_Allocation!$E$14*NewCo_IS!Q13</f>
        <v>3598.5935147297882</v>
      </c>
      <c r="R107" s="296">
        <f>'NewCo_Summary Output'!$C$11*ENA_Allocation!$E$14*NewCo_IS!R13</f>
        <v>3706.5513201716822</v>
      </c>
      <c r="S107" s="296">
        <f>'NewCo_Summary Output'!$C$11*ENA_Allocation!$E$14*NewCo_IS!S13</f>
        <v>3817.7478597768327</v>
      </c>
      <c r="T107" s="296">
        <f>'NewCo_Summary Output'!$C$11*ENA_Allocation!$E$14*NewCo_IS!T13</f>
        <v>3932.2802955701377</v>
      </c>
      <c r="U107" s="296">
        <f>'NewCo_Summary Output'!$C$11*ENA_Allocation!$E$14*NewCo_IS!U13</f>
        <v>4050.2487044372419</v>
      </c>
      <c r="W107" s="1054">
        <f>SUM(B107:U107)</f>
        <v>62065.197477223264</v>
      </c>
      <c r="X107" s="1054">
        <f>NewCo_IS!X13*'NewCo_Summary Output'!C11*ENA_Allocation!E14</f>
        <v>62065.197477223264</v>
      </c>
      <c r="Y107" s="1249">
        <f>W107-X107</f>
        <v>0</v>
      </c>
    </row>
    <row r="108" spans="1:25">
      <c r="A108" s="318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W108" s="1054"/>
    </row>
    <row r="109" spans="1:25">
      <c r="A109" s="318" t="s">
        <v>524</v>
      </c>
      <c r="B109" s="296">
        <f>B105-B107</f>
        <v>-9883.2846040243567</v>
      </c>
      <c r="C109" s="296">
        <f t="shared" ref="C109:U109" si="29">C105-C107</f>
        <v>-24526.039732102126</v>
      </c>
      <c r="D109" s="296">
        <f t="shared" si="29"/>
        <v>-21155.858887132381</v>
      </c>
      <c r="E109" s="296">
        <f t="shared" si="29"/>
        <v>1276.0712807495584</v>
      </c>
      <c r="F109" s="296">
        <f t="shared" si="29"/>
        <v>6498.0630932162649</v>
      </c>
      <c r="G109" s="296">
        <f t="shared" si="29"/>
        <v>10305.485870167086</v>
      </c>
      <c r="H109" s="296">
        <f t="shared" si="29"/>
        <v>12998.358352515774</v>
      </c>
      <c r="I109" s="296">
        <f t="shared" si="29"/>
        <v>14618.508779821137</v>
      </c>
      <c r="J109" s="296">
        <f t="shared" si="29"/>
        <v>16499.089331188519</v>
      </c>
      <c r="K109" s="296">
        <f t="shared" si="29"/>
        <v>18429.307954164022</v>
      </c>
      <c r="L109" s="296">
        <f t="shared" si="29"/>
        <v>20467.431849784567</v>
      </c>
      <c r="M109" s="296">
        <f t="shared" si="29"/>
        <v>22552.158400281354</v>
      </c>
      <c r="N109" s="296">
        <f t="shared" si="29"/>
        <v>24777.34274564177</v>
      </c>
      <c r="O109" s="296">
        <f t="shared" si="29"/>
        <v>26924.984990781508</v>
      </c>
      <c r="P109" s="296">
        <f t="shared" si="29"/>
        <v>29171.052424884208</v>
      </c>
      <c r="Q109" s="296">
        <f t="shared" si="29"/>
        <v>40908.066045605425</v>
      </c>
      <c r="R109" s="296">
        <f t="shared" si="29"/>
        <v>52729.255834886513</v>
      </c>
      <c r="S109" s="296">
        <f t="shared" si="29"/>
        <v>54751.230106359755</v>
      </c>
      <c r="T109" s="296">
        <f t="shared" si="29"/>
        <v>56604.380405481039</v>
      </c>
      <c r="U109" s="296">
        <f t="shared" si="29"/>
        <v>58463.636539456274</v>
      </c>
      <c r="W109" s="1054">
        <f>SUM(B109:U109)</f>
        <v>412409.24078172591</v>
      </c>
      <c r="X109" s="1054">
        <f>X105-X107</f>
        <v>412409.24078172597</v>
      </c>
      <c r="Y109" s="1249">
        <f>W109-X109</f>
        <v>0</v>
      </c>
    </row>
    <row r="110" spans="1:25">
      <c r="A110" s="598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</row>
    <row r="111" spans="1:25">
      <c r="A111" s="598" t="s">
        <v>434</v>
      </c>
      <c r="B111" s="1064">
        <f>B88</f>
        <v>7.1800000000000003E-2</v>
      </c>
      <c r="C111" s="1064">
        <f t="shared" ref="C111:U111" si="30">C88</f>
        <v>7.1800000000000003E-2</v>
      </c>
      <c r="D111" s="1064">
        <f t="shared" si="30"/>
        <v>7.1800000000000003E-2</v>
      </c>
      <c r="E111" s="1064">
        <f t="shared" si="30"/>
        <v>7.1800000000000003E-2</v>
      </c>
      <c r="F111" s="1064">
        <f t="shared" si="30"/>
        <v>7.1800000000000003E-2</v>
      </c>
      <c r="G111" s="1064">
        <f t="shared" si="30"/>
        <v>7.1800000000000003E-2</v>
      </c>
      <c r="H111" s="1064">
        <f t="shared" si="30"/>
        <v>7.1800000000000003E-2</v>
      </c>
      <c r="I111" s="1064">
        <f t="shared" si="30"/>
        <v>7.1800000000000003E-2</v>
      </c>
      <c r="J111" s="1064">
        <f t="shared" si="30"/>
        <v>7.1800000000000003E-2</v>
      </c>
      <c r="K111" s="1064">
        <f t="shared" si="30"/>
        <v>7.1800000000000003E-2</v>
      </c>
      <c r="L111" s="1064">
        <f t="shared" si="30"/>
        <v>7.1800000000000003E-2</v>
      </c>
      <c r="M111" s="1064">
        <f t="shared" si="30"/>
        <v>7.1800000000000003E-2</v>
      </c>
      <c r="N111" s="1064">
        <f t="shared" si="30"/>
        <v>7.1800000000000003E-2</v>
      </c>
      <c r="O111" s="1064">
        <f t="shared" si="30"/>
        <v>7.1800000000000003E-2</v>
      </c>
      <c r="P111" s="1064">
        <f t="shared" si="30"/>
        <v>7.1800000000000003E-2</v>
      </c>
      <c r="Q111" s="1064">
        <f t="shared" si="30"/>
        <v>7.1800000000000003E-2</v>
      </c>
      <c r="R111" s="1064">
        <f t="shared" si="30"/>
        <v>7.1800000000000003E-2</v>
      </c>
      <c r="S111" s="1064">
        <f t="shared" si="30"/>
        <v>7.1800000000000003E-2</v>
      </c>
      <c r="T111" s="1064">
        <f t="shared" si="30"/>
        <v>7.1800000000000003E-2</v>
      </c>
      <c r="U111" s="1064">
        <f t="shared" si="30"/>
        <v>7.1800000000000003E-2</v>
      </c>
    </row>
    <row r="112" spans="1:25">
      <c r="A112" s="598" t="s">
        <v>262</v>
      </c>
      <c r="B112" s="316">
        <f>B109*B111</f>
        <v>-709.61983456894882</v>
      </c>
      <c r="C112" s="316">
        <f t="shared" ref="C112:U112" si="31">C109*C111</f>
        <v>-1760.9696527649328</v>
      </c>
      <c r="D112" s="316">
        <f t="shared" si="31"/>
        <v>-1518.9906680961051</v>
      </c>
      <c r="E112" s="316">
        <f t="shared" si="31"/>
        <v>91.621917957818297</v>
      </c>
      <c r="F112" s="316">
        <f t="shared" si="31"/>
        <v>466.56093009292783</v>
      </c>
      <c r="G112" s="316">
        <f t="shared" si="31"/>
        <v>739.9338854779968</v>
      </c>
      <c r="H112" s="316">
        <f t="shared" si="31"/>
        <v>933.2821297106326</v>
      </c>
      <c r="I112" s="316">
        <f t="shared" si="31"/>
        <v>1049.6089303911576</v>
      </c>
      <c r="J112" s="316">
        <f t="shared" si="31"/>
        <v>1184.6346139793357</v>
      </c>
      <c r="K112" s="316">
        <f t="shared" si="31"/>
        <v>1323.2243111089767</v>
      </c>
      <c r="L112" s="316">
        <f t="shared" si="31"/>
        <v>1469.5616068145321</v>
      </c>
      <c r="M112" s="316">
        <f t="shared" si="31"/>
        <v>1619.2449731402014</v>
      </c>
      <c r="N112" s="316">
        <f t="shared" si="31"/>
        <v>1779.0132091370792</v>
      </c>
      <c r="O112" s="316">
        <f t="shared" si="31"/>
        <v>1933.2139223381123</v>
      </c>
      <c r="P112" s="316">
        <f t="shared" si="31"/>
        <v>2094.4815641066862</v>
      </c>
      <c r="Q112" s="316">
        <f t="shared" si="31"/>
        <v>2937.1991420744698</v>
      </c>
      <c r="R112" s="316">
        <f t="shared" si="31"/>
        <v>3785.9605689448517</v>
      </c>
      <c r="S112" s="316">
        <f t="shared" si="31"/>
        <v>3931.1383216366307</v>
      </c>
      <c r="T112" s="316">
        <f t="shared" si="31"/>
        <v>4064.194513113539</v>
      </c>
      <c r="U112" s="316">
        <f t="shared" si="31"/>
        <v>4197.6891035329609</v>
      </c>
      <c r="W112" s="1054">
        <f>SUM(B112:U112)</f>
        <v>29610.983488127924</v>
      </c>
      <c r="X112" s="1054">
        <f>X109*U111</f>
        <v>29610.983488127924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258</v>
      </c>
      <c r="B114" s="316">
        <v>0</v>
      </c>
      <c r="C114" s="316">
        <f t="shared" ref="C114:M114" si="32">B118</f>
        <v>709.61983456894882</v>
      </c>
      <c r="D114" s="316">
        <f t="shared" si="32"/>
        <v>2470.5894873338816</v>
      </c>
      <c r="E114" s="316">
        <f t="shared" si="32"/>
        <v>3989.5801554299869</v>
      </c>
      <c r="F114" s="316">
        <f t="shared" si="32"/>
        <v>3897.9582374721685</v>
      </c>
      <c r="G114" s="316">
        <f t="shared" si="32"/>
        <v>3431.3973073792408</v>
      </c>
      <c r="H114" s="316">
        <f t="shared" si="32"/>
        <v>2691.4634219012441</v>
      </c>
      <c r="I114" s="316">
        <f t="shared" si="32"/>
        <v>1758.1812921906117</v>
      </c>
      <c r="J114" s="316">
        <f t="shared" si="32"/>
        <v>708.57236179945403</v>
      </c>
      <c r="K114" s="316">
        <f t="shared" si="32"/>
        <v>0</v>
      </c>
      <c r="L114" s="316">
        <f t="shared" si="32"/>
        <v>0</v>
      </c>
      <c r="M114" s="316">
        <f t="shared" si="32"/>
        <v>0</v>
      </c>
      <c r="N114" s="316">
        <f>M118</f>
        <v>0</v>
      </c>
      <c r="O114" s="316">
        <f>N118</f>
        <v>0</v>
      </c>
      <c r="P114" s="316">
        <f>O118</f>
        <v>0</v>
      </c>
      <c r="Q114" s="316">
        <f>P118</f>
        <v>0</v>
      </c>
      <c r="R114" s="316">
        <v>0</v>
      </c>
      <c r="S114" s="316">
        <f>R118</f>
        <v>0</v>
      </c>
      <c r="T114" s="316">
        <f>S118</f>
        <v>0</v>
      </c>
      <c r="U114" s="316">
        <f>T118</f>
        <v>0</v>
      </c>
    </row>
    <row r="115" spans="1:55">
      <c r="A115" s="598" t="s">
        <v>259</v>
      </c>
      <c r="B115" s="319">
        <f t="shared" ref="B115:U115" si="33">IF(B78&gt;2020,0,IF(B112&lt;0,-B112,0))</f>
        <v>709.61983456894882</v>
      </c>
      <c r="C115" s="319">
        <f t="shared" si="33"/>
        <v>1760.9696527649328</v>
      </c>
      <c r="D115" s="319">
        <f t="shared" si="33"/>
        <v>1518.9906680961051</v>
      </c>
      <c r="E115" s="319">
        <f t="shared" si="33"/>
        <v>0</v>
      </c>
      <c r="F115" s="319">
        <f t="shared" si="33"/>
        <v>0</v>
      </c>
      <c r="G115" s="319">
        <f t="shared" si="33"/>
        <v>0</v>
      </c>
      <c r="H115" s="319">
        <f t="shared" si="33"/>
        <v>0</v>
      </c>
      <c r="I115" s="319">
        <f t="shared" si="33"/>
        <v>0</v>
      </c>
      <c r="J115" s="319">
        <f t="shared" si="33"/>
        <v>0</v>
      </c>
      <c r="K115" s="319">
        <f t="shared" si="33"/>
        <v>0</v>
      </c>
      <c r="L115" s="319">
        <f t="shared" si="33"/>
        <v>0</v>
      </c>
      <c r="M115" s="319">
        <f t="shared" si="33"/>
        <v>0</v>
      </c>
      <c r="N115" s="319">
        <f t="shared" si="33"/>
        <v>0</v>
      </c>
      <c r="O115" s="319">
        <f t="shared" si="33"/>
        <v>0</v>
      </c>
      <c r="P115" s="319">
        <f t="shared" si="33"/>
        <v>0</v>
      </c>
      <c r="Q115" s="319">
        <f t="shared" si="33"/>
        <v>0</v>
      </c>
      <c r="R115" s="319">
        <f t="shared" si="33"/>
        <v>0</v>
      </c>
      <c r="S115" s="319">
        <f t="shared" si="33"/>
        <v>0</v>
      </c>
      <c r="T115" s="319">
        <f t="shared" si="33"/>
        <v>0</v>
      </c>
      <c r="U115" s="319">
        <f t="shared" si="33"/>
        <v>0</v>
      </c>
    </row>
    <row r="116" spans="1:55">
      <c r="A116" s="598" t="s">
        <v>260</v>
      </c>
      <c r="B116" s="329">
        <v>0</v>
      </c>
      <c r="C116" s="329">
        <v>0</v>
      </c>
      <c r="D116" s="329">
        <v>0</v>
      </c>
      <c r="E116" s="329">
        <v>0</v>
      </c>
      <c r="F116" s="329">
        <v>0</v>
      </c>
      <c r="G116" s="329">
        <v>0</v>
      </c>
      <c r="H116" s="329">
        <v>0</v>
      </c>
      <c r="I116" s="329">
        <v>0</v>
      </c>
      <c r="J116" s="329">
        <v>0</v>
      </c>
      <c r="K116" s="329">
        <v>0</v>
      </c>
      <c r="L116" s="329">
        <v>0</v>
      </c>
      <c r="M116" s="329">
        <v>0</v>
      </c>
      <c r="N116" s="329">
        <v>0</v>
      </c>
      <c r="O116" s="329">
        <v>0</v>
      </c>
      <c r="P116" s="329">
        <v>0</v>
      </c>
      <c r="Q116" s="329">
        <v>0</v>
      </c>
      <c r="R116" s="329">
        <v>0</v>
      </c>
      <c r="S116" s="329">
        <v>0</v>
      </c>
      <c r="T116" s="316">
        <f>IF(L115&gt;(SUM(M117:S117)+SUM(L116:S116))*-1,L115-(SUM(L117:S117)+SUM(L116:S116))*-1,0)</f>
        <v>0</v>
      </c>
      <c r="U116" s="316">
        <f>IF(M115&gt;(SUM(N117:T117)+SUM(M116:T116))*-1,M115-(SUM(M117:T117)+SUM(M116:T116))*-1,0)</f>
        <v>0</v>
      </c>
    </row>
    <row r="117" spans="1:55">
      <c r="A117" s="313" t="s">
        <v>225</v>
      </c>
      <c r="B117" s="330">
        <f t="shared" ref="B117:T117" si="34">IF(B112&lt;0,0,IF(B114&gt;B112,-B112,-B114))</f>
        <v>0</v>
      </c>
      <c r="C117" s="330">
        <f t="shared" si="34"/>
        <v>0</v>
      </c>
      <c r="D117" s="330">
        <f t="shared" si="34"/>
        <v>0</v>
      </c>
      <c r="E117" s="330">
        <f t="shared" si="34"/>
        <v>-91.621917957818297</v>
      </c>
      <c r="F117" s="330">
        <f t="shared" si="34"/>
        <v>-466.56093009292783</v>
      </c>
      <c r="G117" s="330">
        <f t="shared" si="34"/>
        <v>-739.9338854779968</v>
      </c>
      <c r="H117" s="330">
        <f t="shared" si="34"/>
        <v>-933.2821297106326</v>
      </c>
      <c r="I117" s="330">
        <f t="shared" si="34"/>
        <v>-1049.6089303911576</v>
      </c>
      <c r="J117" s="330">
        <f t="shared" si="34"/>
        <v>-708.57236179945403</v>
      </c>
      <c r="K117" s="330">
        <f t="shared" si="34"/>
        <v>0</v>
      </c>
      <c r="L117" s="330">
        <f t="shared" si="34"/>
        <v>0</v>
      </c>
      <c r="M117" s="330">
        <f t="shared" si="34"/>
        <v>0</v>
      </c>
      <c r="N117" s="330">
        <f t="shared" si="34"/>
        <v>0</v>
      </c>
      <c r="O117" s="330">
        <f t="shared" si="34"/>
        <v>0</v>
      </c>
      <c r="P117" s="330">
        <f t="shared" si="34"/>
        <v>0</v>
      </c>
      <c r="Q117" s="330">
        <f t="shared" si="34"/>
        <v>0</v>
      </c>
      <c r="R117" s="330">
        <f t="shared" si="34"/>
        <v>0</v>
      </c>
      <c r="S117" s="330">
        <f t="shared" si="34"/>
        <v>0</v>
      </c>
      <c r="T117" s="330">
        <f t="shared" si="34"/>
        <v>0</v>
      </c>
      <c r="U117" s="330">
        <f>IF(U112&lt;0,0,IF(U114&gt;U112,-U112,-U114))</f>
        <v>0</v>
      </c>
    </row>
    <row r="118" spans="1:55">
      <c r="A118" s="313" t="s">
        <v>261</v>
      </c>
      <c r="B118" s="330">
        <f t="shared" ref="B118:U118" si="35">SUM(B114:B117)</f>
        <v>709.61983456894882</v>
      </c>
      <c r="C118" s="330">
        <f t="shared" si="35"/>
        <v>2470.5894873338816</v>
      </c>
      <c r="D118" s="330">
        <f t="shared" si="35"/>
        <v>3989.5801554299869</v>
      </c>
      <c r="E118" s="330">
        <f t="shared" si="35"/>
        <v>3897.9582374721685</v>
      </c>
      <c r="F118" s="330">
        <f t="shared" si="35"/>
        <v>3431.3973073792408</v>
      </c>
      <c r="G118" s="330">
        <f t="shared" si="35"/>
        <v>2691.4634219012441</v>
      </c>
      <c r="H118" s="330">
        <f t="shared" si="35"/>
        <v>1758.1812921906117</v>
      </c>
      <c r="I118" s="330">
        <f t="shared" si="35"/>
        <v>708.57236179945403</v>
      </c>
      <c r="J118" s="330">
        <f t="shared" si="35"/>
        <v>0</v>
      </c>
      <c r="K118" s="330">
        <f t="shared" si="35"/>
        <v>0</v>
      </c>
      <c r="L118" s="330">
        <f t="shared" si="35"/>
        <v>0</v>
      </c>
      <c r="M118" s="330">
        <f t="shared" si="35"/>
        <v>0</v>
      </c>
      <c r="N118" s="330">
        <f t="shared" si="35"/>
        <v>0</v>
      </c>
      <c r="O118" s="330">
        <f t="shared" si="35"/>
        <v>0</v>
      </c>
      <c r="P118" s="330">
        <f t="shared" si="35"/>
        <v>0</v>
      </c>
      <c r="Q118" s="330">
        <f t="shared" si="35"/>
        <v>0</v>
      </c>
      <c r="R118" s="330">
        <f t="shared" si="35"/>
        <v>0</v>
      </c>
      <c r="S118" s="330">
        <f t="shared" si="35"/>
        <v>0</v>
      </c>
      <c r="T118" s="330">
        <f t="shared" si="35"/>
        <v>0</v>
      </c>
      <c r="U118" s="330">
        <f t="shared" si="35"/>
        <v>0</v>
      </c>
    </row>
    <row r="119" spans="1:55">
      <c r="A119" s="313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55" ht="13.5" thickBot="1">
      <c r="A120" s="314" t="s">
        <v>221</v>
      </c>
      <c r="B120" s="635">
        <f>IF('NewCo_Summary Output'!$P$8=1,IF(B112&lt;0,0,B112+B117),B112)</f>
        <v>0</v>
      </c>
      <c r="C120" s="635">
        <f>IF('NewCo_Summary Output'!$P$8=1,IF(C112&lt;0,0,C112+C117),C112)</f>
        <v>0</v>
      </c>
      <c r="D120" s="635">
        <f>IF('NewCo_Summary Output'!$P$8=1,IF(D112&lt;0,0,D112+D117),D112)</f>
        <v>0</v>
      </c>
      <c r="E120" s="635">
        <f>IF('NewCo_Summary Output'!$P$8=1,IF(E112&lt;0,0,E112+E117),E112)</f>
        <v>0</v>
      </c>
      <c r="F120" s="635">
        <f>IF('NewCo_Summary Output'!$P$8=1,IF(F112&lt;0,0,F112+F117),F112)</f>
        <v>0</v>
      </c>
      <c r="G120" s="635">
        <f>IF('NewCo_Summary Output'!$P$8=1,IF(G112&lt;0,0,G112+G117),G112)</f>
        <v>0</v>
      </c>
      <c r="H120" s="635">
        <f>IF('NewCo_Summary Output'!$P$8=1,IF(H112&lt;0,0,H112+H117),H112)</f>
        <v>0</v>
      </c>
      <c r="I120" s="635">
        <f>IF('NewCo_Summary Output'!$P$8=1,IF(I112&lt;0,0,I112+I117),I112)</f>
        <v>0</v>
      </c>
      <c r="J120" s="635">
        <f>IF('NewCo_Summary Output'!$P$8=1,IF(J112&lt;0,0,J112+J117),J112)</f>
        <v>476.06225217988163</v>
      </c>
      <c r="K120" s="635">
        <f>IF('NewCo_Summary Output'!$P$8=1,IF(K112&lt;0,0,K112+K117),K112)</f>
        <v>1323.2243111089767</v>
      </c>
      <c r="L120" s="635">
        <f>IF('NewCo_Summary Output'!$P$8=1,IF(L112&lt;0,0,L112+L117),L112)</f>
        <v>1469.5616068145321</v>
      </c>
      <c r="M120" s="635">
        <f>IF('NewCo_Summary Output'!$P$8=1,IF(M112&lt;0,0,M112+M117),M112)</f>
        <v>1619.2449731402014</v>
      </c>
      <c r="N120" s="635">
        <f>IF('NewCo_Summary Output'!$P$8=1,IF(N112&lt;0,0,N112+N117),N112)</f>
        <v>1779.0132091370792</v>
      </c>
      <c r="O120" s="635">
        <f>IF('NewCo_Summary Output'!$P$8=1,IF(O112&lt;0,0,O112+O117),O112)</f>
        <v>1933.2139223381123</v>
      </c>
      <c r="P120" s="635">
        <f>IF('NewCo_Summary Output'!$P$8=1,IF(P112&lt;0,0,P112+P117),P112)</f>
        <v>2094.4815641066862</v>
      </c>
      <c r="Q120" s="635">
        <f>IF('NewCo_Summary Output'!$P$8=1,IF(Q112&lt;0,0,Q112+Q117),Q112)</f>
        <v>2937.1991420744698</v>
      </c>
      <c r="R120" s="635">
        <f>IF('NewCo_Summary Output'!$P$8=1,IF(R112&lt;0,0,R112+R117),R112)</f>
        <v>3785.9605689448517</v>
      </c>
      <c r="S120" s="635">
        <f>IF('NewCo_Summary Output'!$P$8=1,IF(S112&lt;0,0,S112+S117),S112)</f>
        <v>3931.1383216366307</v>
      </c>
      <c r="T120" s="635">
        <f>IF('NewCo_Summary Output'!$P$8=1,IF(T112&lt;0,0,T112+T117),T112)</f>
        <v>4064.194513113539</v>
      </c>
      <c r="U120" s="635">
        <f>IF('NewCo_Summary Output'!$P$8=1,IF(U112&lt;0,0,U112+U117),U112)</f>
        <v>4197.6891035329609</v>
      </c>
      <c r="W120" s="1054">
        <f>SUM(B120:U120)</f>
        <v>29610.983488127924</v>
      </c>
      <c r="X120" s="1054">
        <f>W112</f>
        <v>29610.983488127924</v>
      </c>
      <c r="Y120" s="1249">
        <f>W120-X120</f>
        <v>0</v>
      </c>
    </row>
    <row r="121" spans="1:55" outlineLevel="1">
      <c r="A121" s="43"/>
      <c r="B121" s="31"/>
      <c r="C121" s="31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</row>
    <row r="122" spans="1:55" outlineLevel="1">
      <c r="A122" s="43"/>
      <c r="B122" s="31"/>
      <c r="C122" s="31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</row>
    <row r="123" spans="1:55" ht="15.75">
      <c r="A123" s="1189" t="s">
        <v>642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</row>
    <row r="124" spans="1:55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s="21" customFormat="1">
      <c r="A125" s="1" t="s">
        <v>643</v>
      </c>
      <c r="B125" s="93">
        <f>B39</f>
        <v>10367.129415391955</v>
      </c>
      <c r="C125" s="93">
        <f t="shared" ref="C125:U125" si="36">C39</f>
        <v>10639.748263774985</v>
      </c>
      <c r="D125" s="93">
        <f t="shared" si="36"/>
        <v>10947.12949825235</v>
      </c>
      <c r="E125" s="93">
        <f t="shared" si="36"/>
        <v>18184.186640688687</v>
      </c>
      <c r="F125" s="93">
        <f t="shared" si="36"/>
        <v>20941.568646623939</v>
      </c>
      <c r="G125" s="93">
        <f t="shared" si="36"/>
        <v>22517.592221766172</v>
      </c>
      <c r="H125" s="93">
        <f t="shared" si="36"/>
        <v>24202.082919133409</v>
      </c>
      <c r="I125" s="93">
        <f t="shared" si="36"/>
        <v>25937.965303737041</v>
      </c>
      <c r="J125" s="93">
        <f t="shared" si="36"/>
        <v>27870.777454816023</v>
      </c>
      <c r="K125" s="93">
        <f t="shared" si="36"/>
        <v>29921.766941800081</v>
      </c>
      <c r="L125" s="93">
        <f t="shared" si="36"/>
        <v>32017.312511043834</v>
      </c>
      <c r="M125" s="93">
        <f t="shared" si="36"/>
        <v>34228.15570167813</v>
      </c>
      <c r="N125" s="93">
        <f t="shared" si="36"/>
        <v>36516.267870074575</v>
      </c>
      <c r="O125" s="93">
        <f t="shared" si="36"/>
        <v>38795.698089247031</v>
      </c>
      <c r="P125" s="93">
        <f t="shared" si="36"/>
        <v>41110.53482029782</v>
      </c>
      <c r="Q125" s="93">
        <f t="shared" si="36"/>
        <v>43219.931642314368</v>
      </c>
      <c r="R125" s="93">
        <f t="shared" si="36"/>
        <v>45416.649034991038</v>
      </c>
      <c r="S125" s="93">
        <f t="shared" si="36"/>
        <v>47549.819846069433</v>
      </c>
      <c r="T125" s="93">
        <f t="shared" si="36"/>
        <v>49517.502580984023</v>
      </c>
      <c r="U125" s="93">
        <f t="shared" si="36"/>
        <v>51494.727123826357</v>
      </c>
      <c r="W125" s="1054">
        <f>SUM(B125:U125)</f>
        <v>621396.5465265112</v>
      </c>
      <c r="X125" s="1054">
        <f>W39</f>
        <v>621396.5465265112</v>
      </c>
      <c r="Y125" s="1249">
        <f>W125-X125</f>
        <v>0</v>
      </c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1"/>
    </row>
    <row r="126" spans="1:55" s="21" customFormat="1">
      <c r="A126" s="1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W126" s="55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</row>
    <row r="127" spans="1:55" s="21" customFormat="1">
      <c r="A127" s="4" t="s">
        <v>788</v>
      </c>
      <c r="B127" s="90">
        <f>B107</f>
        <v>2309.8002412536589</v>
      </c>
      <c r="C127" s="90">
        <f t="shared" ref="C127:U127" si="37">C107</f>
        <v>2379.0942484912689</v>
      </c>
      <c r="D127" s="90">
        <f t="shared" si="37"/>
        <v>2450.4670759460073</v>
      </c>
      <c r="E127" s="90">
        <f t="shared" si="37"/>
        <v>2523.9810882243873</v>
      </c>
      <c r="F127" s="90">
        <f t="shared" si="37"/>
        <v>2599.7005208711189</v>
      </c>
      <c r="G127" s="90">
        <f t="shared" si="37"/>
        <v>2677.6915364972529</v>
      </c>
      <c r="H127" s="90">
        <f t="shared" si="37"/>
        <v>2758.0222825921705</v>
      </c>
      <c r="I127" s="90">
        <f t="shared" si="37"/>
        <v>2840.7629510699358</v>
      </c>
      <c r="J127" s="90">
        <f t="shared" si="37"/>
        <v>2925.985839602034</v>
      </c>
      <c r="K127" s="90">
        <f t="shared" si="37"/>
        <v>3013.7654147900953</v>
      </c>
      <c r="L127" s="90">
        <f t="shared" si="37"/>
        <v>3104.1783772337981</v>
      </c>
      <c r="M127" s="90">
        <f t="shared" si="37"/>
        <v>3197.3037285508121</v>
      </c>
      <c r="N127" s="90">
        <f t="shared" si="37"/>
        <v>3293.2228404073367</v>
      </c>
      <c r="O127" s="90">
        <f t="shared" si="37"/>
        <v>3392.019525619557</v>
      </c>
      <c r="P127" s="90">
        <f t="shared" si="37"/>
        <v>3493.7801113881437</v>
      </c>
      <c r="Q127" s="90">
        <f t="shared" si="37"/>
        <v>3598.5935147297882</v>
      </c>
      <c r="R127" s="90">
        <f t="shared" si="37"/>
        <v>3706.5513201716822</v>
      </c>
      <c r="S127" s="90">
        <f t="shared" si="37"/>
        <v>3817.7478597768327</v>
      </c>
      <c r="T127" s="90">
        <f t="shared" si="37"/>
        <v>3932.2802955701377</v>
      </c>
      <c r="U127" s="90">
        <f t="shared" si="37"/>
        <v>4050.2487044372419</v>
      </c>
      <c r="W127" s="1054">
        <f>SUM(B127:U127)</f>
        <v>62065.197477223264</v>
      </c>
      <c r="X127" s="1054">
        <f>NewCo_IS!X13*'NewCo_Summary Output'!C11*ENA_Allocation!E14</f>
        <v>62065.197477223264</v>
      </c>
      <c r="Y127" s="1249">
        <f>W127-X127</f>
        <v>0</v>
      </c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1"/>
    </row>
    <row r="128" spans="1:55" s="21" customFormat="1">
      <c r="A128" s="1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W128" s="55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 t="s">
        <v>27</v>
      </c>
      <c r="B129" s="93">
        <f>B125-B127</f>
        <v>8057.3291741382964</v>
      </c>
      <c r="C129" s="93">
        <f t="shared" ref="C129:U129" si="38">C125-C127</f>
        <v>8260.6540152837169</v>
      </c>
      <c r="D129" s="93">
        <f t="shared" si="38"/>
        <v>8496.6624223063427</v>
      </c>
      <c r="E129" s="93">
        <f t="shared" si="38"/>
        <v>15660.2055524643</v>
      </c>
      <c r="F129" s="93">
        <f t="shared" si="38"/>
        <v>18341.868125752819</v>
      </c>
      <c r="G129" s="93">
        <f t="shared" si="38"/>
        <v>19839.90068526892</v>
      </c>
      <c r="H129" s="93">
        <f t="shared" si="38"/>
        <v>21444.060636541239</v>
      </c>
      <c r="I129" s="93">
        <f t="shared" si="38"/>
        <v>23097.202352667104</v>
      </c>
      <c r="J129" s="93">
        <f t="shared" si="38"/>
        <v>24944.791615213988</v>
      </c>
      <c r="K129" s="93">
        <f t="shared" si="38"/>
        <v>26908.001527009987</v>
      </c>
      <c r="L129" s="93">
        <f t="shared" si="38"/>
        <v>28913.134133810036</v>
      </c>
      <c r="M129" s="93">
        <f t="shared" si="38"/>
        <v>31030.851973127319</v>
      </c>
      <c r="N129" s="93">
        <f t="shared" si="38"/>
        <v>33223.045029667235</v>
      </c>
      <c r="O129" s="93">
        <f t="shared" si="38"/>
        <v>35403.678563627473</v>
      </c>
      <c r="P129" s="93">
        <f t="shared" si="38"/>
        <v>37616.754708909677</v>
      </c>
      <c r="Q129" s="93">
        <f t="shared" si="38"/>
        <v>39621.338127584582</v>
      </c>
      <c r="R129" s="93">
        <f t="shared" si="38"/>
        <v>41710.097714819356</v>
      </c>
      <c r="S129" s="93">
        <f t="shared" si="38"/>
        <v>43732.071986292598</v>
      </c>
      <c r="T129" s="93">
        <f t="shared" si="38"/>
        <v>45585.222285413882</v>
      </c>
      <c r="U129" s="93">
        <f t="shared" si="38"/>
        <v>47444.478419389117</v>
      </c>
      <c r="W129" s="1054">
        <f>SUM(B129:U129)</f>
        <v>559331.34904928808</v>
      </c>
      <c r="X129" s="1054">
        <f>X125-X127</f>
        <v>559331.34904928796</v>
      </c>
      <c r="Y129" s="1249">
        <f>W129-X129</f>
        <v>0</v>
      </c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1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W130" s="55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>
      <c r="A131" s="4" t="s">
        <v>28</v>
      </c>
      <c r="B131" s="90">
        <f>-B111*B129</f>
        <v>-578.51623470312973</v>
      </c>
      <c r="C131" s="90">
        <f t="shared" ref="C131:U131" si="39">-C111*C129</f>
        <v>-593.11495829737089</v>
      </c>
      <c r="D131" s="90">
        <f t="shared" si="39"/>
        <v>-610.06036192159547</v>
      </c>
      <c r="E131" s="90">
        <f t="shared" si="39"/>
        <v>-1124.4027586669367</v>
      </c>
      <c r="F131" s="90">
        <f t="shared" si="39"/>
        <v>-1316.9461314290525</v>
      </c>
      <c r="G131" s="90">
        <f t="shared" si="39"/>
        <v>-1424.5048692023086</v>
      </c>
      <c r="H131" s="90">
        <f t="shared" si="39"/>
        <v>-1539.6835537036609</v>
      </c>
      <c r="I131" s="90">
        <f t="shared" si="39"/>
        <v>-1658.379128921498</v>
      </c>
      <c r="J131" s="90">
        <f t="shared" si="39"/>
        <v>-1791.0360379723643</v>
      </c>
      <c r="K131" s="90">
        <f t="shared" si="39"/>
        <v>-1931.9945096393171</v>
      </c>
      <c r="L131" s="90">
        <f t="shared" si="39"/>
        <v>-2075.9630308075607</v>
      </c>
      <c r="M131" s="90">
        <f t="shared" si="39"/>
        <v>-2228.0151716705418</v>
      </c>
      <c r="N131" s="90">
        <f t="shared" si="39"/>
        <v>-2385.4146331301076</v>
      </c>
      <c r="O131" s="90">
        <f t="shared" si="39"/>
        <v>-2541.9841208684525</v>
      </c>
      <c r="P131" s="90">
        <f t="shared" si="39"/>
        <v>-2700.882988099715</v>
      </c>
      <c r="Q131" s="90">
        <f t="shared" si="39"/>
        <v>-2844.812077560573</v>
      </c>
      <c r="R131" s="90">
        <f t="shared" si="39"/>
        <v>-2994.7850159240297</v>
      </c>
      <c r="S131" s="90">
        <f t="shared" si="39"/>
        <v>-3139.9627686158087</v>
      </c>
      <c r="T131" s="90">
        <f t="shared" si="39"/>
        <v>-3273.018960092717</v>
      </c>
      <c r="U131" s="90">
        <f t="shared" si="39"/>
        <v>-3406.5135505121389</v>
      </c>
      <c r="W131" s="1054">
        <f>SUM(B131:U131)</f>
        <v>-40159.990861738879</v>
      </c>
      <c r="X131" s="1054">
        <f>-X129*U111</f>
        <v>-40159.990861738879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outlineLevel="1">
      <c r="A132" s="42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43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outlineLevel="1">
      <c r="A134" s="42"/>
      <c r="B134" s="31"/>
      <c r="C134" s="31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 outlineLevel="1">
      <c r="A135" s="43"/>
      <c r="B135" s="31"/>
      <c r="C135" s="31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3"/>
      <c r="B136" s="31"/>
      <c r="C136" s="31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outlineLevel="1">
      <c r="A137" s="43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3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outlineLevel="1">
      <c r="A139" s="43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3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 outlineLevel="1">
      <c r="A142" s="1066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outlineLevel="1">
      <c r="A143" s="43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5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5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2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4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4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4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4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 outlineLevel="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 outlineLevel="1">
      <c r="A158" s="8"/>
      <c r="B158" s="8"/>
      <c r="C158" s="8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</row>
    <row r="159" spans="1:21" ht="18.75" outlineLevel="1">
      <c r="A159" s="106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outlineLevel="1">
      <c r="A160" s="21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outlineLevel="1">
      <c r="A161" s="21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outlineLevel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outlineLevel="1">
      <c r="A163" s="3"/>
      <c r="B163" s="11"/>
      <c r="C163" s="11"/>
      <c r="D163" s="11"/>
      <c r="E163" s="11"/>
      <c r="F163" s="11"/>
      <c r="G163" s="11"/>
      <c r="H163" s="11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outlineLevel="1">
      <c r="A164" s="21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outlineLevel="1">
      <c r="A165" s="48"/>
      <c r="B165" s="49"/>
      <c r="C165" s="49"/>
      <c r="D165" s="49"/>
      <c r="E165" s="49"/>
      <c r="F165" s="49"/>
      <c r="G165" s="49"/>
      <c r="H165" s="49"/>
      <c r="I165" s="8"/>
      <c r="J165" s="4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outlineLevel="1">
      <c r="A166" s="48"/>
      <c r="B166" s="49"/>
      <c r="C166" s="49"/>
      <c r="D166" s="49"/>
      <c r="E166" s="49"/>
      <c r="F166" s="49"/>
      <c r="G166" s="49"/>
      <c r="H166" s="49"/>
      <c r="I166" s="8"/>
      <c r="J166" s="4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outlineLevel="1">
      <c r="A167" s="48"/>
      <c r="B167" s="49"/>
      <c r="C167" s="49"/>
      <c r="D167" s="49"/>
      <c r="E167" s="49"/>
      <c r="F167" s="49"/>
      <c r="G167" s="49"/>
      <c r="H167" s="49"/>
      <c r="I167" s="8"/>
      <c r="J167" s="4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outlineLevel="1">
      <c r="A168" s="48"/>
      <c r="B168" s="49"/>
      <c r="C168" s="49"/>
      <c r="D168" s="49"/>
      <c r="E168" s="49"/>
      <c r="F168" s="49"/>
      <c r="G168" s="49"/>
      <c r="H168" s="49"/>
      <c r="I168" s="8"/>
      <c r="J168" s="4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48"/>
      <c r="B169" s="49"/>
      <c r="C169" s="49"/>
      <c r="D169" s="49"/>
      <c r="E169" s="49"/>
      <c r="F169" s="49"/>
      <c r="G169" s="49"/>
      <c r="H169" s="49"/>
      <c r="I169" s="8"/>
      <c r="J169" s="4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8"/>
      <c r="B170" s="49"/>
      <c r="C170" s="49"/>
      <c r="D170" s="49"/>
      <c r="E170" s="49"/>
      <c r="F170" s="49"/>
      <c r="G170" s="49"/>
      <c r="H170" s="49"/>
      <c r="I170" s="8"/>
      <c r="J170" s="4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21"/>
      <c r="B171" s="49"/>
      <c r="C171" s="49"/>
      <c r="D171" s="49"/>
      <c r="E171" s="49"/>
      <c r="F171" s="49"/>
      <c r="G171" s="49"/>
      <c r="H171" s="49"/>
      <c r="I171" s="8"/>
      <c r="J171" s="4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48"/>
      <c r="B172" s="49"/>
      <c r="C172" s="49"/>
      <c r="D172" s="49"/>
      <c r="E172" s="49"/>
      <c r="F172" s="49"/>
      <c r="G172" s="49"/>
      <c r="H172" s="49"/>
      <c r="I172" s="8"/>
      <c r="J172" s="4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48"/>
      <c r="B173" s="49"/>
      <c r="C173" s="49"/>
      <c r="D173" s="49"/>
      <c r="E173" s="49"/>
      <c r="F173" s="49"/>
      <c r="G173" s="49"/>
      <c r="H173" s="49"/>
      <c r="I173" s="8"/>
      <c r="J173" s="4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4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48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21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21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21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21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21"/>
      <c r="B207" s="8"/>
      <c r="C207" s="24"/>
      <c r="D207" s="24"/>
      <c r="E207" s="24"/>
      <c r="F207" s="24"/>
      <c r="G207" s="24"/>
      <c r="H207" s="24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21"/>
      <c r="B208" s="8"/>
      <c r="C208" s="24"/>
      <c r="D208" s="24"/>
      <c r="E208" s="24"/>
      <c r="F208" s="24"/>
      <c r="G208" s="24"/>
      <c r="H208" s="24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21"/>
      <c r="B209" s="8"/>
      <c r="C209" s="24"/>
      <c r="D209" s="24"/>
      <c r="E209" s="24"/>
      <c r="F209" s="24"/>
      <c r="G209" s="24"/>
      <c r="H209" s="24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8"/>
      <c r="C210" s="24"/>
      <c r="D210" s="24"/>
      <c r="E210" s="24"/>
      <c r="F210" s="24"/>
      <c r="G210" s="24"/>
      <c r="H210" s="24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ht="18.75" outlineLevel="1">
      <c r="A212" s="106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s="54" customFormat="1" outlineLevel="1">
      <c r="A216" s="53"/>
    </row>
    <row r="217" spans="1:21" outlineLevel="1">
      <c r="A217" s="21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55"/>
      <c r="D218" s="55"/>
      <c r="E218" s="55"/>
      <c r="F218" s="55"/>
      <c r="G218" s="55"/>
      <c r="H218" s="55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55"/>
      <c r="D219" s="55"/>
      <c r="E219" s="55"/>
      <c r="F219" s="55"/>
      <c r="G219" s="55"/>
      <c r="H219" s="55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57"/>
      <c r="D220" s="57"/>
      <c r="E220" s="57"/>
      <c r="F220" s="57"/>
      <c r="G220" s="57"/>
      <c r="H220" s="57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21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53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59"/>
      <c r="B223" s="8"/>
      <c r="C223" s="24"/>
      <c r="D223" s="24"/>
      <c r="E223" s="24"/>
      <c r="F223" s="24"/>
      <c r="G223" s="24"/>
      <c r="H223" s="24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59"/>
      <c r="B224" s="8"/>
      <c r="C224" s="24"/>
      <c r="D224" s="24"/>
      <c r="E224" s="24"/>
      <c r="F224" s="24"/>
      <c r="G224" s="24"/>
      <c r="H224" s="24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59"/>
      <c r="B225" s="8"/>
      <c r="C225" s="24"/>
      <c r="D225" s="24"/>
      <c r="E225" s="24"/>
      <c r="F225" s="24"/>
      <c r="G225" s="24"/>
      <c r="H225" s="24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59"/>
      <c r="B226" s="8"/>
      <c r="C226" s="24"/>
      <c r="D226" s="24"/>
      <c r="E226" s="24"/>
      <c r="F226" s="24"/>
      <c r="G226" s="24"/>
      <c r="H226" s="24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59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60"/>
      <c r="D228" s="60"/>
      <c r="E228" s="60"/>
      <c r="F228" s="60"/>
      <c r="G228" s="60"/>
      <c r="H228" s="60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59"/>
      <c r="B229" s="8"/>
      <c r="C229" s="61"/>
      <c r="D229" s="61"/>
      <c r="E229" s="61"/>
      <c r="F229" s="61"/>
      <c r="G229" s="61"/>
      <c r="H229" s="61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59"/>
      <c r="B230" s="8"/>
      <c r="C230" s="61"/>
      <c r="D230" s="61"/>
      <c r="E230" s="61"/>
      <c r="F230" s="61"/>
      <c r="G230" s="61"/>
      <c r="H230" s="61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9"/>
      <c r="B231" s="8"/>
      <c r="C231" s="61"/>
      <c r="D231" s="61"/>
      <c r="E231" s="61"/>
      <c r="F231" s="61"/>
      <c r="G231" s="61"/>
      <c r="H231" s="61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61"/>
      <c r="D232" s="61"/>
      <c r="E232" s="61"/>
      <c r="F232" s="61"/>
      <c r="G232" s="61"/>
      <c r="H232" s="61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60"/>
      <c r="D233" s="60"/>
      <c r="E233" s="60"/>
      <c r="F233" s="60"/>
      <c r="G233" s="60"/>
      <c r="H233" s="60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8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24"/>
      <c r="D236" s="24"/>
      <c r="E236" s="24"/>
      <c r="F236" s="24"/>
      <c r="G236" s="24"/>
      <c r="H236" s="24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8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8"/>
      <c r="B238" s="62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55"/>
      <c r="D241" s="55"/>
      <c r="E241" s="55"/>
      <c r="F241" s="55"/>
      <c r="G241" s="55"/>
      <c r="H241" s="55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55"/>
      <c r="D242" s="55"/>
      <c r="E242" s="55"/>
      <c r="F242" s="55"/>
      <c r="G242" s="55"/>
      <c r="H242" s="55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59"/>
      <c r="B243" s="8"/>
      <c r="C243" s="55"/>
      <c r="D243" s="55"/>
      <c r="E243" s="55"/>
      <c r="F243" s="55"/>
      <c r="G243" s="55"/>
      <c r="H243" s="55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59"/>
      <c r="B244" s="62"/>
      <c r="C244" s="55"/>
      <c r="D244" s="55"/>
      <c r="E244" s="55"/>
      <c r="F244" s="55"/>
      <c r="G244" s="55"/>
      <c r="H244" s="55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55"/>
      <c r="D245" s="55"/>
      <c r="E245" s="55"/>
      <c r="F245" s="55"/>
      <c r="G245" s="55"/>
      <c r="H245" s="55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55"/>
      <c r="D246" s="55"/>
      <c r="E246" s="55"/>
      <c r="F246" s="55"/>
      <c r="G246" s="55"/>
      <c r="H246" s="55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55"/>
      <c r="D247" s="55"/>
      <c r="E247" s="55"/>
      <c r="F247" s="55"/>
      <c r="G247" s="55"/>
      <c r="H247" s="55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8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21"/>
      <c r="B252" s="63"/>
      <c r="C252" s="63"/>
      <c r="D252" s="63"/>
      <c r="E252" s="63"/>
      <c r="F252" s="63"/>
      <c r="G252" s="63"/>
      <c r="H252" s="6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21"/>
      <c r="B253" s="62"/>
      <c r="C253" s="63"/>
      <c r="D253" s="63"/>
      <c r="E253" s="63"/>
      <c r="F253" s="63"/>
      <c r="G253" s="63"/>
      <c r="H253" s="6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63"/>
      <c r="C254" s="63"/>
      <c r="D254" s="63"/>
      <c r="E254" s="63"/>
      <c r="F254" s="63"/>
      <c r="G254" s="63"/>
      <c r="H254" s="6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21"/>
      <c r="B255" s="8"/>
      <c r="C255" s="63"/>
      <c r="D255" s="63"/>
      <c r="E255" s="63"/>
      <c r="F255" s="63"/>
      <c r="G255" s="63"/>
      <c r="H255" s="6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49"/>
      <c r="D260" s="49"/>
      <c r="E260" s="49"/>
      <c r="F260" s="49"/>
      <c r="G260" s="49"/>
      <c r="H260" s="49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8"/>
      <c r="B262" s="8"/>
      <c r="C262" s="64"/>
      <c r="D262" s="64"/>
      <c r="E262" s="64"/>
      <c r="F262" s="64"/>
      <c r="G262" s="64"/>
      <c r="H262" s="64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8"/>
      <c r="B263" s="8"/>
      <c r="C263" s="49"/>
      <c r="D263" s="49"/>
      <c r="E263" s="49"/>
      <c r="F263" s="49"/>
      <c r="G263" s="49"/>
      <c r="H263" s="49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8"/>
      <c r="B264" s="8"/>
      <c r="C264" s="64"/>
      <c r="D264" s="64"/>
      <c r="E264" s="64"/>
      <c r="F264" s="64"/>
      <c r="G264" s="64"/>
      <c r="H264" s="6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65"/>
      <c r="D265" s="65"/>
      <c r="E265" s="65"/>
      <c r="F265" s="65"/>
      <c r="G265" s="65"/>
      <c r="H265" s="65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65"/>
      <c r="D266" s="65"/>
      <c r="E266" s="65"/>
      <c r="F266" s="65"/>
      <c r="G266" s="65"/>
      <c r="H266" s="65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ht="18.75" hidden="1" outlineLevel="2">
      <c r="A267" s="1067"/>
      <c r="B267" s="8"/>
      <c r="C267" s="65"/>
      <c r="D267" s="65"/>
      <c r="E267" s="65"/>
      <c r="F267" s="65"/>
      <c r="G267" s="65"/>
      <c r="H267" s="65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hidden="1" outlineLevel="2">
      <c r="A268" s="21"/>
      <c r="B268" s="8"/>
      <c r="C268" s="65"/>
      <c r="D268" s="65"/>
      <c r="E268" s="65"/>
      <c r="F268" s="65"/>
      <c r="G268" s="65"/>
      <c r="H268" s="6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hidden="1" outlineLevel="2">
      <c r="A269" s="8"/>
      <c r="B269" s="8"/>
      <c r="C269" s="65"/>
      <c r="D269" s="65"/>
      <c r="E269" s="65"/>
      <c r="F269" s="65"/>
      <c r="G269" s="65"/>
      <c r="H269" s="65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hidden="1" outlineLevel="2">
      <c r="A270" s="21"/>
      <c r="B270" s="13"/>
      <c r="C270" s="13"/>
      <c r="D270" s="12"/>
      <c r="E270" s="12"/>
      <c r="F270" s="13"/>
      <c r="G270" s="13"/>
      <c r="H270" s="12"/>
      <c r="I270" s="13"/>
      <c r="J270" s="13"/>
      <c r="K270" s="13"/>
      <c r="L270" s="12"/>
      <c r="M270" s="13"/>
      <c r="N270" s="13"/>
      <c r="O270" s="8"/>
      <c r="P270" s="8"/>
      <c r="Q270" s="8"/>
      <c r="R270" s="8"/>
      <c r="S270" s="8"/>
      <c r="T270" s="13"/>
      <c r="U270" s="8"/>
    </row>
    <row r="271" spans="1:21" hidden="1" outlineLevel="2">
      <c r="A271" s="21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hidden="1" outlineLevel="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5" hidden="1" outlineLevel="2">
      <c r="A273" s="8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8"/>
      <c r="P273" s="8"/>
      <c r="Q273" s="8"/>
      <c r="R273" s="8"/>
      <c r="S273" s="8"/>
      <c r="T273" s="49"/>
      <c r="U273" s="8"/>
    </row>
    <row r="274" spans="1:25" hidden="1" outlineLevel="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5" hidden="1" outlineLevel="2">
      <c r="A275" s="8"/>
      <c r="B275" s="63"/>
      <c r="C275" s="63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8"/>
      <c r="P275" s="8"/>
      <c r="Q275" s="8"/>
      <c r="R275" s="8"/>
      <c r="S275" s="8"/>
      <c r="T275" s="49"/>
      <c r="U275" s="8"/>
    </row>
    <row r="276" spans="1:25" hidden="1" outlineLevel="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5" hidden="1" outlineLevel="2">
      <c r="A277" s="8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8"/>
      <c r="P277" s="8"/>
      <c r="Q277" s="8"/>
      <c r="R277" s="8"/>
      <c r="S277" s="8"/>
      <c r="T277" s="49"/>
      <c r="U277" s="49"/>
      <c r="V277" s="49"/>
      <c r="W277" s="49"/>
      <c r="X277" s="49"/>
      <c r="Y277" s="49"/>
    </row>
    <row r="278" spans="1:25" hidden="1" outlineLevel="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5" hidden="1" outlineLevel="2">
      <c r="A279" s="8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8"/>
      <c r="P279" s="8"/>
      <c r="Q279" s="8"/>
      <c r="R279" s="8"/>
      <c r="S279" s="8"/>
      <c r="T279" s="49"/>
      <c r="U279" s="8"/>
    </row>
    <row r="280" spans="1:25" hidden="1" outlineLevel="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5" hidden="1" outlineLevel="2">
      <c r="A281" s="8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8"/>
      <c r="P281" s="8"/>
      <c r="Q281" s="8"/>
      <c r="R281" s="8"/>
      <c r="S281" s="8"/>
      <c r="T281" s="49"/>
      <c r="U281" s="49"/>
    </row>
    <row r="282" spans="1:25" hidden="1" outlineLevel="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5" hidden="1" outlineLevel="2">
      <c r="A283" s="8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8"/>
      <c r="P283" s="8"/>
      <c r="Q283" s="8"/>
      <c r="R283" s="8"/>
      <c r="S283" s="8"/>
      <c r="T283" s="49"/>
      <c r="U283" s="49"/>
    </row>
    <row r="284" spans="1:25" hidden="1" outlineLevel="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5" outlineLevel="1" collapsed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5" outlineLevel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5" ht="18.75" outlineLevel="1">
      <c r="A288" s="106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21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21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3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 outlineLevel="1">
      <c r="A293" s="21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48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</row>
    <row r="295" spans="1:21" outlineLevel="1">
      <c r="A295" s="48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</row>
    <row r="296" spans="1:21" outlineLevel="1">
      <c r="A296" s="48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</row>
    <row r="297" spans="1:21" outlineLevel="1">
      <c r="A297" s="48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</row>
    <row r="298" spans="1:21" outlineLevel="1">
      <c r="A298" s="48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</row>
    <row r="299" spans="1:21" outlineLevel="1">
      <c r="A299" s="8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</row>
    <row r="300" spans="1:21" outlineLevel="1">
      <c r="A300" s="21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</row>
    <row r="301" spans="1:21" outlineLevel="1">
      <c r="A301" s="48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</row>
    <row r="302" spans="1:21" outlineLevel="1">
      <c r="A302" s="48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4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4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21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21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21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21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4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21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3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21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21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21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1:21" ht="18.75" outlineLevel="1">
      <c r="A338" s="106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1:21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1:21" outlineLevel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1:21" outlineLevel="1">
      <c r="A342" s="3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8"/>
      <c r="P342" s="8"/>
      <c r="Q342" s="8"/>
      <c r="R342" s="8"/>
      <c r="S342" s="8"/>
      <c r="T342" s="8"/>
      <c r="U342" s="8"/>
    </row>
    <row r="343" spans="1:21" outlineLevel="1">
      <c r="A343" s="21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1:21" outlineLevel="1">
      <c r="A344" s="48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8"/>
      <c r="P344" s="8"/>
      <c r="Q344" s="8"/>
      <c r="R344" s="8"/>
      <c r="S344" s="8"/>
      <c r="T344" s="8"/>
      <c r="U344" s="8"/>
    </row>
    <row r="345" spans="1:21" outlineLevel="1">
      <c r="A345" s="48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8"/>
      <c r="P345" s="8"/>
      <c r="Q345" s="8"/>
      <c r="R345" s="8"/>
      <c r="S345" s="8"/>
      <c r="T345" s="8"/>
      <c r="U345" s="8"/>
    </row>
    <row r="346" spans="1:21" outlineLevel="1">
      <c r="A346" s="48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8"/>
      <c r="P346" s="8"/>
      <c r="Q346" s="8"/>
      <c r="R346" s="8"/>
      <c r="S346" s="8"/>
      <c r="T346" s="8"/>
      <c r="U346" s="8"/>
    </row>
    <row r="347" spans="1:21" outlineLevel="1">
      <c r="A347" s="48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8"/>
      <c r="P347" s="8"/>
      <c r="Q347" s="8"/>
      <c r="R347" s="8"/>
      <c r="S347" s="8"/>
      <c r="T347" s="8"/>
      <c r="U347" s="8"/>
    </row>
    <row r="348" spans="1:21" outlineLevel="1">
      <c r="A348" s="48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8"/>
      <c r="P348" s="8"/>
      <c r="Q348" s="8"/>
      <c r="R348" s="8"/>
      <c r="S348" s="8"/>
      <c r="T348" s="8"/>
      <c r="U348" s="8"/>
    </row>
    <row r="349" spans="1:21" outlineLevel="1">
      <c r="A349" s="48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8"/>
      <c r="P349" s="8"/>
      <c r="Q349" s="8"/>
      <c r="R349" s="8"/>
      <c r="S349" s="8"/>
      <c r="T349" s="8"/>
      <c r="U349" s="8"/>
    </row>
    <row r="350" spans="1:21" outlineLevel="1">
      <c r="A350" s="21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8"/>
      <c r="P350" s="8"/>
      <c r="Q350" s="8"/>
      <c r="R350" s="8"/>
      <c r="S350" s="8"/>
      <c r="T350" s="8"/>
      <c r="U350" s="8"/>
    </row>
    <row r="351" spans="1:21" outlineLevel="1">
      <c r="A351" s="48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8"/>
      <c r="P351" s="8"/>
      <c r="Q351" s="8"/>
      <c r="R351" s="8"/>
      <c r="S351" s="8"/>
      <c r="T351" s="8"/>
      <c r="U351" s="8"/>
    </row>
    <row r="352" spans="1:21" outlineLevel="1">
      <c r="A352" s="48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48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21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21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21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21"/>
      <c r="B371" s="66"/>
      <c r="C371"/>
      <c r="D371"/>
      <c r="E371"/>
      <c r="F371"/>
      <c r="G371"/>
      <c r="H371"/>
      <c r="I371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/>
      <c r="D372"/>
      <c r="E372"/>
      <c r="F372"/>
      <c r="G372"/>
      <c r="H372"/>
      <c r="I372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66"/>
      <c r="C373"/>
      <c r="D373"/>
      <c r="E373"/>
      <c r="F373"/>
      <c r="G373"/>
      <c r="H373"/>
      <c r="I373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21"/>
      <c r="B374" s="66"/>
      <c r="C374"/>
      <c r="D374"/>
      <c r="E374"/>
      <c r="F374"/>
      <c r="G374"/>
      <c r="H374"/>
      <c r="I374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/>
      <c r="D375"/>
      <c r="E375"/>
      <c r="F375"/>
      <c r="G375"/>
      <c r="H375"/>
      <c r="I375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8"/>
      <c r="B376" s="66"/>
      <c r="C376"/>
      <c r="D376"/>
      <c r="E376"/>
      <c r="F376"/>
      <c r="G376"/>
      <c r="H376"/>
      <c r="I37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spans="1:21" outlineLevel="1">
      <c r="A377" s="8"/>
      <c r="B377" s="66"/>
      <c r="C377"/>
      <c r="D377"/>
      <c r="E377"/>
      <c r="F377"/>
      <c r="G377"/>
      <c r="H377"/>
      <c r="I377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spans="1:21" outlineLevel="1">
      <c r="A378" s="8"/>
      <c r="B378" s="66"/>
      <c r="C378"/>
      <c r="D378"/>
      <c r="E378"/>
      <c r="F378"/>
      <c r="G378"/>
      <c r="H378"/>
      <c r="I378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spans="1:21" outlineLevel="1">
      <c r="A379" s="8"/>
      <c r="B379" s="66"/>
      <c r="C379"/>
      <c r="D379"/>
      <c r="E379"/>
      <c r="F379"/>
      <c r="G379"/>
      <c r="H379"/>
      <c r="I379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spans="1:21" outlineLevel="1">
      <c r="A380" s="8"/>
      <c r="B380" s="66"/>
      <c r="C380"/>
      <c r="D380"/>
      <c r="E380"/>
      <c r="F380"/>
      <c r="G380"/>
      <c r="H380"/>
      <c r="I380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spans="1:21" outlineLevel="1">
      <c r="A381" s="8"/>
      <c r="B381" s="66"/>
      <c r="C381"/>
      <c r="D381"/>
      <c r="E381"/>
      <c r="F381"/>
      <c r="G381"/>
      <c r="H381"/>
      <c r="I381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spans="1:21" outlineLevel="1">
      <c r="A382" s="21"/>
      <c r="B382" s="66"/>
      <c r="C382"/>
      <c r="D382"/>
      <c r="E382"/>
      <c r="F382"/>
      <c r="G382"/>
      <c r="H382"/>
      <c r="I382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spans="1:21" outlineLevel="1">
      <c r="A383" s="8"/>
      <c r="B383" s="66"/>
      <c r="C383"/>
      <c r="D383"/>
      <c r="E383"/>
      <c r="F383"/>
      <c r="G383"/>
      <c r="H383"/>
      <c r="I383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spans="1:21" outlineLevel="1">
      <c r="A384" s="8"/>
      <c r="B384" s="66"/>
      <c r="C384"/>
      <c r="D384"/>
      <c r="E384"/>
      <c r="F384"/>
      <c r="G384"/>
      <c r="H384"/>
      <c r="I384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spans="1:21" outlineLevel="1">
      <c r="A385" s="21"/>
      <c r="B385" s="66"/>
      <c r="C385"/>
      <c r="D385"/>
      <c r="E385"/>
      <c r="F385"/>
      <c r="G385"/>
      <c r="H385"/>
      <c r="I385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21"/>
      <c r="B386" s="66"/>
      <c r="C386"/>
      <c r="D386"/>
      <c r="E386"/>
      <c r="F386"/>
      <c r="G386"/>
      <c r="H386"/>
      <c r="I38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/>
      <c r="D387"/>
      <c r="E387"/>
      <c r="F387"/>
      <c r="G387"/>
      <c r="H387"/>
      <c r="I387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/>
      <c r="D388"/>
      <c r="E388"/>
      <c r="F388"/>
      <c r="G388"/>
      <c r="H388"/>
      <c r="I388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/>
      <c r="D389"/>
      <c r="E389"/>
      <c r="F389"/>
      <c r="G389"/>
      <c r="H389"/>
      <c r="I389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/>
      <c r="D390"/>
      <c r="E390"/>
      <c r="F390"/>
      <c r="G390"/>
      <c r="H390"/>
      <c r="I390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8"/>
      <c r="B391" s="66"/>
      <c r="C391"/>
      <c r="D391"/>
      <c r="E391"/>
      <c r="F391"/>
      <c r="G391"/>
      <c r="H391"/>
      <c r="I391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/>
      <c r="D392"/>
      <c r="E392"/>
      <c r="F392"/>
      <c r="G392"/>
      <c r="H392"/>
      <c r="I392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/>
      <c r="D393"/>
      <c r="E393"/>
      <c r="F393"/>
      <c r="G393"/>
      <c r="H393"/>
      <c r="I393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21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7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8"/>
      <c r="P399" s="8"/>
      <c r="Q399" s="8"/>
      <c r="R399" s="8"/>
      <c r="S399" s="8"/>
      <c r="T399" s="8"/>
      <c r="U399" s="8"/>
    </row>
    <row r="400" spans="1:21" outlineLevel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1:21" ht="18.75" outlineLevel="1">
      <c r="A401" s="106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1:21" outlineLevel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1:21" outlineLevel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1:21" outlineLevel="1">
      <c r="A405" s="3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 outlineLevel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8"/>
      <c r="C407" s="35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8"/>
      <c r="P407" s="8"/>
      <c r="Q407" s="8"/>
      <c r="R407" s="8"/>
      <c r="S407" s="8"/>
      <c r="T407" s="8"/>
      <c r="U407" s="8"/>
    </row>
    <row r="408" spans="1:21" outlineLevel="1">
      <c r="A408" s="8"/>
      <c r="B408" s="8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35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8"/>
      <c r="P409" s="8"/>
      <c r="Q409" s="8"/>
      <c r="R409" s="8"/>
      <c r="S409" s="8"/>
      <c r="T409" s="8"/>
      <c r="U409" s="8"/>
    </row>
    <row r="410" spans="1:21" outlineLevel="1">
      <c r="A410" s="8"/>
      <c r="B410" s="8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8"/>
      <c r="P410" s="8"/>
      <c r="Q410" s="8"/>
      <c r="R410" s="8"/>
      <c r="S410" s="8"/>
      <c r="T410" s="8"/>
      <c r="U410" s="8"/>
    </row>
    <row r="411" spans="1:21" outlineLevel="1">
      <c r="A411" s="8"/>
      <c r="B411" s="8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8"/>
      <c r="P411" s="8"/>
      <c r="Q411" s="8"/>
      <c r="R411" s="8"/>
      <c r="S411" s="8"/>
      <c r="T411" s="8"/>
      <c r="U411" s="8"/>
    </row>
    <row r="412" spans="1:21" outlineLevel="1">
      <c r="A412" s="59"/>
      <c r="B412" s="8"/>
      <c r="C412" s="35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8"/>
      <c r="P412" s="8"/>
      <c r="Q412" s="8"/>
      <c r="R412" s="8"/>
      <c r="S412" s="8"/>
      <c r="T412" s="8"/>
      <c r="U412" s="8"/>
    </row>
    <row r="413" spans="1:21" outlineLevel="1">
      <c r="A413" s="59"/>
      <c r="B413" s="8"/>
      <c r="C413" s="35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1:21" outlineLevel="1">
      <c r="A415" s="8"/>
      <c r="B415" s="67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8"/>
      <c r="P415" s="8"/>
      <c r="Q415" s="8"/>
      <c r="R415" s="8"/>
      <c r="S415" s="8"/>
      <c r="T415" s="8"/>
      <c r="U415" s="8"/>
    </row>
    <row r="416" spans="1:21" outlineLevel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:21" outlineLevel="1">
      <c r="A417" s="21"/>
      <c r="B417" s="8"/>
      <c r="C417" s="35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8"/>
      <c r="P418" s="8"/>
      <c r="Q418" s="8"/>
      <c r="R418" s="8"/>
      <c r="S418" s="8"/>
      <c r="T418" s="8"/>
      <c r="U418" s="8"/>
    </row>
    <row r="419" spans="1:21" outlineLevel="1">
      <c r="A419" s="21"/>
      <c r="B419" s="8"/>
      <c r="C419" s="35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:21" outlineLevel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:21" s="71" customFormat="1" ht="18.75" outlineLevel="1">
      <c r="A422" s="1069"/>
      <c r="B422" s="70"/>
      <c r="C422" s="70"/>
    </row>
    <row r="423" spans="1:21" s="71" customFormat="1" outlineLevel="1">
      <c r="A423" s="70"/>
      <c r="B423" s="72"/>
      <c r="C423" s="73"/>
      <c r="D423" s="70"/>
      <c r="E423" s="74"/>
    </row>
    <row r="424" spans="1:21" s="71" customFormat="1" outlineLevel="1">
      <c r="A424" s="70"/>
      <c r="B424" s="75"/>
      <c r="C424" s="51"/>
      <c r="D424" s="51"/>
      <c r="E424" s="74"/>
    </row>
    <row r="425" spans="1:21" s="71" customFormat="1" outlineLevel="1">
      <c r="A425" s="70"/>
      <c r="B425" s="51"/>
      <c r="C425" s="74"/>
      <c r="D425" s="51"/>
      <c r="E425" s="75"/>
    </row>
    <row r="426" spans="1:21" s="71" customFormat="1" outlineLevel="1">
      <c r="A426" s="76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spans="1:21" s="71" customFormat="1" outlineLevel="1">
      <c r="A427" s="44"/>
      <c r="B427" s="70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</row>
    <row r="428" spans="1:21" s="71" customFormat="1" outlineLevel="1">
      <c r="A428" s="43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</row>
    <row r="429" spans="1:21" s="71" customFormat="1" outlineLevel="1">
      <c r="A429" s="43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</row>
    <row r="430" spans="1:21" s="71" customFormat="1" outlineLevel="1">
      <c r="A430" s="43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</row>
    <row r="431" spans="1:21" s="71" customFormat="1" outlineLevel="1">
      <c r="A431" s="42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</row>
    <row r="432" spans="1:21" s="71" customFormat="1" outlineLevel="1">
      <c r="A432" s="3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</row>
    <row r="433" spans="1:21" s="71" customFormat="1" outlineLevel="1">
      <c r="A433" s="44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</row>
    <row r="434" spans="1:21" s="71" customFormat="1" outlineLevel="1">
      <c r="A434" s="80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</row>
    <row r="435" spans="1:21" s="71" customFormat="1" outlineLevel="1">
      <c r="A435" s="80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</row>
    <row r="436" spans="1:21" s="71" customFormat="1" outlineLevel="1">
      <c r="A436" s="80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80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80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6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80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80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80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44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44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44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4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43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43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44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45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s="71" customFormat="1" outlineLevel="1">
      <c r="A453" s="43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ht="13.9" customHeight="1" outlineLevel="1">
      <c r="A454" s="42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1071" customFormat="1" outlineLevel="1">
      <c r="A455" s="1070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2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3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4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1071" customFormat="1" outlineLevel="1">
      <c r="A462" s="1072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/>
      <c r="B463"/>
      <c r="C463"/>
      <c r="D463"/>
      <c r="E463"/>
      <c r="F463"/>
      <c r="G463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/>
      <c r="B464"/>
      <c r="C464"/>
      <c r="D464"/>
      <c r="E464"/>
      <c r="F464"/>
      <c r="G464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/>
      <c r="B465"/>
      <c r="C465"/>
      <c r="D465"/>
      <c r="E465"/>
      <c r="F465"/>
      <c r="G465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/>
      <c r="B466"/>
      <c r="C466"/>
      <c r="D466"/>
      <c r="E466"/>
      <c r="F466"/>
      <c r="G466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/>
      <c r="B467"/>
      <c r="C467"/>
      <c r="D467"/>
      <c r="E467"/>
      <c r="F467"/>
      <c r="G46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1071" customFormat="1" outlineLevel="1">
      <c r="A468"/>
      <c r="B468"/>
      <c r="C468"/>
      <c r="D468"/>
      <c r="E468"/>
      <c r="F468"/>
      <c r="G468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/>
      <c r="B469"/>
      <c r="C469"/>
      <c r="D469"/>
      <c r="E469"/>
      <c r="F469"/>
      <c r="G469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/>
      <c r="B470"/>
      <c r="C470"/>
      <c r="D470"/>
      <c r="E470"/>
      <c r="F470"/>
      <c r="G470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/>
      <c r="B471"/>
      <c r="C471"/>
      <c r="D471"/>
      <c r="E471"/>
      <c r="F471"/>
      <c r="G471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1071" customFormat="1" outlineLevel="1">
      <c r="A472"/>
      <c r="B472"/>
      <c r="C472"/>
      <c r="D472"/>
      <c r="E472"/>
      <c r="F472"/>
      <c r="G472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/>
      <c r="B473"/>
      <c r="C473"/>
      <c r="D473"/>
      <c r="E473"/>
      <c r="F473"/>
      <c r="G473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1071" customFormat="1" outlineLevel="1">
      <c r="A474"/>
      <c r="B474"/>
      <c r="C474"/>
      <c r="D474"/>
      <c r="E474"/>
      <c r="F474"/>
      <c r="G474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/>
      <c r="B475"/>
      <c r="C475"/>
      <c r="D475"/>
      <c r="E475"/>
      <c r="F475"/>
      <c r="G475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/>
      <c r="B476"/>
      <c r="C476"/>
      <c r="D476"/>
      <c r="E476"/>
      <c r="F476"/>
      <c r="G476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/>
      <c r="B477"/>
      <c r="C477"/>
      <c r="D477"/>
      <c r="E477"/>
      <c r="F477"/>
      <c r="G4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outlineLevel="1">
      <c r="A478"/>
      <c r="B478"/>
      <c r="C478"/>
      <c r="D478"/>
      <c r="E478"/>
      <c r="F478"/>
      <c r="G47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:21" outlineLevel="1">
      <c r="A479"/>
      <c r="B479"/>
      <c r="C479"/>
      <c r="D479"/>
      <c r="E479"/>
      <c r="F479"/>
      <c r="G479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:21" outlineLevel="1">
      <c r="A480"/>
      <c r="B480"/>
      <c r="C480"/>
      <c r="D480"/>
      <c r="E480"/>
      <c r="F480"/>
      <c r="G48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:21" ht="18.75" outlineLevel="1">
      <c r="A481" s="106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:21" outlineLevel="1">
      <c r="A482" s="21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:21" outlineLevel="1">
      <c r="A483" s="87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8"/>
      <c r="N483" s="8"/>
      <c r="O483" s="8"/>
      <c r="P483" s="8"/>
      <c r="Q483" s="8"/>
      <c r="R483" s="8"/>
      <c r="S483" s="8"/>
      <c r="T483" s="8"/>
      <c r="U483" s="8"/>
    </row>
    <row r="484" spans="1:21" outlineLevel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:21" outlineLevel="1">
      <c r="A485" s="3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8"/>
      <c r="N485" s="8"/>
      <c r="O485" s="8"/>
      <c r="P485" s="8"/>
      <c r="Q485" s="8"/>
      <c r="R485" s="8"/>
      <c r="S485" s="8"/>
      <c r="T485" s="8"/>
      <c r="U485" s="8"/>
    </row>
    <row r="486" spans="1:21" hidden="1" outlineLevel="2">
      <c r="A486" s="21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:21" hidden="1" outlineLevel="2">
      <c r="A487" s="48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8"/>
      <c r="N487" s="8"/>
      <c r="O487" s="8"/>
      <c r="P487" s="8"/>
      <c r="Q487" s="8"/>
      <c r="R487" s="8"/>
      <c r="S487" s="8"/>
      <c r="T487" s="8"/>
      <c r="U487" s="8"/>
    </row>
    <row r="488" spans="1:21" hidden="1" outlineLevel="2">
      <c r="A488" s="48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8"/>
      <c r="N488" s="8"/>
      <c r="O488" s="8"/>
      <c r="P488" s="8"/>
      <c r="Q488" s="8"/>
      <c r="R488" s="8"/>
      <c r="S488" s="8"/>
      <c r="T488" s="8"/>
      <c r="U488" s="8"/>
    </row>
    <row r="489" spans="1:21" hidden="1" outlineLevel="2">
      <c r="A489" s="88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idden="1" outlineLevel="2">
      <c r="A490" s="48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8"/>
      <c r="N490" s="8"/>
      <c r="O490" s="8"/>
      <c r="P490" s="8"/>
      <c r="Q490" s="8"/>
      <c r="R490" s="8"/>
      <c r="S490" s="8"/>
      <c r="T490" s="8"/>
      <c r="U490" s="8"/>
    </row>
    <row r="491" spans="1:21" hidden="1" outlineLevel="2">
      <c r="A491" s="8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8"/>
      <c r="N491" s="8"/>
      <c r="O491" s="8"/>
      <c r="P491" s="8"/>
      <c r="Q491" s="8"/>
      <c r="R491" s="8"/>
      <c r="S491" s="8"/>
      <c r="T491" s="8"/>
      <c r="U491" s="8"/>
    </row>
    <row r="492" spans="1:21" hidden="1" outlineLevel="2">
      <c r="A492" s="21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8"/>
      <c r="N492" s="8"/>
      <c r="O492" s="8"/>
      <c r="P492" s="8"/>
      <c r="Q492" s="8"/>
      <c r="R492" s="8"/>
      <c r="S492" s="8"/>
      <c r="T492" s="8"/>
      <c r="U492" s="8"/>
    </row>
    <row r="493" spans="1:21" hidden="1" outlineLevel="2">
      <c r="A493" s="48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8"/>
      <c r="N493" s="8"/>
      <c r="O493" s="8"/>
      <c r="P493" s="8"/>
      <c r="Q493" s="8"/>
      <c r="R493" s="8"/>
      <c r="S493" s="8"/>
      <c r="T493" s="8"/>
      <c r="U493" s="8"/>
    </row>
    <row r="494" spans="1:21" hidden="1" outlineLevel="2">
      <c r="A494" s="48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48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4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4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48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21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outlineLevel="1" collapsed="1">
      <c r="A511" s="21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21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outlineLevel="1">
      <c r="A516" s="21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outlineLevel="1">
      <c r="A517" s="21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outlineLevel="1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outlineLevel="1">
      <c r="A519" s="21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>
      <c r="A520" s="8"/>
      <c r="B520" s="8"/>
      <c r="C520" s="8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>
      <c r="A521" s="8"/>
      <c r="B521" s="8"/>
      <c r="C521" s="8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>
      <c r="A522" s="8"/>
      <c r="B522" s="8"/>
      <c r="C522" s="8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>
      <c r="A523" s="8"/>
      <c r="B523" s="8"/>
      <c r="C523" s="8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="8" customFormat="1"/>
    <row r="530" s="8" customFormat="1"/>
    <row r="531" s="8" customFormat="1"/>
    <row r="532" s="8" customFormat="1"/>
    <row r="533" s="8" customFormat="1"/>
    <row r="534" s="8" customFormat="1"/>
    <row r="535" s="8" customFormat="1"/>
    <row r="536" s="8" customFormat="1"/>
    <row r="537" s="8" customFormat="1"/>
    <row r="538" s="8" customFormat="1"/>
    <row r="539" s="8" customFormat="1"/>
    <row r="540" s="8" customFormat="1"/>
    <row r="541" s="8" customFormat="1"/>
    <row r="542" s="8" customFormat="1"/>
    <row r="543" s="8" customFormat="1"/>
    <row r="544" s="8" customFormat="1"/>
    <row r="545" s="8" customFormat="1"/>
    <row r="546" s="8" customFormat="1"/>
    <row r="547" s="8" customFormat="1"/>
    <row r="548" s="8" customFormat="1"/>
    <row r="549" s="8" customFormat="1"/>
    <row r="550" s="8" customFormat="1"/>
    <row r="551" s="8" customFormat="1"/>
    <row r="552" s="8" customFormat="1"/>
    <row r="553" s="8" customFormat="1"/>
    <row r="554" s="8" customFormat="1"/>
    <row r="555" s="8" customFormat="1"/>
    <row r="556" s="8" customFormat="1"/>
    <row r="557" s="8" customFormat="1"/>
    <row r="558" s="8" customFormat="1"/>
    <row r="559" s="8" customFormat="1"/>
    <row r="560" s="8" customFormat="1"/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2:K56"/>
  <sheetViews>
    <sheetView zoomScale="75" zoomScaleNormal="75" workbookViewId="0"/>
  </sheetViews>
  <sheetFormatPr defaultRowHeight="12.75"/>
  <cols>
    <col min="1" max="1" width="52.28515625" customWidth="1"/>
    <col min="2" max="2" width="12.7109375" customWidth="1"/>
    <col min="3" max="3" width="12.42578125" customWidth="1"/>
    <col min="4" max="6" width="12.7109375" customWidth="1"/>
    <col min="9" max="9" width="20.28515625" bestFit="1" customWidth="1"/>
    <col min="10" max="10" width="12" bestFit="1" customWidth="1"/>
    <col min="11" max="11" width="20.28515625" bestFit="1" customWidth="1"/>
  </cols>
  <sheetData>
    <row r="2" spans="1:11" ht="18.75">
      <c r="A2" s="270" t="s">
        <v>551</v>
      </c>
      <c r="B2" s="19"/>
      <c r="C2" s="19"/>
      <c r="D2" s="1024"/>
      <c r="E2" s="1025"/>
      <c r="F2" s="1024"/>
    </row>
    <row r="3" spans="1:11">
      <c r="A3" s="271"/>
      <c r="B3" s="271"/>
      <c r="C3" s="271"/>
      <c r="D3" s="1024"/>
      <c r="E3" s="1024"/>
      <c r="F3" s="1024"/>
    </row>
    <row r="4" spans="1:11" ht="13.5" thickBot="1">
      <c r="A4" s="99" t="s">
        <v>5</v>
      </c>
      <c r="B4" s="99"/>
      <c r="C4" s="1102">
        <v>36892</v>
      </c>
      <c r="D4" s="1026">
        <v>37256</v>
      </c>
      <c r="E4" s="1026">
        <v>37621</v>
      </c>
      <c r="F4" s="1026">
        <v>37986</v>
      </c>
    </row>
    <row r="5" spans="1:11">
      <c r="A5" s="271"/>
      <c r="B5" s="271"/>
      <c r="C5" s="271"/>
      <c r="D5" s="1028"/>
      <c r="E5" s="1028"/>
      <c r="F5" s="1028"/>
    </row>
    <row r="6" spans="1:11">
      <c r="A6" s="304"/>
      <c r="B6" s="304"/>
      <c r="C6" s="304"/>
      <c r="D6" s="1024"/>
      <c r="E6" s="1024"/>
      <c r="F6" s="1024"/>
    </row>
    <row r="7" spans="1:11">
      <c r="A7" s="565" t="s">
        <v>409</v>
      </c>
      <c r="B7" s="565"/>
      <c r="C7" s="565"/>
      <c r="D7" s="271"/>
      <c r="E7" s="271"/>
      <c r="F7" s="271"/>
    </row>
    <row r="8" spans="1:11">
      <c r="A8" s="598" t="s">
        <v>552</v>
      </c>
      <c r="B8" s="598"/>
      <c r="C8" s="598"/>
      <c r="D8" s="1014">
        <f>'ENA_Power Price Assumption'!C25-4</f>
        <v>1.5521731295013845</v>
      </c>
      <c r="E8" s="1014">
        <f>'ENA_Power Price Assumption'!D25-4</f>
        <v>1.8274852891362618</v>
      </c>
      <c r="F8" s="1014">
        <f>'ENA_Power Price Assumption'!E25-4</f>
        <v>2.1164491817907853</v>
      </c>
    </row>
    <row r="9" spans="1:11">
      <c r="A9" s="271" t="s">
        <v>553</v>
      </c>
      <c r="B9" s="271"/>
      <c r="C9" s="271"/>
      <c r="D9" s="295">
        <f>ENA_Assumptions!$C$9</f>
        <v>458</v>
      </c>
      <c r="E9" s="295">
        <f>ENA_Assumptions!$C$9</f>
        <v>458</v>
      </c>
      <c r="F9" s="295">
        <f>ENA_Assumptions!$C$9</f>
        <v>458</v>
      </c>
    </row>
    <row r="10" spans="1:11">
      <c r="A10" s="271" t="s">
        <v>554</v>
      </c>
      <c r="B10" s="271"/>
      <c r="C10" s="271">
        <v>0</v>
      </c>
      <c r="D10" s="295">
        <f>D8*D9*12</f>
        <v>8530.743519739608</v>
      </c>
      <c r="E10" s="295">
        <f>E8*E9*12</f>
        <v>10043.859149092896</v>
      </c>
      <c r="F10" s="295">
        <f>F8*F9*12</f>
        <v>11632.004703122157</v>
      </c>
    </row>
    <row r="11" spans="1:11">
      <c r="A11" t="s">
        <v>555</v>
      </c>
      <c r="B11" s="1103">
        <f>'ENA_Summary Output'!$E$27</f>
        <v>0.10996598639455782</v>
      </c>
      <c r="C11" s="514">
        <f>[14]!_xludf.xnpv(B11,C10:F10,C4:F4)</f>
        <v>24350.87386460862</v>
      </c>
      <c r="J11" s="507"/>
      <c r="K11" s="507"/>
    </row>
    <row r="13" spans="1:11">
      <c r="A13" s="565" t="s">
        <v>410</v>
      </c>
      <c r="B13" s="565"/>
      <c r="C13" s="565"/>
      <c r="D13" s="271"/>
      <c r="E13" s="271"/>
      <c r="F13" s="271"/>
    </row>
    <row r="14" spans="1:11">
      <c r="A14" s="598" t="s">
        <v>552</v>
      </c>
      <c r="B14" s="598"/>
      <c r="C14" s="598"/>
      <c r="D14" s="1014">
        <f>D8</f>
        <v>1.5521731295013845</v>
      </c>
      <c r="E14" s="1014">
        <f>E8</f>
        <v>1.8274852891362618</v>
      </c>
      <c r="F14" s="1014">
        <f>F8</f>
        <v>2.1164491817907853</v>
      </c>
    </row>
    <row r="15" spans="1:11">
      <c r="A15" s="271" t="s">
        <v>553</v>
      </c>
      <c r="B15" s="271"/>
      <c r="C15" s="271"/>
      <c r="D15" s="295">
        <f>ENA_Assumptions!$D$9</f>
        <v>466</v>
      </c>
      <c r="E15" s="295">
        <f>ENA_Assumptions!$D$9</f>
        <v>466</v>
      </c>
      <c r="F15" s="295">
        <f>ENA_Assumptions!$D$9</f>
        <v>466</v>
      </c>
    </row>
    <row r="16" spans="1:11">
      <c r="A16" s="271" t="s">
        <v>554</v>
      </c>
      <c r="B16" s="271"/>
      <c r="C16" s="271">
        <v>0</v>
      </c>
      <c r="D16" s="295">
        <f>D14*D15*12</f>
        <v>8679.7521401717422</v>
      </c>
      <c r="E16" s="295">
        <f>E14*E15*12</f>
        <v>10219.297736849976</v>
      </c>
      <c r="F16" s="295">
        <f>F14*F15*12</f>
        <v>11835.183824574071</v>
      </c>
    </row>
    <row r="17" spans="1:6">
      <c r="A17" t="s">
        <v>555</v>
      </c>
      <c r="B17" s="1103">
        <f>'ENA_Summary Output'!$E$27</f>
        <v>0.10996598639455782</v>
      </c>
      <c r="C17" s="514">
        <f>[14]!_xludf.xnpv(B17,C16:F16,C4:F4)</f>
        <v>24776.216639536287</v>
      </c>
    </row>
    <row r="19" spans="1:6">
      <c r="A19" s="565" t="s">
        <v>411</v>
      </c>
      <c r="B19" s="565"/>
      <c r="C19" s="565"/>
      <c r="D19" s="271"/>
      <c r="E19" s="271"/>
      <c r="F19" s="271"/>
    </row>
    <row r="20" spans="1:6">
      <c r="A20" s="598" t="s">
        <v>552</v>
      </c>
      <c r="B20" s="598"/>
      <c r="C20" s="598"/>
      <c r="D20" s="1014">
        <f>D8</f>
        <v>1.5521731295013845</v>
      </c>
      <c r="E20" s="1014">
        <f>E8</f>
        <v>1.8274852891362618</v>
      </c>
      <c r="F20" s="1014">
        <f>F8</f>
        <v>2.1164491817907853</v>
      </c>
    </row>
    <row r="21" spans="1:6">
      <c r="A21" s="271" t="s">
        <v>553</v>
      </c>
      <c r="B21" s="271"/>
      <c r="C21" s="271"/>
      <c r="D21" s="295">
        <f>ENA_Assumptions!$E$9</f>
        <v>371</v>
      </c>
      <c r="E21" s="295">
        <f>ENA_Assumptions!$E$9</f>
        <v>371</v>
      </c>
      <c r="F21" s="295">
        <f>ENA_Assumptions!$E$9</f>
        <v>371</v>
      </c>
    </row>
    <row r="22" spans="1:6">
      <c r="A22" s="271" t="s">
        <v>554</v>
      </c>
      <c r="B22" s="271"/>
      <c r="C22" s="271">
        <v>0</v>
      </c>
      <c r="D22" s="295">
        <f>D20*D21*12</f>
        <v>6910.2747725401641</v>
      </c>
      <c r="E22" s="295">
        <f>E20*E21*12</f>
        <v>8135.9645072346375</v>
      </c>
      <c r="F22" s="295">
        <f>F20*F21*12</f>
        <v>9422.4317573325752</v>
      </c>
    </row>
    <row r="23" spans="1:6">
      <c r="A23" t="s">
        <v>555</v>
      </c>
      <c r="B23" s="1103">
        <f>'ENA_Summary Output'!$E$27</f>
        <v>0.10996598639455782</v>
      </c>
      <c r="C23" s="514">
        <f>[14]!_xludf.xnpv(B23,C22:F22,$C$4:$F$4)</f>
        <v>19725.271187270304</v>
      </c>
    </row>
    <row r="25" spans="1:6">
      <c r="A25" s="565" t="s">
        <v>412</v>
      </c>
      <c r="B25" s="565"/>
      <c r="C25" s="565"/>
      <c r="D25" s="271"/>
      <c r="E25" s="271"/>
      <c r="F25" s="271"/>
    </row>
    <row r="26" spans="1:6">
      <c r="A26" s="598" t="s">
        <v>552</v>
      </c>
      <c r="B26" s="598"/>
      <c r="C26" s="598"/>
      <c r="D26" s="1014">
        <f>D8</f>
        <v>1.5521731295013845</v>
      </c>
      <c r="E26" s="1014">
        <f>E8</f>
        <v>1.8274852891362618</v>
      </c>
      <c r="F26" s="1014">
        <f>F8</f>
        <v>2.1164491817907853</v>
      </c>
    </row>
    <row r="27" spans="1:6">
      <c r="A27" s="271" t="s">
        <v>553</v>
      </c>
      <c r="B27" s="271"/>
      <c r="C27" s="271"/>
      <c r="D27" s="295">
        <f>ENA_Assumptions!$G$9</f>
        <v>510</v>
      </c>
      <c r="E27" s="295">
        <f>ENA_Assumptions!$G$9</f>
        <v>510</v>
      </c>
      <c r="F27" s="295">
        <f>ENA_Assumptions!$G$9</f>
        <v>510</v>
      </c>
    </row>
    <row r="28" spans="1:6">
      <c r="A28" s="271" t="s">
        <v>554</v>
      </c>
      <c r="B28" s="271"/>
      <c r="C28" s="271">
        <v>0</v>
      </c>
      <c r="D28" s="295">
        <f>D26*D27*12</f>
        <v>9499.299552548473</v>
      </c>
      <c r="E28" s="295">
        <f>E26*E27*12</f>
        <v>11184.209969513922</v>
      </c>
      <c r="F28" s="295">
        <f>F26*F27*12</f>
        <v>12952.668992559606</v>
      </c>
    </row>
    <row r="29" spans="1:6">
      <c r="A29" t="s">
        <v>555</v>
      </c>
      <c r="B29" s="1103">
        <f>'ENA_Summary Output'!$E$27</f>
        <v>0.10996598639455782</v>
      </c>
      <c r="C29" s="514">
        <f>[14]!_xludf.xnpv(B29,C28:F28,$C$4:$F$4)</f>
        <v>27115.601901638423</v>
      </c>
    </row>
    <row r="31" spans="1:6">
      <c r="A31" s="565" t="s">
        <v>413</v>
      </c>
      <c r="B31" s="565"/>
      <c r="C31" s="565"/>
      <c r="D31" s="271"/>
      <c r="E31" s="271"/>
      <c r="F31" s="271"/>
    </row>
    <row r="32" spans="1:6">
      <c r="A32" s="598" t="s">
        <v>552</v>
      </c>
      <c r="B32" s="598"/>
      <c r="C32" s="598"/>
      <c r="D32" s="1014">
        <f>'ENA_Power Price Assumption'!C38-4</f>
        <v>1.7985248261524829</v>
      </c>
      <c r="E32" s="1014">
        <f>'ENA_Power Price Assumption'!D38-4</f>
        <v>2.1059584314016009</v>
      </c>
      <c r="F32" s="1014">
        <f>'ENA_Power Price Assumption'!E38-4</f>
        <v>2.4296919447256471</v>
      </c>
    </row>
    <row r="33" spans="1:6">
      <c r="A33" s="271" t="s">
        <v>553</v>
      </c>
      <c r="B33" s="271"/>
      <c r="C33" s="271"/>
      <c r="D33" s="295">
        <f>ENA_Assumptions!$H$9</f>
        <v>470</v>
      </c>
      <c r="E33" s="295">
        <f>ENA_Assumptions!$H$9</f>
        <v>470</v>
      </c>
      <c r="F33" s="295">
        <f>ENA_Assumptions!$H$9</f>
        <v>470</v>
      </c>
    </row>
    <row r="34" spans="1:6">
      <c r="A34" s="271" t="s">
        <v>554</v>
      </c>
      <c r="B34" s="271"/>
      <c r="C34" s="271">
        <v>0</v>
      </c>
      <c r="D34" s="295">
        <f>D32*D33*12</f>
        <v>10143.680019500003</v>
      </c>
      <c r="E34" s="295">
        <f>E32*E33*12</f>
        <v>11877.605553105028</v>
      </c>
      <c r="F34" s="295">
        <f>F32*F33*12</f>
        <v>13703.462568252649</v>
      </c>
    </row>
    <row r="35" spans="1:6">
      <c r="A35" t="s">
        <v>555</v>
      </c>
      <c r="B35" s="1103">
        <f>'ENA_Summary Output'!$E$27</f>
        <v>0.10996598639455782</v>
      </c>
      <c r="C35" s="514">
        <f>[14]!_xludf.xnpv(B35,C34:F34,$C$4:$F$4)</f>
        <v>28808.460605203843</v>
      </c>
    </row>
    <row r="37" spans="1:6">
      <c r="A37" s="565" t="s">
        <v>414</v>
      </c>
      <c r="B37" s="565"/>
      <c r="C37" s="565"/>
      <c r="D37" s="271"/>
      <c r="E37" s="271"/>
      <c r="F37" s="271"/>
    </row>
    <row r="38" spans="1:6">
      <c r="A38" s="598" t="s">
        <v>552</v>
      </c>
      <c r="B38" s="598"/>
      <c r="C38" s="598"/>
      <c r="D38" s="1014">
        <f>'ENA_Power Price Assumption'!C51-4</f>
        <v>1.8379155669285749</v>
      </c>
      <c r="E38" s="1014">
        <f>'ENA_Power Price Assumption'!D51-4</f>
        <v>2.1116802769589782</v>
      </c>
      <c r="F38" s="1014">
        <f>'ENA_Power Price Assumption'!E51-4</f>
        <v>2.3982829795226435</v>
      </c>
    </row>
    <row r="39" spans="1:6">
      <c r="A39" s="271" t="s">
        <v>553</v>
      </c>
      <c r="B39" s="271"/>
      <c r="C39" s="271"/>
      <c r="D39" s="295">
        <f>ENA_Assumptions!$I$9</f>
        <v>608</v>
      </c>
      <c r="E39" s="295">
        <f>ENA_Assumptions!$I$9</f>
        <v>608</v>
      </c>
      <c r="F39" s="295">
        <f>ENA_Assumptions!$I$9</f>
        <v>608</v>
      </c>
    </row>
    <row r="40" spans="1:6">
      <c r="A40" s="271" t="s">
        <v>554</v>
      </c>
      <c r="B40" s="271"/>
      <c r="C40" s="271">
        <v>0</v>
      </c>
      <c r="D40" s="295">
        <f>D38*D39*12</f>
        <v>13409.431976310883</v>
      </c>
      <c r="E40" s="295">
        <f>E38*E39*12</f>
        <v>15406.819300692705</v>
      </c>
      <c r="F40" s="295">
        <f>F38*F39*12</f>
        <v>17497.872618597205</v>
      </c>
    </row>
    <row r="41" spans="1:6">
      <c r="A41" t="s">
        <v>555</v>
      </c>
      <c r="B41" s="1103">
        <f>'ENA_Summary Output'!$E$27</f>
        <v>0.10996598639455782</v>
      </c>
      <c r="C41" s="514">
        <f>[14]!_xludf.xnpv(B41,C40:F40,$C$4:$F$4)</f>
        <v>37392.382463945469</v>
      </c>
    </row>
    <row r="44" spans="1:6">
      <c r="A44" s="565" t="s">
        <v>556</v>
      </c>
      <c r="B44" s="565"/>
      <c r="C44" s="565"/>
      <c r="D44" s="271"/>
      <c r="E44" s="271"/>
      <c r="F44" s="271"/>
    </row>
    <row r="45" spans="1:6">
      <c r="A45" s="271" t="s">
        <v>554</v>
      </c>
      <c r="B45" s="271"/>
      <c r="C45" s="302">
        <f>SUM(C10,C16,C22)</f>
        <v>0</v>
      </c>
      <c r="D45" s="302">
        <f>SUM(D10,D16,D22)</f>
        <v>24120.770432451514</v>
      </c>
      <c r="E45" s="302">
        <f>SUM(E10,E16,E22)</f>
        <v>28399.121393177513</v>
      </c>
      <c r="F45" s="302">
        <f>SUM(F10,F16,F22)</f>
        <v>32889.620285028803</v>
      </c>
    </row>
    <row r="46" spans="1:6">
      <c r="A46" t="s">
        <v>555</v>
      </c>
      <c r="B46" s="1103">
        <f>'ENA_Summary Output'!$E$27</f>
        <v>0.10996598639455782</v>
      </c>
      <c r="C46" s="514">
        <f>[14]!_xludf.xnpv(B46,C45:F45,$C$4:$F$4)</f>
        <v>68852.361691415223</v>
      </c>
    </row>
    <row r="48" spans="1:6">
      <c r="A48" s="565" t="s">
        <v>557</v>
      </c>
      <c r="B48" s="565"/>
      <c r="C48" s="565"/>
      <c r="D48" s="271"/>
      <c r="E48" s="271"/>
      <c r="F48" s="271"/>
    </row>
    <row r="49" spans="1:6">
      <c r="A49" s="271" t="s">
        <v>554</v>
      </c>
      <c r="B49" s="271"/>
      <c r="C49" s="271">
        <f>SUM(C28,C34,C40)</f>
        <v>0</v>
      </c>
      <c r="D49" s="295">
        <f>SUM(D28,D34,D40)</f>
        <v>33052.411548359363</v>
      </c>
      <c r="E49" s="295">
        <f>SUM(E28,E34,E40)</f>
        <v>38468.634823311651</v>
      </c>
      <c r="F49" s="295">
        <f>SUM(F28,F34,F40)</f>
        <v>44154.004179409458</v>
      </c>
    </row>
    <row r="50" spans="1:6">
      <c r="A50" t="s">
        <v>555</v>
      </c>
      <c r="B50" s="1103">
        <f>'ENA_Summary Output'!$E$27</f>
        <v>0.10996598639455782</v>
      </c>
      <c r="C50" s="514">
        <f>[14]!_xludf.xnpv(B50,C49:F49,$C$4:$F$4)</f>
        <v>93316.444970787736</v>
      </c>
    </row>
    <row r="52" spans="1:6">
      <c r="A52" s="565" t="s">
        <v>494</v>
      </c>
      <c r="B52" s="565"/>
      <c r="C52" s="565"/>
      <c r="D52" s="271"/>
      <c r="E52" s="271"/>
      <c r="F52" s="271"/>
    </row>
    <row r="53" spans="1:6">
      <c r="A53" s="271" t="s">
        <v>554</v>
      </c>
      <c r="B53" s="271"/>
      <c r="C53" s="271">
        <f>SUM(C40,C34,C28,C22,C16,C10)</f>
        <v>0</v>
      </c>
      <c r="D53" s="295">
        <f>SUM(D40,D34,D28,D22,D16,D10)</f>
        <v>57173.181980810885</v>
      </c>
      <c r="E53" s="295">
        <f>SUM(E40,E34,E28,E22,E16,E10)</f>
        <v>66867.756216489171</v>
      </c>
      <c r="F53" s="295">
        <f>SUM(F40,F34,F28,F22,F16,F10)</f>
        <v>77043.624464438268</v>
      </c>
    </row>
    <row r="54" spans="1:6">
      <c r="A54" t="s">
        <v>555</v>
      </c>
      <c r="B54" s="1103">
        <f>'ENA_Summary Output'!$E$27</f>
        <v>0.10996598639455782</v>
      </c>
      <c r="C54" s="514">
        <f>[14]!_xludf.xnpv(B54,C53:F53,$C$4:$F$4)</f>
        <v>162168.80666220296</v>
      </c>
    </row>
    <row r="56" spans="1:6">
      <c r="C56" s="265"/>
    </row>
  </sheetData>
  <pageMargins left="0.5" right="0.5" top="0.75" bottom="0.5" header="0.25" footer="0.25"/>
  <pageSetup scale="7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2:I25"/>
  <sheetViews>
    <sheetView zoomScale="75" zoomScaleNormal="75" workbookViewId="0"/>
  </sheetViews>
  <sheetFormatPr defaultRowHeight="12.75"/>
  <cols>
    <col min="1" max="1" width="21.28515625" style="271" bestFit="1" customWidth="1"/>
    <col min="2" max="2" width="4" style="271" customWidth="1"/>
    <col min="3" max="3" width="17.28515625" style="271" bestFit="1" customWidth="1"/>
    <col min="4" max="4" width="3.5703125" style="271" customWidth="1"/>
    <col min="5" max="5" width="13.7109375" style="271" bestFit="1" customWidth="1"/>
    <col min="6" max="16384" width="9.140625" style="271"/>
  </cols>
  <sheetData>
    <row r="2" spans="1:9" ht="18.75">
      <c r="A2" s="710" t="s">
        <v>558</v>
      </c>
    </row>
    <row r="3" spans="1:9" ht="15.75">
      <c r="A3" s="1104"/>
    </row>
    <row r="4" spans="1:9">
      <c r="A4" s="1105" t="s">
        <v>559</v>
      </c>
      <c r="B4" s="914"/>
      <c r="C4" s="1105" t="s">
        <v>560</v>
      </c>
      <c r="D4" s="914"/>
      <c r="E4" s="1105" t="s">
        <v>561</v>
      </c>
    </row>
    <row r="7" spans="1:9">
      <c r="A7" s="299" t="s">
        <v>409</v>
      </c>
      <c r="C7" s="1073">
        <v>0.125039438479223</v>
      </c>
      <c r="E7" s="1073">
        <v>0.15440554197847384</v>
      </c>
      <c r="G7" s="1106"/>
      <c r="H7" s="1106"/>
      <c r="I7" s="1107"/>
    </row>
    <row r="8" spans="1:9">
      <c r="A8" s="299" t="s">
        <v>410</v>
      </c>
      <c r="C8" s="1073">
        <v>0.1511835224699338</v>
      </c>
      <c r="E8" s="1073">
        <v>0.1558587124333399</v>
      </c>
      <c r="G8" s="1106"/>
      <c r="H8" s="1106"/>
      <c r="I8" s="1107"/>
    </row>
    <row r="9" spans="1:9">
      <c r="A9" s="565" t="s">
        <v>411</v>
      </c>
      <c r="C9" s="1108">
        <v>0.14539217477626698</v>
      </c>
      <c r="E9" s="1108">
        <v>0.1197550000844939</v>
      </c>
      <c r="G9" s="1106"/>
      <c r="H9" s="1106"/>
      <c r="I9" s="1107"/>
    </row>
    <row r="10" spans="1:9">
      <c r="A10" s="299" t="s">
        <v>562</v>
      </c>
      <c r="C10" s="1073">
        <f>SUM(C7:C9)</f>
        <v>0.42161513572542375</v>
      </c>
      <c r="E10" s="1073">
        <f>SUM(E7:E9)</f>
        <v>0.43001925449630762</v>
      </c>
      <c r="G10" s="1106"/>
      <c r="H10" s="1106"/>
      <c r="I10" s="1107"/>
    </row>
    <row r="11" spans="1:9">
      <c r="A11" s="565"/>
      <c r="C11" s="1073"/>
      <c r="E11" s="1073"/>
      <c r="G11" s="1106"/>
      <c r="H11" s="1106"/>
      <c r="I11" s="1107"/>
    </row>
    <row r="12" spans="1:9">
      <c r="A12" s="299" t="s">
        <v>412</v>
      </c>
      <c r="C12" s="1073">
        <v>0.17074206551655802</v>
      </c>
      <c r="E12" s="1073">
        <v>0.17504968982648278</v>
      </c>
      <c r="G12" s="1106"/>
      <c r="H12" s="1106"/>
      <c r="I12" s="1107"/>
    </row>
    <row r="13" spans="1:9">
      <c r="A13" s="299" t="s">
        <v>413</v>
      </c>
      <c r="C13" s="1073">
        <v>0.1561848046993598</v>
      </c>
      <c r="E13" s="1073">
        <v>0.17174199460296</v>
      </c>
    </row>
    <row r="14" spans="1:9">
      <c r="A14" s="565" t="s">
        <v>414</v>
      </c>
      <c r="C14" s="1108">
        <v>0.25145799405865837</v>
      </c>
      <c r="E14" s="1108">
        <v>0.22318906107424963</v>
      </c>
    </row>
    <row r="15" spans="1:9">
      <c r="A15" s="299" t="s">
        <v>562</v>
      </c>
      <c r="C15" s="1073">
        <f>SUM(C12:C14)</f>
        <v>0.57838486427457614</v>
      </c>
      <c r="E15" s="1073">
        <f>SUM(E12:E14)</f>
        <v>0.56998074550369238</v>
      </c>
    </row>
    <row r="16" spans="1:9">
      <c r="A16" s="565"/>
      <c r="C16" s="1109"/>
      <c r="E16" s="1109"/>
    </row>
    <row r="17" spans="1:5" ht="13.5" thickBot="1">
      <c r="A17" s="1110" t="s">
        <v>128</v>
      </c>
      <c r="B17" s="1111"/>
      <c r="C17" s="1112">
        <f>SUM(C10,C15)</f>
        <v>0.99999999999999989</v>
      </c>
      <c r="D17" s="1111"/>
      <c r="E17" s="1112">
        <f>E15+E10</f>
        <v>1</v>
      </c>
    </row>
    <row r="18" spans="1:5" ht="13.5" thickTop="1">
      <c r="B18" s="7"/>
    </row>
    <row r="19" spans="1:5">
      <c r="B19" s="7"/>
      <c r="C19" s="7"/>
      <c r="D19" s="7"/>
    </row>
    <row r="20" spans="1:5">
      <c r="B20" s="345"/>
      <c r="C20" s="1113"/>
    </row>
    <row r="25" spans="1:5">
      <c r="A25" s="565"/>
    </row>
  </sheetData>
  <pageMargins left="0.5" right="0.5" top="0.75" bottom="0.5" header="0.25" footer="0.25"/>
  <pageSetup orientation="landscape" r:id="rId1"/>
  <headerFooter alignWithMargins="0">
    <oddHeader>&amp;L&amp;12NewCo&amp;RCONFIDENTIAL</oddHeader>
    <oddFooter>&amp;L&amp;D&amp;C&amp;F&amp;RPage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177</vt:i4>
      </vt:variant>
    </vt:vector>
  </HeadingPairs>
  <TitlesOfParts>
    <vt:vector size="237" baseType="lpstr">
      <vt:lpstr>TOC</vt:lpstr>
      <vt:lpstr>NewCo_Summary Output</vt:lpstr>
      <vt:lpstr>NewCo_BS</vt:lpstr>
      <vt:lpstr>NewCo_IS</vt:lpstr>
      <vt:lpstr>NewCo_CF</vt:lpstr>
      <vt:lpstr>NewCo_Tax</vt:lpstr>
      <vt:lpstr>Devel_Summary</vt:lpstr>
      <vt:lpstr>Devel_Financials</vt:lpstr>
      <vt:lpstr>Devel_Schedule</vt:lpstr>
      <vt:lpstr>FPLE_Valuation Summary</vt:lpstr>
      <vt:lpstr>FPLE_Annual Summary</vt:lpstr>
      <vt:lpstr>FPLE_IS</vt:lpstr>
      <vt:lpstr>FPLE_CF</vt:lpstr>
      <vt:lpstr>FPLE_Tax</vt:lpstr>
      <vt:lpstr>FPLE_Debt</vt:lpstr>
      <vt:lpstr>Maine Hydro</vt:lpstr>
      <vt:lpstr>Maine Thermal</vt:lpstr>
      <vt:lpstr>Lamar</vt:lpstr>
      <vt:lpstr>Marcus Hook 50</vt:lpstr>
      <vt:lpstr>Doswell</vt:lpstr>
      <vt:lpstr>Doswell CT</vt:lpstr>
      <vt:lpstr>Segs VIII</vt:lpstr>
      <vt:lpstr>Segs IX</vt:lpstr>
      <vt:lpstr>NELP - Bellingham &amp; Sayreville</vt:lpstr>
      <vt:lpstr>Cherokee</vt:lpstr>
      <vt:lpstr>FPLE_Wind Summary</vt:lpstr>
      <vt:lpstr>FPLE_Wind Annual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ENA_Summary Output</vt:lpstr>
      <vt:lpstr>ENA_Assumptions</vt:lpstr>
      <vt:lpstr>ENA_Power Price Assumption</vt:lpstr>
      <vt:lpstr>ENA_IS</vt:lpstr>
      <vt:lpstr>ENA_BS</vt:lpstr>
      <vt:lpstr>ENA_CF</vt:lpstr>
      <vt:lpstr>ENA_Tax</vt:lpstr>
      <vt:lpstr>ENA_Debt</vt:lpstr>
      <vt:lpstr>ENA_Depreciation</vt:lpstr>
      <vt:lpstr>Brownsville</vt:lpstr>
      <vt:lpstr>Caledonia</vt:lpstr>
      <vt:lpstr>New Albany</vt:lpstr>
      <vt:lpstr>Gleason</vt:lpstr>
      <vt:lpstr>Wheatland</vt:lpstr>
      <vt:lpstr>Wilton</vt:lpstr>
      <vt:lpstr>Amortization of Power Contract</vt:lpstr>
      <vt:lpstr>ENA_Allocation</vt:lpstr>
      <vt:lpstr>annualsummary</vt:lpstr>
      <vt:lpstr>cherokee</vt:lpstr>
      <vt:lpstr>Gleason!Coso_Distributable_Cash</vt:lpstr>
      <vt:lpstr>'New Albany'!Coso_Distributable_Cash</vt:lpstr>
      <vt:lpstr>Wheatland!Coso_Distributable_Cash</vt:lpstr>
      <vt:lpstr>Gleason!Coso_Net_ATCash</vt:lpstr>
      <vt:lpstr>'New Albany'!Coso_Net_ATCash</vt:lpstr>
      <vt:lpstr>Wheatland!Coso_Net_ATCash</vt:lpstr>
      <vt:lpstr>Gleason!Coso_Net_Income</vt:lpstr>
      <vt:lpstr>'New Albany'!Coso_Net_Income</vt:lpstr>
      <vt:lpstr>Wheatland!Coso_Net_Income</vt:lpstr>
      <vt:lpstr>doswell</vt:lpstr>
      <vt:lpstr>doswellct</vt:lpstr>
      <vt:lpstr>Gleason!Energy_Credit_Coso</vt:lpstr>
      <vt:lpstr>'New Albany'!Energy_Credit_Coso</vt:lpstr>
      <vt:lpstr>Wheatland!Energy_Credit_Coso</vt:lpstr>
      <vt:lpstr>Gleason!FPOC_Distributable_Cash</vt:lpstr>
      <vt:lpstr>'New Albany'!FPOC_Distributable_Cash</vt:lpstr>
      <vt:lpstr>Wheatland!FPOC_Distributable_Cash</vt:lpstr>
      <vt:lpstr>Gleason!FPOC_Net_ATCash</vt:lpstr>
      <vt:lpstr>'New Albany'!FPOC_Net_ATCash</vt:lpstr>
      <vt:lpstr>Wheatland!FPOC_Net_ATCash</vt:lpstr>
      <vt:lpstr>Gleason!FPOC_Net_Income</vt:lpstr>
      <vt:lpstr>'New Albany'!FPOC_Net_Income</vt:lpstr>
      <vt:lpstr>Wheatland!FPOC_Net_Income</vt:lpstr>
      <vt:lpstr>Gleason!FSGC_ATCash</vt:lpstr>
      <vt:lpstr>'New Albany'!FSGC_ATCash</vt:lpstr>
      <vt:lpstr>Wheatland!FSGC_ATCash</vt:lpstr>
      <vt:lpstr>Gleason!FSGC_Distributable_Cash</vt:lpstr>
      <vt:lpstr>'New Albany'!FSGC_Distributable_Cash</vt:lpstr>
      <vt:lpstr>Wheatland!FSGC_Distributable_Cash</vt:lpstr>
      <vt:lpstr>Gleason!FSGC_Net_Income</vt:lpstr>
      <vt:lpstr>'New Albany'!FSGC_Net_Income</vt:lpstr>
      <vt:lpstr>Wheatland!FSGC_Net_Income</vt:lpstr>
      <vt:lpstr>lamar</vt:lpstr>
      <vt:lpstr>mainehydro</vt:lpstr>
      <vt:lpstr>mainethermal</vt:lpstr>
      <vt:lpstr>marcushook50</vt:lpstr>
      <vt:lpstr>Gleason!Minerals_Distributable_Cash</vt:lpstr>
      <vt:lpstr>'New Albany'!Minerals_Distributable_Cash</vt:lpstr>
      <vt:lpstr>Wheatland!Minerals_Distributable_Cash</vt:lpstr>
      <vt:lpstr>Gleason!Minerals_Net_ATCash</vt:lpstr>
      <vt:lpstr>'New Albany'!Minerals_Net_ATCash</vt:lpstr>
      <vt:lpstr>Wheatland!Minerals_Net_ATCash</vt:lpstr>
      <vt:lpstr>Gleason!Minerals_Net_Income</vt:lpstr>
      <vt:lpstr>'New Albany'!Minerals_Net_Income</vt:lpstr>
      <vt:lpstr>Wheatland!Minerals_Net_Income</vt:lpstr>
      <vt:lpstr>nelp</vt:lpstr>
      <vt:lpstr>Gleason!Norcon_Distributable_Cash</vt:lpstr>
      <vt:lpstr>'New Albany'!Norcon_Distributable_Cash</vt:lpstr>
      <vt:lpstr>Wheatland!Norcon_Distributable_Cash</vt:lpstr>
      <vt:lpstr>Gleason!Norcon_Net_ATCash</vt:lpstr>
      <vt:lpstr>'New Albany'!Norcon_Net_ATCash</vt:lpstr>
      <vt:lpstr>Wheatland!Norcon_Net_ATCash</vt:lpstr>
      <vt:lpstr>Gleason!Norcon_Net_Income</vt:lpstr>
      <vt:lpstr>'New Albany'!Norcon_Net_Income</vt:lpstr>
      <vt:lpstr>Wheatland!Norcon_Net_Income</vt:lpstr>
      <vt:lpstr>Gleason!PRI_Cash_Taxes</vt:lpstr>
      <vt:lpstr>'New Albany'!PRI_Cash_Taxes</vt:lpstr>
      <vt:lpstr>Wheatland!PRI_Cash_Taxes</vt:lpstr>
      <vt:lpstr>Gleason!PRI_Net_ATCash</vt:lpstr>
      <vt:lpstr>'New Albany'!PRI_Net_ATCash</vt:lpstr>
      <vt:lpstr>Wheatland!PRI_Net_ATCash</vt:lpstr>
      <vt:lpstr>Gleason!PRI_Net_Income</vt:lpstr>
      <vt:lpstr>'New Albany'!PRI_Net_Income</vt:lpstr>
      <vt:lpstr>Wheatland!PRI_Net_Income</vt:lpstr>
      <vt:lpstr>'Amortization of Power Contract'!Print_Area</vt:lpstr>
      <vt:lpstr>Brownsville!Print_Area</vt:lpstr>
      <vt:lpstr>Caledonia!Print_Area</vt:lpstr>
      <vt:lpstr>Cameron!Print_Area</vt:lpstr>
      <vt:lpstr>'Cerro Gordo'!Print_Area</vt:lpstr>
      <vt:lpstr>Cherokee!Print_Area</vt:lpstr>
      <vt:lpstr>Devel_Financials!Print_Area</vt:lpstr>
      <vt:lpstr>Devel_Summary!Print_Area</vt:lpstr>
      <vt:lpstr>Doswell!Print_Area</vt:lpstr>
      <vt:lpstr>'Doswell CT'!Print_Area</vt:lpstr>
      <vt:lpstr>ENA_Allocation!Print_Area</vt:lpstr>
      <vt:lpstr>ENA_Assumptions!Print_Area</vt:lpstr>
      <vt:lpstr>ENA_BS!Print_Area</vt:lpstr>
      <vt:lpstr>ENA_CF!Print_Area</vt:lpstr>
      <vt:lpstr>ENA_Debt!Print_Area</vt:lpstr>
      <vt:lpstr>ENA_Depreciation!Print_Area</vt:lpstr>
      <vt:lpstr>ENA_IS!Print_Area</vt:lpstr>
      <vt:lpstr>'ENA_Summary Output'!Print_Area</vt:lpstr>
      <vt:lpstr>ENA_Tax!Print_Area</vt:lpstr>
      <vt:lpstr>'FPLE_Annual Summary'!Print_Area</vt:lpstr>
      <vt:lpstr>FPLE_CF!Print_Area</vt:lpstr>
      <vt:lpstr>FPLE_Debt!Print_Area</vt:lpstr>
      <vt:lpstr>FPLE_IS!Print_Area</vt:lpstr>
      <vt:lpstr>FPLE_Tax!Print_Area</vt:lpstr>
      <vt:lpstr>'FPLE_Valuation Summary'!Print_Area</vt:lpstr>
      <vt:lpstr>'FPLE_Wind Annual Summary'!Print_Area</vt:lpstr>
      <vt:lpstr>'FPLE_Wind Summary'!Print_Area</vt:lpstr>
      <vt:lpstr>Gleason!Print_Area</vt:lpstr>
      <vt:lpstr>'Green Ridge'!Print_Area</vt:lpstr>
      <vt:lpstr>Lamar!Print_Area</vt:lpstr>
      <vt:lpstr>'Maine Hydro'!Print_Area</vt:lpstr>
      <vt:lpstr>'Maine Thermal'!Print_Area</vt:lpstr>
      <vt:lpstr>'Marcus Hook 50'!Print_Area</vt:lpstr>
      <vt:lpstr>'Mojave 16-18'!Print_Area</vt:lpstr>
      <vt:lpstr>Morwind!Print_Area</vt:lpstr>
      <vt:lpstr>'NELP - Bellingham &amp; Sayreville'!Print_Area</vt:lpstr>
      <vt:lpstr>'New Albany'!Print_Area</vt:lpstr>
      <vt:lpstr>NewCo_BS!Print_Area</vt:lpstr>
      <vt:lpstr>NewCo_CF!Print_Area</vt:lpstr>
      <vt:lpstr>NewCo_IS!Print_Area</vt:lpstr>
      <vt:lpstr>'NewCo_Summary Output'!Print_Area</vt:lpstr>
      <vt:lpstr>NewCo_Tax!Print_Area</vt:lpstr>
      <vt:lpstr>'Pacific Crest'!Print_Area</vt:lpstr>
      <vt:lpstr>Ridgetop!Print_Area</vt:lpstr>
      <vt:lpstr>'Segs IX'!Print_Area</vt:lpstr>
      <vt:lpstr>'Segs VIII'!Print_Area</vt:lpstr>
      <vt:lpstr>'Sky River'!Print_Area</vt:lpstr>
      <vt:lpstr>'Southwest Mesa'!Print_Area</vt:lpstr>
      <vt:lpstr>TOC!Print_Area</vt:lpstr>
      <vt:lpstr>Vansycle!Print_Area</vt:lpstr>
      <vt:lpstr>VG!Print_Area</vt:lpstr>
      <vt:lpstr>Wheatland!Print_Area</vt:lpstr>
      <vt:lpstr>Wilton!Print_Area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Cherokee!Print_Titles</vt:lpstr>
      <vt:lpstr>'Green Ridge'!Print_Titles</vt:lpstr>
      <vt:lpstr>Lamar!Print_Titles</vt:lpstr>
      <vt:lpstr>'Maine Hydro'!Print_Titles</vt:lpstr>
      <vt:lpstr>'Maine Thermal'!Print_Titles</vt:lpstr>
      <vt:lpstr>'Marcus Hook 50'!Print_Titles</vt:lpstr>
      <vt:lpstr>'Mojave 16-18'!Print_Titles</vt:lpstr>
      <vt:lpstr>Morwind!Print_Titles</vt:lpstr>
      <vt:lpstr>'NELP - Bellingham &amp; Sayreville'!Print_Titles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  <vt:lpstr>Gleason!Saranac_Distributable_Cash</vt:lpstr>
      <vt:lpstr>'New Albany'!Saranac_Distributable_Cash</vt:lpstr>
      <vt:lpstr>Wheatland!Saranac_Distributable_Cash</vt:lpstr>
      <vt:lpstr>Gleason!Saranac_Net_ATCash</vt:lpstr>
      <vt:lpstr>'New Albany'!Saranac_Net_ATCash</vt:lpstr>
      <vt:lpstr>Wheatland!Saranac_Net_ATCash</vt:lpstr>
      <vt:lpstr>Gleason!Saranac_Net_Income</vt:lpstr>
      <vt:lpstr>'New Albany'!Saranac_Net_Income</vt:lpstr>
      <vt:lpstr>Wheatland!Saranac_Net_Income</vt:lpstr>
      <vt:lpstr>segs8</vt:lpstr>
      <vt:lpstr>segs9</vt:lpstr>
      <vt:lpstr>valuationsummary</vt:lpstr>
      <vt:lpstr>Gleason!Yuma_Distributable_Cash</vt:lpstr>
      <vt:lpstr>'New Albany'!Yuma_Distributable_Cash</vt:lpstr>
      <vt:lpstr>Wheatland!Yuma_Distributable_Cash</vt:lpstr>
      <vt:lpstr>Gleason!Yuma_Net_ATCash</vt:lpstr>
      <vt:lpstr>'New Albany'!Yuma_Net_ATCash</vt:lpstr>
      <vt:lpstr>Wheatland!Yuma_Net_ATCash</vt:lpstr>
      <vt:lpstr>Gleason!Yuma_Net_Income</vt:lpstr>
      <vt:lpstr>'New Albany'!Yuma_Net_Income</vt:lpstr>
      <vt:lpstr>Wheatland!Yuma_Net_Income</vt:lpstr>
      <vt:lpstr>Gleason!zinc</vt:lpstr>
      <vt:lpstr>'New Albany'!zinc</vt:lpstr>
      <vt:lpstr>Wheatland!zinc</vt:lpstr>
      <vt:lpstr>Gleason!Zinc_Distributable_Cash</vt:lpstr>
      <vt:lpstr>'New Albany'!Zinc_Distributable_Cash</vt:lpstr>
      <vt:lpstr>Wheatland!Zinc_Distributable_Cash</vt:lpstr>
      <vt:lpstr>Gleason!Zinc_Net_ATCash</vt:lpstr>
      <vt:lpstr>'New Albany'!Zinc_Net_ATCash</vt:lpstr>
      <vt:lpstr>Wheatland!Zinc_Net_ATCash</vt:lpstr>
      <vt:lpstr>Gleason!Zinc_Net_Income</vt:lpstr>
      <vt:lpstr>'New Albany'!Zinc_Net_Income</vt:lpstr>
      <vt:lpstr>Wheatland!Zinc_Net_Income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Jan Havlíček</cp:lastModifiedBy>
  <cp:lastPrinted>2000-07-15T16:37:55Z</cp:lastPrinted>
  <dcterms:created xsi:type="dcterms:W3CDTF">1999-04-02T01:38:38Z</dcterms:created>
  <dcterms:modified xsi:type="dcterms:W3CDTF">2023-09-13T21:44:38Z</dcterms:modified>
</cp:coreProperties>
</file>