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3DA75A-CD51-4526-AD62-64F6416EE997}" xr6:coauthVersionLast="47" xr6:coauthVersionMax="47" xr10:uidLastSave="{00000000-0000-0000-0000-000000000000}"/>
  <bookViews>
    <workbookView xWindow="-120" yWindow="-120" windowWidth="38640" windowHeight="15720" tabRatio="794" activeTab="1"/>
  </bookViews>
  <sheets>
    <sheet name="Variance" sheetId="13" r:id="rId1"/>
    <sheet name="Consol Summary" sheetId="12" r:id="rId2"/>
    <sheet name="BRN Summ" sheetId="17" r:id="rId3"/>
    <sheet name="BRN MO" sheetId="15" r:id="rId4"/>
    <sheet name="BRN YTD" sheetId="16" r:id="rId5"/>
    <sheet name="CAL Summ" sheetId="18" r:id="rId6"/>
    <sheet name="CAL MO" sheetId="19" r:id="rId7"/>
    <sheet name="CAL YTD" sheetId="20" r:id="rId8"/>
    <sheet name="NA Summ" sheetId="5" r:id="rId9"/>
    <sheet name="NA MO" sheetId="1" r:id="rId10"/>
    <sheet name="NA YTD" sheetId="14" r:id="rId11"/>
  </sheets>
  <externalReferences>
    <externalReference r:id="rId12"/>
  </externalReferences>
  <definedNames>
    <definedName name="_xlnm.Print_Area" localSheetId="2">'BRN Summ'!$A$1:$N$68</definedName>
    <definedName name="_xlnm.Print_Area" localSheetId="5">'CAL Summ'!$A$1:$N$68</definedName>
    <definedName name="_xlnm.Print_Area" localSheetId="8">'NA Summ'!$A$1:$N$68</definedName>
    <definedName name="_xlnm.Print_Area" localSheetId="10">'NA YTD'!$A$1:$M$207</definedName>
  </definedNames>
  <calcPr calcId="0"/>
</workbook>
</file>

<file path=xl/calcChain.xml><?xml version="1.0" encoding="utf-8"?>
<calcChain xmlns="http://schemas.openxmlformats.org/spreadsheetml/2006/main">
  <c r="A4" i="15" l="1"/>
  <c r="A5" i="15"/>
  <c r="A6" i="15"/>
  <c r="O10" i="15"/>
  <c r="Q10" i="15"/>
  <c r="R10" i="15"/>
  <c r="S10" i="15"/>
  <c r="T10" i="15"/>
  <c r="V10" i="15"/>
  <c r="O14" i="15"/>
  <c r="Q14" i="15"/>
  <c r="R14" i="15"/>
  <c r="S14" i="15"/>
  <c r="T14" i="15"/>
  <c r="V14" i="15"/>
  <c r="F15" i="15"/>
  <c r="G15" i="15"/>
  <c r="H15" i="15"/>
  <c r="I15" i="15"/>
  <c r="J15" i="15"/>
  <c r="K15" i="15"/>
  <c r="L15" i="15"/>
  <c r="M15" i="15"/>
  <c r="O15" i="15"/>
  <c r="Q15" i="15"/>
  <c r="R15" i="15"/>
  <c r="S15" i="15"/>
  <c r="T15" i="15"/>
  <c r="V15" i="15"/>
  <c r="F16" i="15"/>
  <c r="G16" i="15"/>
  <c r="H16" i="15"/>
  <c r="I16" i="15"/>
  <c r="J16" i="15"/>
  <c r="K16" i="15"/>
  <c r="L16" i="15"/>
  <c r="M16" i="15"/>
  <c r="O16" i="15"/>
  <c r="Q16" i="15"/>
  <c r="R16" i="15"/>
  <c r="S16" i="15"/>
  <c r="T16" i="15"/>
  <c r="V16" i="15"/>
  <c r="F17" i="15"/>
  <c r="G17" i="15"/>
  <c r="H17" i="15"/>
  <c r="I17" i="15"/>
  <c r="J17" i="15"/>
  <c r="K17" i="15"/>
  <c r="L17" i="15"/>
  <c r="M17" i="15"/>
  <c r="O17" i="15"/>
  <c r="Q17" i="15"/>
  <c r="R17" i="15"/>
  <c r="S17" i="15"/>
  <c r="T17" i="15"/>
  <c r="V17" i="15"/>
  <c r="F18" i="15"/>
  <c r="G18" i="15"/>
  <c r="H18" i="15"/>
  <c r="I18" i="15"/>
  <c r="J18" i="15"/>
  <c r="K18" i="15"/>
  <c r="L18" i="15"/>
  <c r="M18" i="15"/>
  <c r="O18" i="15"/>
  <c r="Q18" i="15"/>
  <c r="R18" i="15"/>
  <c r="S18" i="15"/>
  <c r="T18" i="15"/>
  <c r="V18" i="15"/>
  <c r="F19" i="15"/>
  <c r="G19" i="15"/>
  <c r="H19" i="15"/>
  <c r="I19" i="15"/>
  <c r="J19" i="15"/>
  <c r="K19" i="15"/>
  <c r="L19" i="15"/>
  <c r="M19" i="15"/>
  <c r="O19" i="15"/>
  <c r="Q19" i="15"/>
  <c r="R19" i="15"/>
  <c r="S19" i="15"/>
  <c r="T19" i="15"/>
  <c r="V19" i="15"/>
  <c r="F20" i="15"/>
  <c r="G20" i="15"/>
  <c r="H20" i="15"/>
  <c r="I20" i="15"/>
  <c r="J20" i="15"/>
  <c r="K20" i="15"/>
  <c r="L20" i="15"/>
  <c r="M20" i="15"/>
  <c r="O20" i="15"/>
  <c r="Q20" i="15"/>
  <c r="R20" i="15"/>
  <c r="S20" i="15"/>
  <c r="T20" i="15"/>
  <c r="V20" i="15"/>
  <c r="F21" i="15"/>
  <c r="G21" i="15"/>
  <c r="H21" i="15"/>
  <c r="I21" i="15"/>
  <c r="J21" i="15"/>
  <c r="K21" i="15"/>
  <c r="L21" i="15"/>
  <c r="M21" i="15"/>
  <c r="O21" i="15"/>
  <c r="Q21" i="15"/>
  <c r="R21" i="15"/>
  <c r="S21" i="15"/>
  <c r="T21" i="15"/>
  <c r="V21" i="15"/>
  <c r="F22" i="15"/>
  <c r="G22" i="15"/>
  <c r="H22" i="15"/>
  <c r="I22" i="15"/>
  <c r="J22" i="15"/>
  <c r="K22" i="15"/>
  <c r="L22" i="15"/>
  <c r="M22" i="15"/>
  <c r="O22" i="15"/>
  <c r="Q22" i="15"/>
  <c r="R22" i="15"/>
  <c r="S22" i="15"/>
  <c r="T22" i="15"/>
  <c r="V22" i="15"/>
  <c r="F23" i="15"/>
  <c r="G23" i="15"/>
  <c r="H23" i="15"/>
  <c r="I23" i="15"/>
  <c r="J23" i="15"/>
  <c r="K23" i="15"/>
  <c r="L23" i="15"/>
  <c r="M23" i="15"/>
  <c r="O23" i="15"/>
  <c r="Q23" i="15"/>
  <c r="R23" i="15"/>
  <c r="S23" i="15"/>
  <c r="T23" i="15"/>
  <c r="V23" i="15"/>
  <c r="F24" i="15"/>
  <c r="G24" i="15"/>
  <c r="H24" i="15"/>
  <c r="I24" i="15"/>
  <c r="J24" i="15"/>
  <c r="K24" i="15"/>
  <c r="L24" i="15"/>
  <c r="M24" i="15"/>
  <c r="O24" i="15"/>
  <c r="Q24" i="15"/>
  <c r="R24" i="15"/>
  <c r="S24" i="15"/>
  <c r="T24" i="15"/>
  <c r="V24" i="15"/>
  <c r="F25" i="15"/>
  <c r="G25" i="15"/>
  <c r="H25" i="15"/>
  <c r="I25" i="15"/>
  <c r="J25" i="15"/>
  <c r="K25" i="15"/>
  <c r="L25" i="15"/>
  <c r="M25" i="15"/>
  <c r="O25" i="15"/>
  <c r="Q25" i="15"/>
  <c r="R25" i="15"/>
  <c r="S25" i="15"/>
  <c r="T25" i="15"/>
  <c r="V25" i="15"/>
  <c r="O26" i="15"/>
  <c r="Q26" i="15"/>
  <c r="R26" i="15"/>
  <c r="S26" i="15"/>
  <c r="T26" i="15"/>
  <c r="V26" i="15"/>
  <c r="D27" i="15"/>
  <c r="F27" i="15"/>
  <c r="G27" i="15"/>
  <c r="H27" i="15"/>
  <c r="I27" i="15"/>
  <c r="J27" i="15"/>
  <c r="K27" i="15"/>
  <c r="L27" i="15"/>
  <c r="M27" i="15"/>
  <c r="O27" i="15"/>
  <c r="Q27" i="15"/>
  <c r="R27" i="15"/>
  <c r="S27" i="15"/>
  <c r="T27" i="15"/>
  <c r="V27" i="15"/>
  <c r="D28" i="15"/>
  <c r="F28" i="15"/>
  <c r="G28" i="15"/>
  <c r="H28" i="15"/>
  <c r="I28" i="15"/>
  <c r="J28" i="15"/>
  <c r="K28" i="15"/>
  <c r="L28" i="15"/>
  <c r="M28" i="15"/>
  <c r="O28" i="15"/>
  <c r="Q28" i="15"/>
  <c r="R28" i="15"/>
  <c r="S28" i="15"/>
  <c r="T28" i="15"/>
  <c r="V28" i="15"/>
  <c r="O29" i="15"/>
  <c r="Q29" i="15"/>
  <c r="R29" i="15"/>
  <c r="S29" i="15"/>
  <c r="T29" i="15"/>
  <c r="V29" i="15"/>
  <c r="D30" i="15"/>
  <c r="F30" i="15"/>
  <c r="G30" i="15"/>
  <c r="H30" i="15"/>
  <c r="I30" i="15"/>
  <c r="J30" i="15"/>
  <c r="K30" i="15"/>
  <c r="L30" i="15"/>
  <c r="M30" i="15"/>
  <c r="O30" i="15"/>
  <c r="Q30" i="15"/>
  <c r="R30" i="15"/>
  <c r="S30" i="15"/>
  <c r="T30" i="15"/>
  <c r="V30" i="15"/>
  <c r="D31" i="15"/>
  <c r="F31" i="15"/>
  <c r="G31" i="15"/>
  <c r="H31" i="15"/>
  <c r="I31" i="15"/>
  <c r="J31" i="15"/>
  <c r="K31" i="15"/>
  <c r="L31" i="15"/>
  <c r="M31" i="15"/>
  <c r="O31" i="15"/>
  <c r="Q31" i="15"/>
  <c r="R31" i="15"/>
  <c r="S31" i="15"/>
  <c r="T31" i="15"/>
  <c r="V31" i="15"/>
  <c r="B32" i="15"/>
  <c r="C32" i="15"/>
  <c r="F32" i="15"/>
  <c r="G32" i="15"/>
  <c r="H32" i="15"/>
  <c r="I32" i="15"/>
  <c r="J32" i="15"/>
  <c r="K32" i="15"/>
  <c r="L32" i="15"/>
  <c r="M32" i="15"/>
  <c r="O32" i="15"/>
  <c r="Q32" i="15"/>
  <c r="R32" i="15"/>
  <c r="S32" i="15"/>
  <c r="T32" i="15"/>
  <c r="V32" i="15"/>
  <c r="D33" i="15"/>
  <c r="F33" i="15"/>
  <c r="G33" i="15"/>
  <c r="H33" i="15"/>
  <c r="I33" i="15"/>
  <c r="J33" i="15"/>
  <c r="K33" i="15"/>
  <c r="L33" i="15"/>
  <c r="M33" i="15"/>
  <c r="O33" i="15"/>
  <c r="Q33" i="15"/>
  <c r="R33" i="15"/>
  <c r="S33" i="15"/>
  <c r="T33" i="15"/>
  <c r="V33" i="15"/>
  <c r="F34" i="15"/>
  <c r="G34" i="15"/>
  <c r="H34" i="15"/>
  <c r="I34" i="15"/>
  <c r="J34" i="15"/>
  <c r="K34" i="15"/>
  <c r="L34" i="15"/>
  <c r="M34" i="15"/>
  <c r="O34" i="15"/>
  <c r="Q34" i="15"/>
  <c r="R34" i="15"/>
  <c r="S34" i="15"/>
  <c r="T34" i="15"/>
  <c r="V34" i="15"/>
  <c r="D35" i="15"/>
  <c r="F35" i="15"/>
  <c r="G35" i="15"/>
  <c r="H35" i="15"/>
  <c r="I35" i="15"/>
  <c r="J35" i="15"/>
  <c r="K35" i="15"/>
  <c r="L35" i="15"/>
  <c r="M35" i="15"/>
  <c r="O35" i="15"/>
  <c r="Q35" i="15"/>
  <c r="R35" i="15"/>
  <c r="S35" i="15"/>
  <c r="T35" i="15"/>
  <c r="V35" i="15"/>
  <c r="O36" i="15"/>
  <c r="Q36" i="15"/>
  <c r="R36" i="15"/>
  <c r="S36" i="15"/>
  <c r="T36" i="15"/>
  <c r="V36" i="15"/>
  <c r="F37" i="15"/>
  <c r="G37" i="15"/>
  <c r="H37" i="15"/>
  <c r="I37" i="15"/>
  <c r="J37" i="15"/>
  <c r="K37" i="15"/>
  <c r="L37" i="15"/>
  <c r="M37" i="15"/>
  <c r="O37" i="15"/>
  <c r="Q37" i="15"/>
  <c r="R37" i="15"/>
  <c r="S37" i="15"/>
  <c r="T37" i="15"/>
  <c r="V37" i="15"/>
  <c r="D38" i="15"/>
  <c r="F38" i="15"/>
  <c r="G38" i="15"/>
  <c r="H38" i="15"/>
  <c r="I38" i="15"/>
  <c r="J38" i="15"/>
  <c r="K38" i="15"/>
  <c r="L38" i="15"/>
  <c r="M38" i="15"/>
  <c r="O38" i="15"/>
  <c r="Q38" i="15"/>
  <c r="R38" i="15"/>
  <c r="S38" i="15"/>
  <c r="T38" i="15"/>
  <c r="V38" i="15"/>
  <c r="D39" i="15"/>
  <c r="F39" i="15"/>
  <c r="G39" i="15"/>
  <c r="H39" i="15"/>
  <c r="I39" i="15"/>
  <c r="J39" i="15"/>
  <c r="K39" i="15"/>
  <c r="L39" i="15"/>
  <c r="M39" i="15"/>
  <c r="O39" i="15"/>
  <c r="Q39" i="15"/>
  <c r="R39" i="15"/>
  <c r="S39" i="15"/>
  <c r="T39" i="15"/>
  <c r="V39" i="15"/>
  <c r="B40" i="15"/>
  <c r="C40" i="15"/>
  <c r="E40" i="15"/>
  <c r="O40" i="15"/>
  <c r="Q40" i="15"/>
  <c r="R40" i="15"/>
  <c r="S40" i="15"/>
  <c r="T40" i="15"/>
  <c r="V40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O42" i="15"/>
  <c r="Q42" i="15"/>
  <c r="R42" i="15"/>
  <c r="S42" i="15"/>
  <c r="T42" i="15"/>
  <c r="V42" i="15"/>
  <c r="O44" i="15"/>
  <c r="Q44" i="15"/>
  <c r="R44" i="15"/>
  <c r="S44" i="15"/>
  <c r="T44" i="15"/>
  <c r="V44" i="15"/>
  <c r="O46" i="15"/>
  <c r="Q46" i="15"/>
  <c r="R46" i="15"/>
  <c r="S46" i="15"/>
  <c r="T46" i="15"/>
  <c r="V46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O48" i="15"/>
  <c r="Q48" i="15"/>
  <c r="R48" i="15"/>
  <c r="S48" i="15"/>
  <c r="T48" i="15"/>
  <c r="V48" i="15"/>
  <c r="O51" i="15"/>
  <c r="Q51" i="15"/>
  <c r="R51" i="15"/>
  <c r="S51" i="15"/>
  <c r="T51" i="15"/>
  <c r="V51" i="15"/>
  <c r="C52" i="15"/>
  <c r="O52" i="15"/>
  <c r="Q52" i="15"/>
  <c r="R52" i="15"/>
  <c r="S52" i="15"/>
  <c r="T52" i="15"/>
  <c r="V52" i="15"/>
  <c r="F53" i="15"/>
  <c r="G53" i="15"/>
  <c r="H53" i="15"/>
  <c r="I53" i="15"/>
  <c r="J53" i="15"/>
  <c r="K53" i="15"/>
  <c r="L53" i="15"/>
  <c r="M53" i="15"/>
  <c r="O53" i="15"/>
  <c r="Q53" i="15"/>
  <c r="R53" i="15"/>
  <c r="S53" i="15"/>
  <c r="T53" i="15"/>
  <c r="V53" i="15"/>
  <c r="O54" i="15"/>
  <c r="Q54" i="15"/>
  <c r="R54" i="15"/>
  <c r="S54" i="15"/>
  <c r="T54" i="15"/>
  <c r="V54" i="15"/>
  <c r="C55" i="15"/>
  <c r="D55" i="15"/>
  <c r="F55" i="15"/>
  <c r="G55" i="15"/>
  <c r="H55" i="15"/>
  <c r="I55" i="15"/>
  <c r="J55" i="15"/>
  <c r="K55" i="15"/>
  <c r="L55" i="15"/>
  <c r="M55" i="15"/>
  <c r="O55" i="15"/>
  <c r="Q55" i="15"/>
  <c r="R55" i="15"/>
  <c r="S55" i="15"/>
  <c r="T55" i="15"/>
  <c r="V55" i="15"/>
  <c r="O56" i="15"/>
  <c r="Q56" i="15"/>
  <c r="R56" i="15"/>
  <c r="S56" i="15"/>
  <c r="T56" i="15"/>
  <c r="V56" i="15"/>
  <c r="O57" i="15"/>
  <c r="Q57" i="15"/>
  <c r="R57" i="15"/>
  <c r="S57" i="15"/>
  <c r="T57" i="15"/>
  <c r="V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O58" i="15"/>
  <c r="Q58" i="15"/>
  <c r="R58" i="15"/>
  <c r="S58" i="15"/>
  <c r="T58" i="15"/>
  <c r="V58" i="15"/>
  <c r="O61" i="15"/>
  <c r="Q61" i="15"/>
  <c r="R61" i="15"/>
  <c r="S61" i="15"/>
  <c r="T61" i="15"/>
  <c r="V61" i="15"/>
  <c r="B62" i="15"/>
  <c r="F62" i="15"/>
  <c r="G62" i="15"/>
  <c r="H62" i="15"/>
  <c r="I62" i="15"/>
  <c r="J62" i="15"/>
  <c r="K62" i="15"/>
  <c r="L62" i="15"/>
  <c r="M62" i="15"/>
  <c r="O62" i="15"/>
  <c r="Q62" i="15"/>
  <c r="R62" i="15"/>
  <c r="S62" i="15"/>
  <c r="T62" i="15"/>
  <c r="V62" i="15"/>
  <c r="O63" i="15"/>
  <c r="Q63" i="15"/>
  <c r="R63" i="15"/>
  <c r="S63" i="15"/>
  <c r="T63" i="15"/>
  <c r="V63" i="15"/>
  <c r="O64" i="15"/>
  <c r="Q64" i="15"/>
  <c r="R64" i="15"/>
  <c r="S64" i="15"/>
  <c r="T64" i="15"/>
  <c r="V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O65" i="15"/>
  <c r="Q65" i="15"/>
  <c r="R65" i="15"/>
  <c r="S65" i="15"/>
  <c r="T65" i="15"/>
  <c r="V65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O67" i="15"/>
  <c r="Q67" i="15"/>
  <c r="R67" i="15"/>
  <c r="S67" i="15"/>
  <c r="T67" i="15"/>
  <c r="V67" i="15"/>
  <c r="B68" i="15"/>
  <c r="C68" i="15"/>
  <c r="D68" i="15"/>
  <c r="B69" i="15"/>
  <c r="C69" i="15"/>
  <c r="D69" i="15"/>
  <c r="E69" i="15"/>
  <c r="A71" i="15"/>
  <c r="A72" i="15"/>
  <c r="A74" i="15"/>
  <c r="A75" i="15"/>
  <c r="A76" i="15"/>
  <c r="O80" i="15"/>
  <c r="Q80" i="15"/>
  <c r="R80" i="15"/>
  <c r="S80" i="15"/>
  <c r="T80" i="15"/>
  <c r="V80" i="15"/>
  <c r="O84" i="15"/>
  <c r="Q84" i="15"/>
  <c r="R84" i="15"/>
  <c r="S84" i="15"/>
  <c r="T84" i="15"/>
  <c r="V84" i="15"/>
  <c r="O85" i="15"/>
  <c r="Q85" i="15"/>
  <c r="R85" i="15"/>
  <c r="S85" i="15"/>
  <c r="T85" i="15"/>
  <c r="V85" i="15"/>
  <c r="O86" i="15"/>
  <c r="Q86" i="15"/>
  <c r="R86" i="15"/>
  <c r="S86" i="15"/>
  <c r="T86" i="15"/>
  <c r="V86" i="15"/>
  <c r="O87" i="15"/>
  <c r="Q87" i="15"/>
  <c r="R87" i="15"/>
  <c r="S87" i="15"/>
  <c r="T87" i="15"/>
  <c r="V87" i="15"/>
  <c r="O88" i="15"/>
  <c r="Q88" i="15"/>
  <c r="R88" i="15"/>
  <c r="S88" i="15"/>
  <c r="T88" i="15"/>
  <c r="V88" i="15"/>
  <c r="O89" i="15"/>
  <c r="Q89" i="15"/>
  <c r="R89" i="15"/>
  <c r="S89" i="15"/>
  <c r="T89" i="15"/>
  <c r="V89" i="15"/>
  <c r="O90" i="15"/>
  <c r="Q90" i="15"/>
  <c r="R90" i="15"/>
  <c r="S90" i="15"/>
  <c r="T90" i="15"/>
  <c r="V90" i="15"/>
  <c r="O91" i="15"/>
  <c r="Q91" i="15"/>
  <c r="R91" i="15"/>
  <c r="S91" i="15"/>
  <c r="T91" i="15"/>
  <c r="V91" i="15"/>
  <c r="O92" i="15"/>
  <c r="Q92" i="15"/>
  <c r="R92" i="15"/>
  <c r="S92" i="15"/>
  <c r="T92" i="15"/>
  <c r="V92" i="15"/>
  <c r="O93" i="15"/>
  <c r="Q93" i="15"/>
  <c r="R93" i="15"/>
  <c r="S93" i="15"/>
  <c r="T93" i="15"/>
  <c r="V93" i="15"/>
  <c r="O94" i="15"/>
  <c r="Q94" i="15"/>
  <c r="R94" i="15"/>
  <c r="S94" i="15"/>
  <c r="T94" i="15"/>
  <c r="V94" i="15"/>
  <c r="O95" i="15"/>
  <c r="Q95" i="15"/>
  <c r="R95" i="15"/>
  <c r="S95" i="15"/>
  <c r="T95" i="15"/>
  <c r="V95" i="15"/>
  <c r="O96" i="15"/>
  <c r="Q96" i="15"/>
  <c r="R96" i="15"/>
  <c r="S96" i="15"/>
  <c r="T96" i="15"/>
  <c r="V96" i="15"/>
  <c r="O97" i="15"/>
  <c r="Q97" i="15"/>
  <c r="R97" i="15"/>
  <c r="S97" i="15"/>
  <c r="T97" i="15"/>
  <c r="V97" i="15"/>
  <c r="O98" i="15"/>
  <c r="Q98" i="15"/>
  <c r="R98" i="15"/>
  <c r="S98" i="15"/>
  <c r="T98" i="15"/>
  <c r="V98" i="15"/>
  <c r="O99" i="15"/>
  <c r="Q99" i="15"/>
  <c r="R99" i="15"/>
  <c r="S99" i="15"/>
  <c r="T99" i="15"/>
  <c r="V99" i="15"/>
  <c r="O100" i="15"/>
  <c r="Q100" i="15"/>
  <c r="R100" i="15"/>
  <c r="S100" i="15"/>
  <c r="T100" i="15"/>
  <c r="V100" i="15"/>
  <c r="O101" i="15"/>
  <c r="Q101" i="15"/>
  <c r="R101" i="15"/>
  <c r="S101" i="15"/>
  <c r="T101" i="15"/>
  <c r="V101" i="15"/>
  <c r="O102" i="15"/>
  <c r="Q102" i="15"/>
  <c r="R102" i="15"/>
  <c r="S102" i="15"/>
  <c r="T102" i="15"/>
  <c r="V102" i="15"/>
  <c r="O103" i="15"/>
  <c r="Q103" i="15"/>
  <c r="R103" i="15"/>
  <c r="S103" i="15"/>
  <c r="T103" i="15"/>
  <c r="V103" i="15"/>
  <c r="O104" i="15"/>
  <c r="Q104" i="15"/>
  <c r="R104" i="15"/>
  <c r="S104" i="15"/>
  <c r="T104" i="15"/>
  <c r="V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O105" i="15"/>
  <c r="Q105" i="15"/>
  <c r="R105" i="15"/>
  <c r="S105" i="15"/>
  <c r="T105" i="15"/>
  <c r="V105" i="15"/>
  <c r="O106" i="15"/>
  <c r="Q106" i="15"/>
  <c r="R106" i="15"/>
  <c r="S106" i="15"/>
  <c r="T106" i="15"/>
  <c r="V106" i="15"/>
  <c r="O107" i="15"/>
  <c r="Q107" i="15"/>
  <c r="R107" i="15"/>
  <c r="S107" i="15"/>
  <c r="T107" i="15"/>
  <c r="V107" i="15"/>
  <c r="O108" i="15"/>
  <c r="Q108" i="15"/>
  <c r="R108" i="15"/>
  <c r="S108" i="15"/>
  <c r="T108" i="15"/>
  <c r="V108" i="15"/>
  <c r="O109" i="15"/>
  <c r="Q109" i="15"/>
  <c r="R109" i="15"/>
  <c r="S109" i="15"/>
  <c r="T109" i="15"/>
  <c r="V109" i="15"/>
  <c r="O110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O112" i="15"/>
  <c r="Q112" i="15"/>
  <c r="R112" i="15"/>
  <c r="S112" i="15"/>
  <c r="T112" i="15"/>
  <c r="V112" i="15"/>
  <c r="B114" i="15"/>
  <c r="C114" i="15"/>
  <c r="D114" i="15"/>
  <c r="E114" i="15"/>
  <c r="F114" i="15"/>
  <c r="O114" i="15"/>
  <c r="Q114" i="15"/>
  <c r="R114" i="15"/>
  <c r="S114" i="15"/>
  <c r="T114" i="15"/>
  <c r="V114" i="15"/>
  <c r="O116" i="15"/>
  <c r="Q116" i="15"/>
  <c r="R116" i="15"/>
  <c r="S116" i="15"/>
  <c r="T116" i="15"/>
  <c r="V116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O118" i="15"/>
  <c r="Q118" i="15"/>
  <c r="R118" i="15"/>
  <c r="S118" i="15"/>
  <c r="T118" i="15"/>
  <c r="V118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O121" i="15"/>
  <c r="Q121" i="15"/>
  <c r="R121" i="15"/>
  <c r="S121" i="15"/>
  <c r="T121" i="15"/>
  <c r="V121" i="15"/>
  <c r="G122" i="15"/>
  <c r="H122" i="15"/>
  <c r="I122" i="15"/>
  <c r="J122" i="15"/>
  <c r="K122" i="15"/>
  <c r="L122" i="15"/>
  <c r="M122" i="15"/>
  <c r="O122" i="15"/>
  <c r="Q122" i="15"/>
  <c r="R122" i="15"/>
  <c r="S122" i="15"/>
  <c r="T122" i="15"/>
  <c r="V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O123" i="15"/>
  <c r="Q123" i="15"/>
  <c r="R123" i="15"/>
  <c r="S123" i="15"/>
  <c r="T123" i="15"/>
  <c r="V123" i="15"/>
  <c r="O124" i="15"/>
  <c r="Q124" i="15"/>
  <c r="R124" i="15"/>
  <c r="S124" i="15"/>
  <c r="T124" i="15"/>
  <c r="V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O125" i="15"/>
  <c r="Q125" i="15"/>
  <c r="R125" i="15"/>
  <c r="S125" i="15"/>
  <c r="T125" i="15"/>
  <c r="V125" i="15"/>
  <c r="O126" i="15"/>
  <c r="Q126" i="15"/>
  <c r="R126" i="15"/>
  <c r="S126" i="15"/>
  <c r="T126" i="15"/>
  <c r="V126" i="15"/>
  <c r="O127" i="15"/>
  <c r="Q127" i="15"/>
  <c r="R127" i="15"/>
  <c r="S127" i="15"/>
  <c r="T127" i="15"/>
  <c r="V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O128" i="15"/>
  <c r="Q128" i="15"/>
  <c r="R128" i="15"/>
  <c r="S128" i="15"/>
  <c r="T128" i="15"/>
  <c r="V128" i="15"/>
  <c r="O131" i="15"/>
  <c r="Q131" i="15"/>
  <c r="R131" i="15"/>
  <c r="S131" i="15"/>
  <c r="T131" i="15"/>
  <c r="V131" i="15"/>
  <c r="O132" i="15"/>
  <c r="Q132" i="15"/>
  <c r="R132" i="15"/>
  <c r="S132" i="15"/>
  <c r="T132" i="15"/>
  <c r="V132" i="15"/>
  <c r="O133" i="15"/>
  <c r="Q133" i="15"/>
  <c r="R133" i="15"/>
  <c r="S133" i="15"/>
  <c r="T133" i="15"/>
  <c r="V133" i="15"/>
  <c r="O134" i="15"/>
  <c r="Q134" i="15"/>
  <c r="R134" i="15"/>
  <c r="S134" i="15"/>
  <c r="T134" i="15"/>
  <c r="V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O135" i="15"/>
  <c r="Q135" i="15"/>
  <c r="R135" i="15"/>
  <c r="S135" i="15"/>
  <c r="T135" i="15"/>
  <c r="V135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O137" i="15"/>
  <c r="Q137" i="15"/>
  <c r="R137" i="15"/>
  <c r="S137" i="15"/>
  <c r="T137" i="15"/>
  <c r="V137" i="15"/>
  <c r="A141" i="15"/>
  <c r="A142" i="15"/>
  <c r="A144" i="15"/>
  <c r="A145" i="15"/>
  <c r="A146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O150" i="15"/>
  <c r="Q150" i="15"/>
  <c r="R150" i="15"/>
  <c r="S150" i="15"/>
  <c r="T150" i="15"/>
  <c r="V150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O154" i="15"/>
  <c r="Q154" i="15"/>
  <c r="R154" i="15"/>
  <c r="S154" i="15"/>
  <c r="T154" i="15"/>
  <c r="V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O155" i="15"/>
  <c r="Q155" i="15"/>
  <c r="R155" i="15"/>
  <c r="S155" i="15"/>
  <c r="T155" i="15"/>
  <c r="V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O156" i="15"/>
  <c r="Q156" i="15"/>
  <c r="R156" i="15"/>
  <c r="S156" i="15"/>
  <c r="T156" i="15"/>
  <c r="V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O157" i="15"/>
  <c r="Q157" i="15"/>
  <c r="R157" i="15"/>
  <c r="S157" i="15"/>
  <c r="T157" i="15"/>
  <c r="V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O158" i="15"/>
  <c r="Q158" i="15"/>
  <c r="R158" i="15"/>
  <c r="S158" i="15"/>
  <c r="T158" i="15"/>
  <c r="V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O159" i="15"/>
  <c r="Q159" i="15"/>
  <c r="R159" i="15"/>
  <c r="S159" i="15"/>
  <c r="T159" i="15"/>
  <c r="V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O160" i="15"/>
  <c r="Q160" i="15"/>
  <c r="R160" i="15"/>
  <c r="S160" i="15"/>
  <c r="T160" i="15"/>
  <c r="V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O161" i="15"/>
  <c r="Q161" i="15"/>
  <c r="R161" i="15"/>
  <c r="S161" i="15"/>
  <c r="T161" i="15"/>
  <c r="V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O162" i="15"/>
  <c r="Q162" i="15"/>
  <c r="R162" i="15"/>
  <c r="S162" i="15"/>
  <c r="T162" i="15"/>
  <c r="V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O163" i="15"/>
  <c r="Q163" i="15"/>
  <c r="R163" i="15"/>
  <c r="S163" i="15"/>
  <c r="T163" i="15"/>
  <c r="V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O164" i="15"/>
  <c r="Q164" i="15"/>
  <c r="R164" i="15"/>
  <c r="S164" i="15"/>
  <c r="T164" i="15"/>
  <c r="V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O165" i="15"/>
  <c r="Q165" i="15"/>
  <c r="R165" i="15"/>
  <c r="S165" i="15"/>
  <c r="T165" i="15"/>
  <c r="V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O166" i="15"/>
  <c r="Q166" i="15"/>
  <c r="R166" i="15"/>
  <c r="S166" i="15"/>
  <c r="T166" i="15"/>
  <c r="V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O167" i="15"/>
  <c r="Q167" i="15"/>
  <c r="R167" i="15"/>
  <c r="S167" i="15"/>
  <c r="T167" i="15"/>
  <c r="V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O168" i="15"/>
  <c r="Q168" i="15"/>
  <c r="R168" i="15"/>
  <c r="S168" i="15"/>
  <c r="T168" i="15"/>
  <c r="V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O169" i="15"/>
  <c r="Q169" i="15"/>
  <c r="R169" i="15"/>
  <c r="S169" i="15"/>
  <c r="T169" i="15"/>
  <c r="V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O170" i="15"/>
  <c r="Q170" i="15"/>
  <c r="R170" i="15"/>
  <c r="S170" i="15"/>
  <c r="T170" i="15"/>
  <c r="V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O171" i="15"/>
  <c r="Q171" i="15"/>
  <c r="R171" i="15"/>
  <c r="S171" i="15"/>
  <c r="T171" i="15"/>
  <c r="V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O172" i="15"/>
  <c r="Q172" i="15"/>
  <c r="R172" i="15"/>
  <c r="S172" i="15"/>
  <c r="T172" i="15"/>
  <c r="V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O173" i="15"/>
  <c r="Q173" i="15"/>
  <c r="R173" i="15"/>
  <c r="S173" i="15"/>
  <c r="T173" i="15"/>
  <c r="V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O174" i="15"/>
  <c r="Q174" i="15"/>
  <c r="R174" i="15"/>
  <c r="S174" i="15"/>
  <c r="T174" i="15"/>
  <c r="V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O175" i="15"/>
  <c r="Q175" i="15"/>
  <c r="R175" i="15"/>
  <c r="S175" i="15"/>
  <c r="T175" i="15"/>
  <c r="V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O176" i="15"/>
  <c r="Q176" i="15"/>
  <c r="R176" i="15"/>
  <c r="S176" i="15"/>
  <c r="T176" i="15"/>
  <c r="V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O177" i="15"/>
  <c r="Q177" i="15"/>
  <c r="R177" i="15"/>
  <c r="S177" i="15"/>
  <c r="T177" i="15"/>
  <c r="V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O178" i="15"/>
  <c r="Q178" i="15"/>
  <c r="R178" i="15"/>
  <c r="S178" i="15"/>
  <c r="T178" i="15"/>
  <c r="V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O179" i="15"/>
  <c r="Q179" i="15"/>
  <c r="R179" i="15"/>
  <c r="S179" i="15"/>
  <c r="T179" i="15"/>
  <c r="V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O180" i="15"/>
  <c r="Q180" i="15"/>
  <c r="R180" i="15"/>
  <c r="S180" i="15"/>
  <c r="T180" i="15"/>
  <c r="V180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O182" i="15"/>
  <c r="Q182" i="15"/>
  <c r="R182" i="15"/>
  <c r="S182" i="15"/>
  <c r="T182" i="15"/>
  <c r="V182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O184" i="15"/>
  <c r="Q184" i="15"/>
  <c r="R184" i="15"/>
  <c r="S184" i="15"/>
  <c r="T184" i="15"/>
  <c r="V184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O186" i="15"/>
  <c r="Q186" i="15"/>
  <c r="R186" i="15"/>
  <c r="S186" i="15"/>
  <c r="T186" i="15"/>
  <c r="V186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O188" i="15"/>
  <c r="Q188" i="15"/>
  <c r="R188" i="15"/>
  <c r="S188" i="15"/>
  <c r="T188" i="15"/>
  <c r="V188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O191" i="15"/>
  <c r="Q191" i="15"/>
  <c r="R191" i="15"/>
  <c r="S191" i="15"/>
  <c r="T191" i="15"/>
  <c r="V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O192" i="15"/>
  <c r="Q192" i="15"/>
  <c r="R192" i="15"/>
  <c r="S192" i="15"/>
  <c r="T192" i="15"/>
  <c r="V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O193" i="15"/>
  <c r="Q193" i="15"/>
  <c r="R193" i="15"/>
  <c r="S193" i="15"/>
  <c r="T193" i="15"/>
  <c r="V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O194" i="15"/>
  <c r="Q194" i="15"/>
  <c r="R194" i="15"/>
  <c r="S194" i="15"/>
  <c r="T194" i="15"/>
  <c r="V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O195" i="15"/>
  <c r="Q195" i="15"/>
  <c r="R195" i="15"/>
  <c r="S195" i="15"/>
  <c r="T195" i="15"/>
  <c r="V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O196" i="15"/>
  <c r="Q196" i="15"/>
  <c r="R196" i="15"/>
  <c r="S196" i="15"/>
  <c r="T196" i="15"/>
  <c r="V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O197" i="15"/>
  <c r="Q197" i="15"/>
  <c r="R197" i="15"/>
  <c r="S197" i="15"/>
  <c r="T197" i="15"/>
  <c r="V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O198" i="15"/>
  <c r="Q198" i="15"/>
  <c r="R198" i="15"/>
  <c r="S198" i="15"/>
  <c r="T198" i="15"/>
  <c r="V198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O201" i="15"/>
  <c r="Q201" i="15"/>
  <c r="R201" i="15"/>
  <c r="S201" i="15"/>
  <c r="T201" i="15"/>
  <c r="V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O202" i="15"/>
  <c r="Q202" i="15"/>
  <c r="R202" i="15"/>
  <c r="S202" i="15"/>
  <c r="T202" i="15"/>
  <c r="V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O203" i="15"/>
  <c r="Q203" i="15"/>
  <c r="R203" i="15"/>
  <c r="S203" i="15"/>
  <c r="T203" i="15"/>
  <c r="V203" i="15"/>
  <c r="O204" i="15"/>
  <c r="Q204" i="15"/>
  <c r="R204" i="15"/>
  <c r="S204" i="15"/>
  <c r="T204" i="15"/>
  <c r="V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O205" i="15"/>
  <c r="Q205" i="15"/>
  <c r="R205" i="15"/>
  <c r="S205" i="15"/>
  <c r="T205" i="15"/>
  <c r="V205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O207" i="15"/>
  <c r="Q207" i="15"/>
  <c r="R207" i="15"/>
  <c r="S207" i="15"/>
  <c r="T207" i="15"/>
  <c r="V207" i="15"/>
  <c r="A1" i="17"/>
  <c r="A2" i="17"/>
  <c r="A4" i="17"/>
  <c r="A5" i="17"/>
  <c r="A6" i="17"/>
  <c r="B9" i="17"/>
  <c r="C9" i="17"/>
  <c r="D9" i="17"/>
  <c r="F9" i="17"/>
  <c r="G9" i="17"/>
  <c r="H9" i="17"/>
  <c r="D11" i="17"/>
  <c r="H11" i="17"/>
  <c r="L11" i="17"/>
  <c r="D15" i="17"/>
  <c r="H15" i="17"/>
  <c r="L15" i="17"/>
  <c r="D16" i="17"/>
  <c r="H16" i="17"/>
  <c r="L16" i="17"/>
  <c r="D17" i="17"/>
  <c r="H17" i="17"/>
  <c r="L17" i="17"/>
  <c r="D18" i="17"/>
  <c r="H18" i="17"/>
  <c r="L18" i="17"/>
  <c r="D19" i="17"/>
  <c r="H19" i="17"/>
  <c r="L19" i="17"/>
  <c r="D20" i="17"/>
  <c r="H20" i="17"/>
  <c r="L20" i="17"/>
  <c r="D21" i="17"/>
  <c r="H21" i="17"/>
  <c r="L21" i="17"/>
  <c r="D22" i="17"/>
  <c r="H22" i="17"/>
  <c r="L22" i="17"/>
  <c r="D23" i="17"/>
  <c r="H23" i="17"/>
  <c r="L23" i="17"/>
  <c r="D24" i="17"/>
  <c r="H24" i="17"/>
  <c r="L24" i="17"/>
  <c r="D25" i="17"/>
  <c r="H25" i="17"/>
  <c r="L25" i="17"/>
  <c r="D26" i="17"/>
  <c r="H26" i="17"/>
  <c r="L26" i="17"/>
  <c r="D27" i="17"/>
  <c r="H27" i="17"/>
  <c r="L27" i="17"/>
  <c r="B28" i="17"/>
  <c r="D28" i="17"/>
  <c r="H28" i="17"/>
  <c r="L28" i="17"/>
  <c r="B29" i="17"/>
  <c r="D29" i="17"/>
  <c r="H29" i="17"/>
  <c r="L29" i="17"/>
  <c r="D30" i="17"/>
  <c r="H30" i="17"/>
  <c r="L30" i="17"/>
  <c r="B31" i="17"/>
  <c r="D31" i="17"/>
  <c r="H31" i="17"/>
  <c r="L31" i="17"/>
  <c r="B32" i="17"/>
  <c r="D32" i="17"/>
  <c r="H32" i="17"/>
  <c r="L32" i="17"/>
  <c r="D33" i="17"/>
  <c r="H33" i="17"/>
  <c r="L33" i="17"/>
  <c r="B34" i="17"/>
  <c r="D34" i="17"/>
  <c r="H34" i="17"/>
  <c r="L34" i="17"/>
  <c r="D35" i="17"/>
  <c r="H35" i="17"/>
  <c r="L35" i="17"/>
  <c r="B36" i="17"/>
  <c r="C36" i="17"/>
  <c r="D36" i="17"/>
  <c r="H36" i="17"/>
  <c r="L36" i="17"/>
  <c r="D37" i="17"/>
  <c r="H37" i="17"/>
  <c r="L37" i="17"/>
  <c r="D38" i="17"/>
  <c r="H38" i="17"/>
  <c r="L38" i="17"/>
  <c r="B39" i="17"/>
  <c r="D39" i="17"/>
  <c r="H39" i="17"/>
  <c r="L39" i="17"/>
  <c r="B40" i="17"/>
  <c r="D40" i="17"/>
  <c r="H40" i="17"/>
  <c r="L40" i="17"/>
  <c r="D41" i="17"/>
  <c r="H41" i="17"/>
  <c r="L41" i="17"/>
  <c r="B43" i="17"/>
  <c r="C43" i="17"/>
  <c r="D43" i="17"/>
  <c r="H43" i="17"/>
  <c r="L43" i="17"/>
  <c r="C45" i="17"/>
  <c r="D45" i="17"/>
  <c r="H45" i="17"/>
  <c r="L45" i="17"/>
  <c r="D47" i="17"/>
  <c r="H47" i="17"/>
  <c r="L47" i="17"/>
  <c r="B49" i="17"/>
  <c r="C49" i="17"/>
  <c r="D49" i="17"/>
  <c r="H49" i="17"/>
  <c r="L49" i="17"/>
  <c r="C52" i="17"/>
  <c r="D52" i="17"/>
  <c r="H52" i="17"/>
  <c r="L52" i="17"/>
  <c r="D53" i="17"/>
  <c r="H53" i="17"/>
  <c r="L53" i="17"/>
  <c r="C54" i="17"/>
  <c r="D54" i="17"/>
  <c r="H54" i="17"/>
  <c r="L54" i="17"/>
  <c r="D55" i="17"/>
  <c r="H55" i="17"/>
  <c r="L55" i="17"/>
  <c r="B56" i="17"/>
  <c r="C56" i="17"/>
  <c r="D56" i="17"/>
  <c r="H56" i="17"/>
  <c r="L56" i="17"/>
  <c r="D57" i="17"/>
  <c r="H57" i="17"/>
  <c r="L57" i="17"/>
  <c r="D58" i="17"/>
  <c r="H58" i="17"/>
  <c r="L58" i="17"/>
  <c r="B59" i="17"/>
  <c r="C59" i="17"/>
  <c r="D59" i="17"/>
  <c r="H59" i="17"/>
  <c r="L59" i="17"/>
  <c r="D62" i="17"/>
  <c r="H62" i="17"/>
  <c r="L62" i="17"/>
  <c r="D63" i="17"/>
  <c r="H63" i="17"/>
  <c r="L63" i="17"/>
  <c r="D64" i="17"/>
  <c r="H64" i="17"/>
  <c r="L64" i="17"/>
  <c r="D65" i="17"/>
  <c r="H65" i="17"/>
  <c r="L65" i="17"/>
  <c r="B66" i="17"/>
  <c r="C66" i="17"/>
  <c r="D66" i="17"/>
  <c r="H66" i="17"/>
  <c r="L66" i="17"/>
  <c r="B68" i="17"/>
  <c r="C68" i="17"/>
  <c r="D68" i="17"/>
  <c r="H68" i="17"/>
  <c r="L68" i="17"/>
  <c r="A1" i="16"/>
  <c r="A4" i="16"/>
  <c r="A5" i="16"/>
  <c r="A6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A71" i="16"/>
  <c r="A72" i="16"/>
  <c r="A74" i="16"/>
  <c r="A75" i="16"/>
  <c r="A76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A141" i="16"/>
  <c r="A142" i="16"/>
  <c r="A144" i="16"/>
  <c r="A145" i="16"/>
  <c r="A146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A4" i="19"/>
  <c r="A5" i="19"/>
  <c r="A6" i="19"/>
  <c r="O10" i="19"/>
  <c r="Q10" i="19"/>
  <c r="R10" i="19"/>
  <c r="S10" i="19"/>
  <c r="T10" i="19"/>
  <c r="V10" i="19"/>
  <c r="O14" i="19"/>
  <c r="Q14" i="19"/>
  <c r="R14" i="19"/>
  <c r="S14" i="19"/>
  <c r="T14" i="19"/>
  <c r="V14" i="19"/>
  <c r="F15" i="19"/>
  <c r="G15" i="19"/>
  <c r="H15" i="19"/>
  <c r="I15" i="19"/>
  <c r="J15" i="19"/>
  <c r="K15" i="19"/>
  <c r="L15" i="19"/>
  <c r="M15" i="19"/>
  <c r="O15" i="19"/>
  <c r="Q15" i="19"/>
  <c r="R15" i="19"/>
  <c r="S15" i="19"/>
  <c r="T15" i="19"/>
  <c r="V15" i="19"/>
  <c r="O16" i="19"/>
  <c r="Q16" i="19"/>
  <c r="R16" i="19"/>
  <c r="S16" i="19"/>
  <c r="T16" i="19"/>
  <c r="V16" i="19"/>
  <c r="O17" i="19"/>
  <c r="Q17" i="19"/>
  <c r="R17" i="19"/>
  <c r="S17" i="19"/>
  <c r="T17" i="19"/>
  <c r="V17" i="19"/>
  <c r="O18" i="19"/>
  <c r="Q18" i="19"/>
  <c r="R18" i="19"/>
  <c r="S18" i="19"/>
  <c r="T18" i="19"/>
  <c r="V18" i="19"/>
  <c r="D19" i="19"/>
  <c r="E19" i="19"/>
  <c r="F19" i="19"/>
  <c r="G19" i="19"/>
  <c r="H19" i="19"/>
  <c r="I19" i="19"/>
  <c r="J19" i="19"/>
  <c r="K19" i="19"/>
  <c r="L19" i="19"/>
  <c r="M19" i="19"/>
  <c r="O19" i="19"/>
  <c r="Q19" i="19"/>
  <c r="R19" i="19"/>
  <c r="S19" i="19"/>
  <c r="T19" i="19"/>
  <c r="V19" i="19"/>
  <c r="O20" i="19"/>
  <c r="Q20" i="19"/>
  <c r="R20" i="19"/>
  <c r="S20" i="19"/>
  <c r="T20" i="19"/>
  <c r="V20" i="19"/>
  <c r="O21" i="19"/>
  <c r="Q21" i="19"/>
  <c r="R21" i="19"/>
  <c r="S21" i="19"/>
  <c r="T21" i="19"/>
  <c r="V21" i="19"/>
  <c r="F22" i="19"/>
  <c r="G22" i="19"/>
  <c r="H22" i="19"/>
  <c r="I22" i="19"/>
  <c r="J22" i="19"/>
  <c r="K22" i="19"/>
  <c r="L22" i="19"/>
  <c r="M22" i="19"/>
  <c r="O22" i="19"/>
  <c r="Q22" i="19"/>
  <c r="R22" i="19"/>
  <c r="S22" i="19"/>
  <c r="T22" i="19"/>
  <c r="V22" i="19"/>
  <c r="F23" i="19"/>
  <c r="G23" i="19"/>
  <c r="H23" i="19"/>
  <c r="I23" i="19"/>
  <c r="J23" i="19"/>
  <c r="K23" i="19"/>
  <c r="L23" i="19"/>
  <c r="M23" i="19"/>
  <c r="O23" i="19"/>
  <c r="Q23" i="19"/>
  <c r="R23" i="19"/>
  <c r="S23" i="19"/>
  <c r="T23" i="19"/>
  <c r="V23" i="19"/>
  <c r="F24" i="19"/>
  <c r="G24" i="19"/>
  <c r="H24" i="19"/>
  <c r="I24" i="19"/>
  <c r="J24" i="19"/>
  <c r="K24" i="19"/>
  <c r="L24" i="19"/>
  <c r="M24" i="19"/>
  <c r="O24" i="19"/>
  <c r="Q24" i="19"/>
  <c r="R24" i="19"/>
  <c r="S24" i="19"/>
  <c r="T24" i="19"/>
  <c r="V24" i="19"/>
  <c r="F25" i="19"/>
  <c r="G25" i="19"/>
  <c r="H25" i="19"/>
  <c r="I25" i="19"/>
  <c r="J25" i="19"/>
  <c r="K25" i="19"/>
  <c r="L25" i="19"/>
  <c r="M25" i="19"/>
  <c r="O25" i="19"/>
  <c r="Q25" i="19"/>
  <c r="R25" i="19"/>
  <c r="S25" i="19"/>
  <c r="T25" i="19"/>
  <c r="V25" i="19"/>
  <c r="O26" i="19"/>
  <c r="Q26" i="19"/>
  <c r="R26" i="19"/>
  <c r="S26" i="19"/>
  <c r="T26" i="19"/>
  <c r="V26" i="19"/>
  <c r="D27" i="19"/>
  <c r="F27" i="19"/>
  <c r="G27" i="19"/>
  <c r="H27" i="19"/>
  <c r="I27" i="19"/>
  <c r="J27" i="19"/>
  <c r="K27" i="19"/>
  <c r="L27" i="19"/>
  <c r="M27" i="19"/>
  <c r="O27" i="19"/>
  <c r="Q27" i="19"/>
  <c r="R27" i="19"/>
  <c r="S27" i="19"/>
  <c r="T27" i="19"/>
  <c r="V27" i="19"/>
  <c r="F28" i="19"/>
  <c r="G28" i="19"/>
  <c r="H28" i="19"/>
  <c r="I28" i="19"/>
  <c r="J28" i="19"/>
  <c r="K28" i="19"/>
  <c r="L28" i="19"/>
  <c r="M28" i="19"/>
  <c r="O28" i="19"/>
  <c r="Q28" i="19"/>
  <c r="R28" i="19"/>
  <c r="S28" i="19"/>
  <c r="T28" i="19"/>
  <c r="V28" i="19"/>
  <c r="O29" i="19"/>
  <c r="Q29" i="19"/>
  <c r="R29" i="19"/>
  <c r="S29" i="19"/>
  <c r="T29" i="19"/>
  <c r="V29" i="19"/>
  <c r="F30" i="19"/>
  <c r="G30" i="19"/>
  <c r="H30" i="19"/>
  <c r="I30" i="19"/>
  <c r="J30" i="19"/>
  <c r="K30" i="19"/>
  <c r="L30" i="19"/>
  <c r="M30" i="19"/>
  <c r="O30" i="19"/>
  <c r="Q30" i="19"/>
  <c r="R30" i="19"/>
  <c r="S30" i="19"/>
  <c r="T30" i="19"/>
  <c r="V30" i="19"/>
  <c r="C31" i="19"/>
  <c r="D31" i="19"/>
  <c r="F31" i="19"/>
  <c r="G31" i="19"/>
  <c r="H31" i="19"/>
  <c r="I31" i="19"/>
  <c r="J31" i="19"/>
  <c r="K31" i="19"/>
  <c r="L31" i="19"/>
  <c r="M31" i="19"/>
  <c r="O31" i="19"/>
  <c r="Q31" i="19"/>
  <c r="R31" i="19"/>
  <c r="S31" i="19"/>
  <c r="T31" i="19"/>
  <c r="V31" i="19"/>
  <c r="B32" i="19"/>
  <c r="C32" i="19"/>
  <c r="D32" i="19"/>
  <c r="F32" i="19"/>
  <c r="G32" i="19"/>
  <c r="H32" i="19"/>
  <c r="I32" i="19"/>
  <c r="J32" i="19"/>
  <c r="K32" i="19"/>
  <c r="L32" i="19"/>
  <c r="M32" i="19"/>
  <c r="O32" i="19"/>
  <c r="Q32" i="19"/>
  <c r="R32" i="19"/>
  <c r="S32" i="19"/>
  <c r="T32" i="19"/>
  <c r="V32" i="19"/>
  <c r="D33" i="19"/>
  <c r="F33" i="19"/>
  <c r="G33" i="19"/>
  <c r="H33" i="19"/>
  <c r="I33" i="19"/>
  <c r="J33" i="19"/>
  <c r="K33" i="19"/>
  <c r="L33" i="19"/>
  <c r="M33" i="19"/>
  <c r="O33" i="19"/>
  <c r="Q33" i="19"/>
  <c r="R33" i="19"/>
  <c r="S33" i="19"/>
  <c r="T33" i="19"/>
  <c r="V33" i="19"/>
  <c r="D34" i="19"/>
  <c r="F34" i="19"/>
  <c r="G34" i="19"/>
  <c r="H34" i="19"/>
  <c r="I34" i="19"/>
  <c r="J34" i="19"/>
  <c r="K34" i="19"/>
  <c r="L34" i="19"/>
  <c r="M34" i="19"/>
  <c r="O34" i="19"/>
  <c r="Q34" i="19"/>
  <c r="R34" i="19"/>
  <c r="S34" i="19"/>
  <c r="T34" i="19"/>
  <c r="V34" i="19"/>
  <c r="F35" i="19"/>
  <c r="G35" i="19"/>
  <c r="H35" i="19"/>
  <c r="I35" i="19"/>
  <c r="J35" i="19"/>
  <c r="K35" i="19"/>
  <c r="L35" i="19"/>
  <c r="M35" i="19"/>
  <c r="O35" i="19"/>
  <c r="Q35" i="19"/>
  <c r="R35" i="19"/>
  <c r="S35" i="19"/>
  <c r="T35" i="19"/>
  <c r="V35" i="19"/>
  <c r="O36" i="19"/>
  <c r="Q36" i="19"/>
  <c r="R36" i="19"/>
  <c r="S36" i="19"/>
  <c r="T36" i="19"/>
  <c r="V36" i="19"/>
  <c r="F37" i="19"/>
  <c r="G37" i="19"/>
  <c r="H37" i="19"/>
  <c r="I37" i="19"/>
  <c r="J37" i="19"/>
  <c r="K37" i="19"/>
  <c r="L37" i="19"/>
  <c r="M37" i="19"/>
  <c r="O37" i="19"/>
  <c r="Q37" i="19"/>
  <c r="R37" i="19"/>
  <c r="S37" i="19"/>
  <c r="T37" i="19"/>
  <c r="V37" i="19"/>
  <c r="D38" i="19"/>
  <c r="F38" i="19"/>
  <c r="G38" i="19"/>
  <c r="H38" i="19"/>
  <c r="I38" i="19"/>
  <c r="J38" i="19"/>
  <c r="K38" i="19"/>
  <c r="L38" i="19"/>
  <c r="M38" i="19"/>
  <c r="O38" i="19"/>
  <c r="Q38" i="19"/>
  <c r="R38" i="19"/>
  <c r="S38" i="19"/>
  <c r="T38" i="19"/>
  <c r="V38" i="19"/>
  <c r="D39" i="19"/>
  <c r="E39" i="19"/>
  <c r="F39" i="19"/>
  <c r="G39" i="19"/>
  <c r="H39" i="19"/>
  <c r="I39" i="19"/>
  <c r="J39" i="19"/>
  <c r="K39" i="19"/>
  <c r="L39" i="19"/>
  <c r="M39" i="19"/>
  <c r="O39" i="19"/>
  <c r="Q39" i="19"/>
  <c r="R39" i="19"/>
  <c r="S39" i="19"/>
  <c r="T39" i="19"/>
  <c r="V39" i="19"/>
  <c r="C40" i="19"/>
  <c r="D40" i="19"/>
  <c r="O40" i="19"/>
  <c r="Q40" i="19"/>
  <c r="R40" i="19"/>
  <c r="S40" i="19"/>
  <c r="T40" i="19"/>
  <c r="V40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O42" i="19"/>
  <c r="Q42" i="19"/>
  <c r="R42" i="19"/>
  <c r="S42" i="19"/>
  <c r="T42" i="19"/>
  <c r="V42" i="19"/>
  <c r="O44" i="19"/>
  <c r="Q44" i="19"/>
  <c r="R44" i="19"/>
  <c r="S44" i="19"/>
  <c r="T44" i="19"/>
  <c r="V44" i="19"/>
  <c r="E46" i="19"/>
  <c r="O46" i="19"/>
  <c r="Q46" i="19"/>
  <c r="R46" i="19"/>
  <c r="S46" i="19"/>
  <c r="T46" i="19"/>
  <c r="V46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O48" i="19"/>
  <c r="Q48" i="19"/>
  <c r="R48" i="19"/>
  <c r="S48" i="19"/>
  <c r="T48" i="19"/>
  <c r="V48" i="19"/>
  <c r="O51" i="19"/>
  <c r="Q51" i="19"/>
  <c r="R51" i="19"/>
  <c r="S51" i="19"/>
  <c r="T51" i="19"/>
  <c r="V51" i="19"/>
  <c r="O52" i="19"/>
  <c r="Q52" i="19"/>
  <c r="R52" i="19"/>
  <c r="S52" i="19"/>
  <c r="T52" i="19"/>
  <c r="V52" i="19"/>
  <c r="F53" i="19"/>
  <c r="G53" i="19"/>
  <c r="H53" i="19"/>
  <c r="I53" i="19"/>
  <c r="J53" i="19"/>
  <c r="K53" i="19"/>
  <c r="L53" i="19"/>
  <c r="M53" i="19"/>
  <c r="O53" i="19"/>
  <c r="Q53" i="19"/>
  <c r="R53" i="19"/>
  <c r="S53" i="19"/>
  <c r="T53" i="19"/>
  <c r="V53" i="19"/>
  <c r="F54" i="19"/>
  <c r="G54" i="19"/>
  <c r="H54" i="19"/>
  <c r="I54" i="19"/>
  <c r="J54" i="19"/>
  <c r="K54" i="19"/>
  <c r="L54" i="19"/>
  <c r="M54" i="19"/>
  <c r="O54" i="19"/>
  <c r="Q54" i="19"/>
  <c r="R54" i="19"/>
  <c r="S54" i="19"/>
  <c r="T54" i="19"/>
  <c r="V54" i="19"/>
  <c r="D55" i="19"/>
  <c r="E55" i="19"/>
  <c r="F55" i="19"/>
  <c r="G55" i="19"/>
  <c r="H55" i="19"/>
  <c r="I55" i="19"/>
  <c r="J55" i="19"/>
  <c r="K55" i="19"/>
  <c r="L55" i="19"/>
  <c r="M55" i="19"/>
  <c r="O55" i="19"/>
  <c r="Q55" i="19"/>
  <c r="R55" i="19"/>
  <c r="S55" i="19"/>
  <c r="T55" i="19"/>
  <c r="V55" i="19"/>
  <c r="O56" i="19"/>
  <c r="Q56" i="19"/>
  <c r="R56" i="19"/>
  <c r="S56" i="19"/>
  <c r="T56" i="19"/>
  <c r="V56" i="19"/>
  <c r="O57" i="19"/>
  <c r="Q57" i="19"/>
  <c r="R57" i="19"/>
  <c r="S57" i="19"/>
  <c r="T57" i="19"/>
  <c r="V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O58" i="19"/>
  <c r="Q58" i="19"/>
  <c r="R58" i="19"/>
  <c r="S58" i="19"/>
  <c r="T58" i="19"/>
  <c r="V58" i="19"/>
  <c r="O61" i="19"/>
  <c r="Q61" i="19"/>
  <c r="R61" i="19"/>
  <c r="S61" i="19"/>
  <c r="T61" i="19"/>
  <c r="V61" i="19"/>
  <c r="B62" i="19"/>
  <c r="F62" i="19"/>
  <c r="G62" i="19"/>
  <c r="H62" i="19"/>
  <c r="I62" i="19"/>
  <c r="J62" i="19"/>
  <c r="K62" i="19"/>
  <c r="L62" i="19"/>
  <c r="M62" i="19"/>
  <c r="O62" i="19"/>
  <c r="Q62" i="19"/>
  <c r="R62" i="19"/>
  <c r="S62" i="19"/>
  <c r="T62" i="19"/>
  <c r="V62" i="19"/>
  <c r="O63" i="19"/>
  <c r="Q63" i="19"/>
  <c r="R63" i="19"/>
  <c r="S63" i="19"/>
  <c r="T63" i="19"/>
  <c r="V63" i="19"/>
  <c r="O64" i="19"/>
  <c r="Q64" i="19"/>
  <c r="R64" i="19"/>
  <c r="S64" i="19"/>
  <c r="T64" i="19"/>
  <c r="V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O65" i="19"/>
  <c r="Q65" i="19"/>
  <c r="R65" i="19"/>
  <c r="S65" i="19"/>
  <c r="T65" i="19"/>
  <c r="V65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O67" i="19"/>
  <c r="Q67" i="19"/>
  <c r="R67" i="19"/>
  <c r="S67" i="19"/>
  <c r="T67" i="19"/>
  <c r="V67" i="19"/>
  <c r="B68" i="19"/>
  <c r="C68" i="19"/>
  <c r="D68" i="19"/>
  <c r="B69" i="19"/>
  <c r="C69" i="19"/>
  <c r="D69" i="19"/>
  <c r="E69" i="19"/>
  <c r="A71" i="19"/>
  <c r="A72" i="19"/>
  <c r="A74" i="19"/>
  <c r="A75" i="19"/>
  <c r="A76" i="19"/>
  <c r="O80" i="19"/>
  <c r="Q80" i="19"/>
  <c r="R80" i="19"/>
  <c r="S80" i="19"/>
  <c r="T80" i="19"/>
  <c r="V80" i="19"/>
  <c r="O84" i="19"/>
  <c r="Q84" i="19"/>
  <c r="R84" i="19"/>
  <c r="S84" i="19"/>
  <c r="T84" i="19"/>
  <c r="V84" i="19"/>
  <c r="O85" i="19"/>
  <c r="Q85" i="19"/>
  <c r="R85" i="19"/>
  <c r="S85" i="19"/>
  <c r="T85" i="19"/>
  <c r="V85" i="19"/>
  <c r="O86" i="19"/>
  <c r="Q86" i="19"/>
  <c r="R86" i="19"/>
  <c r="S86" i="19"/>
  <c r="T86" i="19"/>
  <c r="V86" i="19"/>
  <c r="O87" i="19"/>
  <c r="Q87" i="19"/>
  <c r="R87" i="19"/>
  <c r="S87" i="19"/>
  <c r="T87" i="19"/>
  <c r="V87" i="19"/>
  <c r="O88" i="19"/>
  <c r="Q88" i="19"/>
  <c r="R88" i="19"/>
  <c r="S88" i="19"/>
  <c r="T88" i="19"/>
  <c r="V88" i="19"/>
  <c r="O89" i="19"/>
  <c r="Q89" i="19"/>
  <c r="R89" i="19"/>
  <c r="S89" i="19"/>
  <c r="T89" i="19"/>
  <c r="V89" i="19"/>
  <c r="O90" i="19"/>
  <c r="Q90" i="19"/>
  <c r="R90" i="19"/>
  <c r="S90" i="19"/>
  <c r="T90" i="19"/>
  <c r="V90" i="19"/>
  <c r="O91" i="19"/>
  <c r="Q91" i="19"/>
  <c r="R91" i="19"/>
  <c r="S91" i="19"/>
  <c r="T91" i="19"/>
  <c r="V91" i="19"/>
  <c r="O92" i="19"/>
  <c r="Q92" i="19"/>
  <c r="R92" i="19"/>
  <c r="S92" i="19"/>
  <c r="T92" i="19"/>
  <c r="V92" i="19"/>
  <c r="O93" i="19"/>
  <c r="Q93" i="19"/>
  <c r="R93" i="19"/>
  <c r="S93" i="19"/>
  <c r="T93" i="19"/>
  <c r="V93" i="19"/>
  <c r="O94" i="19"/>
  <c r="Q94" i="19"/>
  <c r="R94" i="19"/>
  <c r="S94" i="19"/>
  <c r="T94" i="19"/>
  <c r="V94" i="19"/>
  <c r="O95" i="19"/>
  <c r="Q95" i="19"/>
  <c r="R95" i="19"/>
  <c r="S95" i="19"/>
  <c r="T95" i="19"/>
  <c r="V95" i="19"/>
  <c r="O96" i="19"/>
  <c r="Q96" i="19"/>
  <c r="R96" i="19"/>
  <c r="S96" i="19"/>
  <c r="T96" i="19"/>
  <c r="V96" i="19"/>
  <c r="O97" i="19"/>
  <c r="Q97" i="19"/>
  <c r="R97" i="19"/>
  <c r="S97" i="19"/>
  <c r="T97" i="19"/>
  <c r="V97" i="19"/>
  <c r="O98" i="19"/>
  <c r="Q98" i="19"/>
  <c r="R98" i="19"/>
  <c r="S98" i="19"/>
  <c r="T98" i="19"/>
  <c r="V98" i="19"/>
  <c r="O99" i="19"/>
  <c r="Q99" i="19"/>
  <c r="R99" i="19"/>
  <c r="S99" i="19"/>
  <c r="T99" i="19"/>
  <c r="V99" i="19"/>
  <c r="O100" i="19"/>
  <c r="Q100" i="19"/>
  <c r="R100" i="19"/>
  <c r="S100" i="19"/>
  <c r="T100" i="19"/>
  <c r="V100" i="19"/>
  <c r="O101" i="19"/>
  <c r="Q101" i="19"/>
  <c r="R101" i="19"/>
  <c r="S101" i="19"/>
  <c r="T101" i="19"/>
  <c r="V101" i="19"/>
  <c r="O102" i="19"/>
  <c r="Q102" i="19"/>
  <c r="R102" i="19"/>
  <c r="S102" i="19"/>
  <c r="T102" i="19"/>
  <c r="V102" i="19"/>
  <c r="O103" i="19"/>
  <c r="Q103" i="19"/>
  <c r="R103" i="19"/>
  <c r="S103" i="19"/>
  <c r="T103" i="19"/>
  <c r="V103" i="19"/>
  <c r="O104" i="19"/>
  <c r="Q104" i="19"/>
  <c r="R104" i="19"/>
  <c r="S104" i="19"/>
  <c r="T104" i="19"/>
  <c r="V104" i="19"/>
  <c r="B105" i="19"/>
  <c r="C105" i="19"/>
  <c r="D105" i="19"/>
  <c r="E105" i="19"/>
  <c r="F105" i="19"/>
  <c r="G105" i="19"/>
  <c r="H105" i="19"/>
  <c r="I105" i="19"/>
  <c r="J105" i="19"/>
  <c r="K105" i="19"/>
  <c r="L105" i="19"/>
  <c r="M105" i="19"/>
  <c r="O105" i="19"/>
  <c r="Q105" i="19"/>
  <c r="R105" i="19"/>
  <c r="S105" i="19"/>
  <c r="T105" i="19"/>
  <c r="V105" i="19"/>
  <c r="O106" i="19"/>
  <c r="Q106" i="19"/>
  <c r="R106" i="19"/>
  <c r="S106" i="19"/>
  <c r="T106" i="19"/>
  <c r="V106" i="19"/>
  <c r="O107" i="19"/>
  <c r="Q107" i="19"/>
  <c r="R107" i="19"/>
  <c r="S107" i="19"/>
  <c r="T107" i="19"/>
  <c r="V107" i="19"/>
  <c r="O108" i="19"/>
  <c r="Q108" i="19"/>
  <c r="R108" i="19"/>
  <c r="S108" i="19"/>
  <c r="T108" i="19"/>
  <c r="V108" i="19"/>
  <c r="O109" i="19"/>
  <c r="Q109" i="19"/>
  <c r="R109" i="19"/>
  <c r="S109" i="19"/>
  <c r="T109" i="19"/>
  <c r="V109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O112" i="19"/>
  <c r="Q112" i="19"/>
  <c r="R112" i="19"/>
  <c r="S112" i="19"/>
  <c r="T112" i="19"/>
  <c r="V112" i="19"/>
  <c r="B114" i="19"/>
  <c r="C114" i="19"/>
  <c r="D114" i="19"/>
  <c r="E114" i="19"/>
  <c r="F114" i="19"/>
  <c r="O114" i="19"/>
  <c r="Q114" i="19"/>
  <c r="R114" i="19"/>
  <c r="S114" i="19"/>
  <c r="T114" i="19"/>
  <c r="V114" i="19"/>
  <c r="O116" i="19"/>
  <c r="Q116" i="19"/>
  <c r="R116" i="19"/>
  <c r="S116" i="19"/>
  <c r="T116" i="19"/>
  <c r="V116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O118" i="19"/>
  <c r="Q118" i="19"/>
  <c r="R118" i="19"/>
  <c r="S118" i="19"/>
  <c r="T118" i="19"/>
  <c r="V118" i="19"/>
  <c r="B121" i="19"/>
  <c r="C121" i="19"/>
  <c r="D121" i="19"/>
  <c r="E121" i="19"/>
  <c r="F121" i="19"/>
  <c r="G121" i="19"/>
  <c r="H121" i="19"/>
  <c r="I121" i="19"/>
  <c r="J121" i="19"/>
  <c r="K121" i="19"/>
  <c r="L121" i="19"/>
  <c r="M121" i="19"/>
  <c r="O121" i="19"/>
  <c r="Q121" i="19"/>
  <c r="R121" i="19"/>
  <c r="S121" i="19"/>
  <c r="T121" i="19"/>
  <c r="V121" i="19"/>
  <c r="G122" i="19"/>
  <c r="H122" i="19"/>
  <c r="I122" i="19"/>
  <c r="J122" i="19"/>
  <c r="K122" i="19"/>
  <c r="L122" i="19"/>
  <c r="M122" i="19"/>
  <c r="O122" i="19"/>
  <c r="Q122" i="19"/>
  <c r="R122" i="19"/>
  <c r="S122" i="19"/>
  <c r="T122" i="19"/>
  <c r="V122" i="19"/>
  <c r="B123" i="19"/>
  <c r="C123" i="19"/>
  <c r="D123" i="19"/>
  <c r="E123" i="19"/>
  <c r="F123" i="19"/>
  <c r="G123" i="19"/>
  <c r="H123" i="19"/>
  <c r="I123" i="19"/>
  <c r="J123" i="19"/>
  <c r="K123" i="19"/>
  <c r="L123" i="19"/>
  <c r="M123" i="19"/>
  <c r="O123" i="19"/>
  <c r="Q123" i="19"/>
  <c r="R123" i="19"/>
  <c r="S123" i="19"/>
  <c r="T123" i="19"/>
  <c r="V123" i="19"/>
  <c r="O124" i="19"/>
  <c r="Q124" i="19"/>
  <c r="R124" i="19"/>
  <c r="S124" i="19"/>
  <c r="T124" i="19"/>
  <c r="V124" i="19"/>
  <c r="B125" i="19"/>
  <c r="C125" i="19"/>
  <c r="D125" i="19"/>
  <c r="E125" i="19"/>
  <c r="F125" i="19"/>
  <c r="M125" i="19"/>
  <c r="O125" i="19"/>
  <c r="Q125" i="19"/>
  <c r="R125" i="19"/>
  <c r="S125" i="19"/>
  <c r="T125" i="19"/>
  <c r="V125" i="19"/>
  <c r="O126" i="19"/>
  <c r="Q126" i="19"/>
  <c r="R126" i="19"/>
  <c r="S126" i="19"/>
  <c r="T126" i="19"/>
  <c r="V126" i="19"/>
  <c r="O127" i="19"/>
  <c r="Q127" i="19"/>
  <c r="R127" i="19"/>
  <c r="S127" i="19"/>
  <c r="T127" i="19"/>
  <c r="V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O128" i="19"/>
  <c r="Q128" i="19"/>
  <c r="R128" i="19"/>
  <c r="S128" i="19"/>
  <c r="T128" i="19"/>
  <c r="V128" i="19"/>
  <c r="O131" i="19"/>
  <c r="Q131" i="19"/>
  <c r="R131" i="19"/>
  <c r="S131" i="19"/>
  <c r="T131" i="19"/>
  <c r="V131" i="19"/>
  <c r="O132" i="19"/>
  <c r="Q132" i="19"/>
  <c r="R132" i="19"/>
  <c r="S132" i="19"/>
  <c r="T132" i="19"/>
  <c r="V132" i="19"/>
  <c r="O133" i="19"/>
  <c r="Q133" i="19"/>
  <c r="R133" i="19"/>
  <c r="S133" i="19"/>
  <c r="T133" i="19"/>
  <c r="V133" i="19"/>
  <c r="O134" i="19"/>
  <c r="Q134" i="19"/>
  <c r="R134" i="19"/>
  <c r="S134" i="19"/>
  <c r="T134" i="19"/>
  <c r="V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O135" i="19"/>
  <c r="Q135" i="19"/>
  <c r="R135" i="19"/>
  <c r="S135" i="19"/>
  <c r="T135" i="19"/>
  <c r="V135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O137" i="19"/>
  <c r="Q137" i="19"/>
  <c r="R137" i="19"/>
  <c r="S137" i="19"/>
  <c r="T137" i="19"/>
  <c r="V137" i="19"/>
  <c r="A141" i="19"/>
  <c r="A142" i="19"/>
  <c r="A144" i="19"/>
  <c r="A145" i="19"/>
  <c r="A146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O150" i="19"/>
  <c r="Q150" i="19"/>
  <c r="R150" i="19"/>
  <c r="S150" i="19"/>
  <c r="T150" i="19"/>
  <c r="V150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O154" i="19"/>
  <c r="Q154" i="19"/>
  <c r="R154" i="19"/>
  <c r="S154" i="19"/>
  <c r="T154" i="19"/>
  <c r="V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O155" i="19"/>
  <c r="Q155" i="19"/>
  <c r="R155" i="19"/>
  <c r="S155" i="19"/>
  <c r="T155" i="19"/>
  <c r="V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O156" i="19"/>
  <c r="Q156" i="19"/>
  <c r="R156" i="19"/>
  <c r="S156" i="19"/>
  <c r="T156" i="19"/>
  <c r="V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O157" i="19"/>
  <c r="Q157" i="19"/>
  <c r="R157" i="19"/>
  <c r="S157" i="19"/>
  <c r="T157" i="19"/>
  <c r="V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O158" i="19"/>
  <c r="Q158" i="19"/>
  <c r="R158" i="19"/>
  <c r="S158" i="19"/>
  <c r="T158" i="19"/>
  <c r="V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O159" i="19"/>
  <c r="Q159" i="19"/>
  <c r="R159" i="19"/>
  <c r="S159" i="19"/>
  <c r="T159" i="19"/>
  <c r="V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O160" i="19"/>
  <c r="Q160" i="19"/>
  <c r="R160" i="19"/>
  <c r="S160" i="19"/>
  <c r="T160" i="19"/>
  <c r="V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O161" i="19"/>
  <c r="Q161" i="19"/>
  <c r="R161" i="19"/>
  <c r="S161" i="19"/>
  <c r="T161" i="19"/>
  <c r="V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O162" i="19"/>
  <c r="Q162" i="19"/>
  <c r="R162" i="19"/>
  <c r="S162" i="19"/>
  <c r="T162" i="19"/>
  <c r="V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O163" i="19"/>
  <c r="Q163" i="19"/>
  <c r="R163" i="19"/>
  <c r="S163" i="19"/>
  <c r="T163" i="19"/>
  <c r="V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O164" i="19"/>
  <c r="Q164" i="19"/>
  <c r="R164" i="19"/>
  <c r="S164" i="19"/>
  <c r="T164" i="19"/>
  <c r="V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O165" i="19"/>
  <c r="Q165" i="19"/>
  <c r="R165" i="19"/>
  <c r="S165" i="19"/>
  <c r="T165" i="19"/>
  <c r="V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O166" i="19"/>
  <c r="Q166" i="19"/>
  <c r="R166" i="19"/>
  <c r="S166" i="19"/>
  <c r="T166" i="19"/>
  <c r="V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O167" i="19"/>
  <c r="Q167" i="19"/>
  <c r="R167" i="19"/>
  <c r="S167" i="19"/>
  <c r="T167" i="19"/>
  <c r="V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O168" i="19"/>
  <c r="Q168" i="19"/>
  <c r="R168" i="19"/>
  <c r="S168" i="19"/>
  <c r="T168" i="19"/>
  <c r="V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O169" i="19"/>
  <c r="Q169" i="19"/>
  <c r="R169" i="19"/>
  <c r="S169" i="19"/>
  <c r="T169" i="19"/>
  <c r="V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O170" i="19"/>
  <c r="Q170" i="19"/>
  <c r="R170" i="19"/>
  <c r="S170" i="19"/>
  <c r="T170" i="19"/>
  <c r="V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O171" i="19"/>
  <c r="Q171" i="19"/>
  <c r="R171" i="19"/>
  <c r="S171" i="19"/>
  <c r="T171" i="19"/>
  <c r="V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O172" i="19"/>
  <c r="Q172" i="19"/>
  <c r="R172" i="19"/>
  <c r="S172" i="19"/>
  <c r="T172" i="19"/>
  <c r="V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O173" i="19"/>
  <c r="Q173" i="19"/>
  <c r="R173" i="19"/>
  <c r="S173" i="19"/>
  <c r="T173" i="19"/>
  <c r="V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O174" i="19"/>
  <c r="Q174" i="19"/>
  <c r="R174" i="19"/>
  <c r="S174" i="19"/>
  <c r="T174" i="19"/>
  <c r="V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O175" i="19"/>
  <c r="Q175" i="19"/>
  <c r="R175" i="19"/>
  <c r="S175" i="19"/>
  <c r="T175" i="19"/>
  <c r="V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O176" i="19"/>
  <c r="Q176" i="19"/>
  <c r="R176" i="19"/>
  <c r="S176" i="19"/>
  <c r="T176" i="19"/>
  <c r="V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O177" i="19"/>
  <c r="Q177" i="19"/>
  <c r="R177" i="19"/>
  <c r="S177" i="19"/>
  <c r="T177" i="19"/>
  <c r="V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O178" i="19"/>
  <c r="Q178" i="19"/>
  <c r="R178" i="19"/>
  <c r="S178" i="19"/>
  <c r="T178" i="19"/>
  <c r="V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O179" i="19"/>
  <c r="Q179" i="19"/>
  <c r="R179" i="19"/>
  <c r="S179" i="19"/>
  <c r="T179" i="19"/>
  <c r="V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O180" i="19"/>
  <c r="Q180" i="19"/>
  <c r="R180" i="19"/>
  <c r="S180" i="19"/>
  <c r="T180" i="19"/>
  <c r="V180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O182" i="19"/>
  <c r="Q182" i="19"/>
  <c r="R182" i="19"/>
  <c r="S182" i="19"/>
  <c r="T182" i="19"/>
  <c r="V182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O184" i="19"/>
  <c r="Q184" i="19"/>
  <c r="R184" i="19"/>
  <c r="S184" i="19"/>
  <c r="T184" i="19"/>
  <c r="V184" i="19"/>
  <c r="B186" i="19"/>
  <c r="C186" i="19"/>
  <c r="D186" i="19"/>
  <c r="E186" i="19"/>
  <c r="F186" i="19"/>
  <c r="G186" i="19"/>
  <c r="H186" i="19"/>
  <c r="I186" i="19"/>
  <c r="J186" i="19"/>
  <c r="K186" i="19"/>
  <c r="L186" i="19"/>
  <c r="M186" i="19"/>
  <c r="O186" i="19"/>
  <c r="Q186" i="19"/>
  <c r="R186" i="19"/>
  <c r="S186" i="19"/>
  <c r="T186" i="19"/>
  <c r="V186" i="19"/>
  <c r="B188" i="19"/>
  <c r="C188" i="19"/>
  <c r="D188" i="19"/>
  <c r="E188" i="19"/>
  <c r="F188" i="19"/>
  <c r="G188" i="19"/>
  <c r="H188" i="19"/>
  <c r="I188" i="19"/>
  <c r="J188" i="19"/>
  <c r="K188" i="19"/>
  <c r="L188" i="19"/>
  <c r="M188" i="19"/>
  <c r="O188" i="19"/>
  <c r="Q188" i="19"/>
  <c r="R188" i="19"/>
  <c r="S188" i="19"/>
  <c r="T188" i="19"/>
  <c r="V188" i="19"/>
  <c r="B191" i="19"/>
  <c r="C191" i="19"/>
  <c r="D191" i="19"/>
  <c r="E191" i="19"/>
  <c r="F191" i="19"/>
  <c r="G191" i="19"/>
  <c r="H191" i="19"/>
  <c r="I191" i="19"/>
  <c r="J191" i="19"/>
  <c r="K191" i="19"/>
  <c r="L191" i="19"/>
  <c r="M191" i="19"/>
  <c r="O191" i="19"/>
  <c r="Q191" i="19"/>
  <c r="R191" i="19"/>
  <c r="S191" i="19"/>
  <c r="T191" i="19"/>
  <c r="V191" i="19"/>
  <c r="B192" i="19"/>
  <c r="C192" i="19"/>
  <c r="D192" i="19"/>
  <c r="E192" i="19"/>
  <c r="F192" i="19"/>
  <c r="G192" i="19"/>
  <c r="H192" i="19"/>
  <c r="I192" i="19"/>
  <c r="J192" i="19"/>
  <c r="K192" i="19"/>
  <c r="L192" i="19"/>
  <c r="M192" i="19"/>
  <c r="O192" i="19"/>
  <c r="Q192" i="19"/>
  <c r="R192" i="19"/>
  <c r="S192" i="19"/>
  <c r="T192" i="19"/>
  <c r="V192" i="19"/>
  <c r="B193" i="19"/>
  <c r="C193" i="19"/>
  <c r="D193" i="19"/>
  <c r="E193" i="19"/>
  <c r="F193" i="19"/>
  <c r="G193" i="19"/>
  <c r="H193" i="19"/>
  <c r="I193" i="19"/>
  <c r="J193" i="19"/>
  <c r="K193" i="19"/>
  <c r="L193" i="19"/>
  <c r="M193" i="19"/>
  <c r="O193" i="19"/>
  <c r="Q193" i="19"/>
  <c r="R193" i="19"/>
  <c r="S193" i="19"/>
  <c r="T193" i="19"/>
  <c r="V193" i="19"/>
  <c r="B194" i="19"/>
  <c r="C194" i="19"/>
  <c r="D194" i="19"/>
  <c r="E194" i="19"/>
  <c r="F194" i="19"/>
  <c r="G194" i="19"/>
  <c r="H194" i="19"/>
  <c r="I194" i="19"/>
  <c r="J194" i="19"/>
  <c r="K194" i="19"/>
  <c r="L194" i="19"/>
  <c r="M194" i="19"/>
  <c r="O194" i="19"/>
  <c r="Q194" i="19"/>
  <c r="R194" i="19"/>
  <c r="S194" i="19"/>
  <c r="T194" i="19"/>
  <c r="V194" i="19"/>
  <c r="B195" i="19"/>
  <c r="C195" i="19"/>
  <c r="D195" i="19"/>
  <c r="E195" i="19"/>
  <c r="F195" i="19"/>
  <c r="G195" i="19"/>
  <c r="H195" i="19"/>
  <c r="I195" i="19"/>
  <c r="J195" i="19"/>
  <c r="K195" i="19"/>
  <c r="L195" i="19"/>
  <c r="M195" i="19"/>
  <c r="O195" i="19"/>
  <c r="Q195" i="19"/>
  <c r="R195" i="19"/>
  <c r="S195" i="19"/>
  <c r="T195" i="19"/>
  <c r="V195" i="19"/>
  <c r="B196" i="19"/>
  <c r="C196" i="19"/>
  <c r="D196" i="19"/>
  <c r="E196" i="19"/>
  <c r="F196" i="19"/>
  <c r="G196" i="19"/>
  <c r="H196" i="19"/>
  <c r="I196" i="19"/>
  <c r="J196" i="19"/>
  <c r="K196" i="19"/>
  <c r="L196" i="19"/>
  <c r="M196" i="19"/>
  <c r="O196" i="19"/>
  <c r="Q196" i="19"/>
  <c r="R196" i="19"/>
  <c r="S196" i="19"/>
  <c r="T196" i="19"/>
  <c r="V196" i="19"/>
  <c r="B197" i="19"/>
  <c r="C197" i="19"/>
  <c r="D197" i="19"/>
  <c r="E197" i="19"/>
  <c r="F197" i="19"/>
  <c r="G197" i="19"/>
  <c r="H197" i="19"/>
  <c r="I197" i="19"/>
  <c r="J197" i="19"/>
  <c r="K197" i="19"/>
  <c r="L197" i="19"/>
  <c r="M197" i="19"/>
  <c r="O197" i="19"/>
  <c r="Q197" i="19"/>
  <c r="R197" i="19"/>
  <c r="S197" i="19"/>
  <c r="T197" i="19"/>
  <c r="V197" i="19"/>
  <c r="B198" i="19"/>
  <c r="C198" i="19"/>
  <c r="D198" i="19"/>
  <c r="E198" i="19"/>
  <c r="F198" i="19"/>
  <c r="G198" i="19"/>
  <c r="H198" i="19"/>
  <c r="I198" i="19"/>
  <c r="J198" i="19"/>
  <c r="K198" i="19"/>
  <c r="L198" i="19"/>
  <c r="M198" i="19"/>
  <c r="O198" i="19"/>
  <c r="Q198" i="19"/>
  <c r="R198" i="19"/>
  <c r="S198" i="19"/>
  <c r="T198" i="19"/>
  <c r="V198" i="19"/>
  <c r="B201" i="19"/>
  <c r="C201" i="19"/>
  <c r="D201" i="19"/>
  <c r="E201" i="19"/>
  <c r="F201" i="19"/>
  <c r="G201" i="19"/>
  <c r="H201" i="19"/>
  <c r="I201" i="19"/>
  <c r="J201" i="19"/>
  <c r="K201" i="19"/>
  <c r="L201" i="19"/>
  <c r="M201" i="19"/>
  <c r="O201" i="19"/>
  <c r="Q201" i="19"/>
  <c r="R201" i="19"/>
  <c r="S201" i="19"/>
  <c r="T201" i="19"/>
  <c r="V201" i="19"/>
  <c r="B202" i="19"/>
  <c r="C202" i="19"/>
  <c r="D202" i="19"/>
  <c r="E202" i="19"/>
  <c r="F202" i="19"/>
  <c r="G202" i="19"/>
  <c r="H202" i="19"/>
  <c r="I202" i="19"/>
  <c r="J202" i="19"/>
  <c r="K202" i="19"/>
  <c r="L202" i="19"/>
  <c r="M202" i="19"/>
  <c r="O202" i="19"/>
  <c r="Q202" i="19"/>
  <c r="R202" i="19"/>
  <c r="S202" i="19"/>
  <c r="T202" i="19"/>
  <c r="V202" i="19"/>
  <c r="B203" i="19"/>
  <c r="C203" i="19"/>
  <c r="D203" i="19"/>
  <c r="E203" i="19"/>
  <c r="F203" i="19"/>
  <c r="G203" i="19"/>
  <c r="H203" i="19"/>
  <c r="I203" i="19"/>
  <c r="J203" i="19"/>
  <c r="K203" i="19"/>
  <c r="L203" i="19"/>
  <c r="M203" i="19"/>
  <c r="O203" i="19"/>
  <c r="Q203" i="19"/>
  <c r="R203" i="19"/>
  <c r="S203" i="19"/>
  <c r="T203" i="19"/>
  <c r="V203" i="19"/>
  <c r="O204" i="19"/>
  <c r="Q204" i="19"/>
  <c r="R204" i="19"/>
  <c r="S204" i="19"/>
  <c r="T204" i="19"/>
  <c r="V204" i="19"/>
  <c r="B205" i="19"/>
  <c r="C205" i="19"/>
  <c r="D205" i="19"/>
  <c r="E205" i="19"/>
  <c r="F205" i="19"/>
  <c r="G205" i="19"/>
  <c r="H205" i="19"/>
  <c r="I205" i="19"/>
  <c r="J205" i="19"/>
  <c r="K205" i="19"/>
  <c r="L205" i="19"/>
  <c r="M205" i="19"/>
  <c r="O205" i="19"/>
  <c r="Q205" i="19"/>
  <c r="R205" i="19"/>
  <c r="S205" i="19"/>
  <c r="T205" i="19"/>
  <c r="V205" i="19"/>
  <c r="B207" i="19"/>
  <c r="C207" i="19"/>
  <c r="D207" i="19"/>
  <c r="E207" i="19"/>
  <c r="F207" i="19"/>
  <c r="G207" i="19"/>
  <c r="H207" i="19"/>
  <c r="I207" i="19"/>
  <c r="J207" i="19"/>
  <c r="K207" i="19"/>
  <c r="L207" i="19"/>
  <c r="M207" i="19"/>
  <c r="O207" i="19"/>
  <c r="Q207" i="19"/>
  <c r="R207" i="19"/>
  <c r="S207" i="19"/>
  <c r="T207" i="19"/>
  <c r="V207" i="19"/>
  <c r="A1" i="18"/>
  <c r="A2" i="18"/>
  <c r="A4" i="18"/>
  <c r="A5" i="18"/>
  <c r="A6" i="18"/>
  <c r="B9" i="18"/>
  <c r="C9" i="18"/>
  <c r="D9" i="18"/>
  <c r="F9" i="18"/>
  <c r="G9" i="18"/>
  <c r="H9" i="18"/>
  <c r="D11" i="18"/>
  <c r="H11" i="18"/>
  <c r="L11" i="18"/>
  <c r="D15" i="18"/>
  <c r="H15" i="18"/>
  <c r="L15" i="18"/>
  <c r="D16" i="18"/>
  <c r="H16" i="18"/>
  <c r="L16" i="18"/>
  <c r="D17" i="18"/>
  <c r="H17" i="18"/>
  <c r="L17" i="18"/>
  <c r="D18" i="18"/>
  <c r="H18" i="18"/>
  <c r="L18" i="18"/>
  <c r="D19" i="18"/>
  <c r="H19" i="18"/>
  <c r="L19" i="18"/>
  <c r="B20" i="18"/>
  <c r="D20" i="18"/>
  <c r="H20" i="18"/>
  <c r="L20" i="18"/>
  <c r="D21" i="18"/>
  <c r="H21" i="18"/>
  <c r="L21" i="18"/>
  <c r="D22" i="18"/>
  <c r="H22" i="18"/>
  <c r="L22" i="18"/>
  <c r="D23" i="18"/>
  <c r="H23" i="18"/>
  <c r="L23" i="18"/>
  <c r="D24" i="18"/>
  <c r="H24" i="18"/>
  <c r="L24" i="18"/>
  <c r="D25" i="18"/>
  <c r="H25" i="18"/>
  <c r="L25" i="18"/>
  <c r="D26" i="18"/>
  <c r="H26" i="18"/>
  <c r="L26" i="18"/>
  <c r="D27" i="18"/>
  <c r="H27" i="18"/>
  <c r="L27" i="18"/>
  <c r="B28" i="18"/>
  <c r="D28" i="18"/>
  <c r="H28" i="18"/>
  <c r="L28" i="18"/>
  <c r="D29" i="18"/>
  <c r="H29" i="18"/>
  <c r="L29" i="18"/>
  <c r="D30" i="18"/>
  <c r="H30" i="18"/>
  <c r="L30" i="18"/>
  <c r="D31" i="18"/>
  <c r="H31" i="18"/>
  <c r="L31" i="18"/>
  <c r="B32" i="18"/>
  <c r="D32" i="18"/>
  <c r="H32" i="18"/>
  <c r="L32" i="18"/>
  <c r="B33" i="18"/>
  <c r="D33" i="18"/>
  <c r="H33" i="18"/>
  <c r="L33" i="18"/>
  <c r="B34" i="18"/>
  <c r="D34" i="18"/>
  <c r="H34" i="18"/>
  <c r="L34" i="18"/>
  <c r="B35" i="18"/>
  <c r="D35" i="18"/>
  <c r="H35" i="18"/>
  <c r="L35" i="18"/>
  <c r="C36" i="18"/>
  <c r="D36" i="18"/>
  <c r="H36" i="18"/>
  <c r="L36" i="18"/>
  <c r="D37" i="18"/>
  <c r="H37" i="18"/>
  <c r="L37" i="18"/>
  <c r="D38" i="18"/>
  <c r="H38" i="18"/>
  <c r="L38" i="18"/>
  <c r="B39" i="18"/>
  <c r="D39" i="18"/>
  <c r="H39" i="18"/>
  <c r="L39" i="18"/>
  <c r="B40" i="18"/>
  <c r="D40" i="18"/>
  <c r="H40" i="18"/>
  <c r="L40" i="18"/>
  <c r="B41" i="18"/>
  <c r="D41" i="18"/>
  <c r="H41" i="18"/>
  <c r="L41" i="18"/>
  <c r="B43" i="18"/>
  <c r="C43" i="18"/>
  <c r="D43" i="18"/>
  <c r="H43" i="18"/>
  <c r="L43" i="18"/>
  <c r="C45" i="18"/>
  <c r="D45" i="18"/>
  <c r="H45" i="18"/>
  <c r="L45" i="18"/>
  <c r="D47" i="18"/>
  <c r="H47" i="18"/>
  <c r="L47" i="18"/>
  <c r="B49" i="18"/>
  <c r="C49" i="18"/>
  <c r="D49" i="18"/>
  <c r="H49" i="18"/>
  <c r="L49" i="18"/>
  <c r="C52" i="18"/>
  <c r="D52" i="18"/>
  <c r="H52" i="18"/>
  <c r="L52" i="18"/>
  <c r="D53" i="18"/>
  <c r="H53" i="18"/>
  <c r="L53" i="18"/>
  <c r="C54" i="18"/>
  <c r="D54" i="18"/>
  <c r="H54" i="18"/>
  <c r="L54" i="18"/>
  <c r="D55" i="18"/>
  <c r="H55" i="18"/>
  <c r="L55" i="18"/>
  <c r="B56" i="18"/>
  <c r="C56" i="18"/>
  <c r="D56" i="18"/>
  <c r="H56" i="18"/>
  <c r="L56" i="18"/>
  <c r="D57" i="18"/>
  <c r="H57" i="18"/>
  <c r="L57" i="18"/>
  <c r="D58" i="18"/>
  <c r="H58" i="18"/>
  <c r="L58" i="18"/>
  <c r="B59" i="18"/>
  <c r="C59" i="18"/>
  <c r="D59" i="18"/>
  <c r="H59" i="18"/>
  <c r="L59" i="18"/>
  <c r="D62" i="18"/>
  <c r="H62" i="18"/>
  <c r="L62" i="18"/>
  <c r="D63" i="18"/>
  <c r="H63" i="18"/>
  <c r="L63" i="18"/>
  <c r="D64" i="18"/>
  <c r="H64" i="18"/>
  <c r="L64" i="18"/>
  <c r="D65" i="18"/>
  <c r="H65" i="18"/>
  <c r="L65" i="18"/>
  <c r="B66" i="18"/>
  <c r="C66" i="18"/>
  <c r="D66" i="18"/>
  <c r="H66" i="18"/>
  <c r="L66" i="18"/>
  <c r="B68" i="18"/>
  <c r="C68" i="18"/>
  <c r="D68" i="18"/>
  <c r="H68" i="18"/>
  <c r="L68" i="18"/>
  <c r="A1" i="20"/>
  <c r="A5" i="20"/>
  <c r="A6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A71" i="20"/>
  <c r="A72" i="20"/>
  <c r="A74" i="20"/>
  <c r="A75" i="20"/>
  <c r="A76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A141" i="20"/>
  <c r="A142" i="20"/>
  <c r="A144" i="20"/>
  <c r="A145" i="20"/>
  <c r="A146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  <c r="A2" i="12"/>
  <c r="A5" i="12"/>
  <c r="A6" i="12"/>
  <c r="B9" i="12"/>
  <c r="C9" i="12"/>
  <c r="D9" i="12"/>
  <c r="F9" i="12"/>
  <c r="G9" i="12"/>
  <c r="H9" i="12"/>
  <c r="B11" i="12"/>
  <c r="C11" i="12"/>
  <c r="D11" i="12"/>
  <c r="F11" i="12"/>
  <c r="G11" i="12"/>
  <c r="H11" i="12"/>
  <c r="J11" i="12"/>
  <c r="K11" i="12"/>
  <c r="L11" i="12"/>
  <c r="B15" i="12"/>
  <c r="C15" i="12"/>
  <c r="D15" i="12"/>
  <c r="F15" i="12"/>
  <c r="G15" i="12"/>
  <c r="H15" i="12"/>
  <c r="J15" i="12"/>
  <c r="K15" i="12"/>
  <c r="L15" i="12"/>
  <c r="B16" i="12"/>
  <c r="C16" i="12"/>
  <c r="D16" i="12"/>
  <c r="F16" i="12"/>
  <c r="G16" i="12"/>
  <c r="H16" i="12"/>
  <c r="J16" i="12"/>
  <c r="K16" i="12"/>
  <c r="L16" i="12"/>
  <c r="B17" i="12"/>
  <c r="C17" i="12"/>
  <c r="D17" i="12"/>
  <c r="F17" i="12"/>
  <c r="G17" i="12"/>
  <c r="H17" i="12"/>
  <c r="J17" i="12"/>
  <c r="K17" i="12"/>
  <c r="L17" i="12"/>
  <c r="B18" i="12"/>
  <c r="C18" i="12"/>
  <c r="D18" i="12"/>
  <c r="F18" i="12"/>
  <c r="G18" i="12"/>
  <c r="H18" i="12"/>
  <c r="J18" i="12"/>
  <c r="K18" i="12"/>
  <c r="L18" i="12"/>
  <c r="B19" i="12"/>
  <c r="C19" i="12"/>
  <c r="D19" i="12"/>
  <c r="F19" i="12"/>
  <c r="G19" i="12"/>
  <c r="H19" i="12"/>
  <c r="J19" i="12"/>
  <c r="K19" i="12"/>
  <c r="L19" i="12"/>
  <c r="B20" i="12"/>
  <c r="C20" i="12"/>
  <c r="D20" i="12"/>
  <c r="F20" i="12"/>
  <c r="G20" i="12"/>
  <c r="H20" i="12"/>
  <c r="J20" i="12"/>
  <c r="K20" i="12"/>
  <c r="L20" i="12"/>
  <c r="B21" i="12"/>
  <c r="C21" i="12"/>
  <c r="D21" i="12"/>
  <c r="F21" i="12"/>
  <c r="G21" i="12"/>
  <c r="H21" i="12"/>
  <c r="J21" i="12"/>
  <c r="K21" i="12"/>
  <c r="L21" i="12"/>
  <c r="B22" i="12"/>
  <c r="C22" i="12"/>
  <c r="D22" i="12"/>
  <c r="F22" i="12"/>
  <c r="G22" i="12"/>
  <c r="H22" i="12"/>
  <c r="J22" i="12"/>
  <c r="K22" i="12"/>
  <c r="L22" i="12"/>
  <c r="B23" i="12"/>
  <c r="C23" i="12"/>
  <c r="D23" i="12"/>
  <c r="F23" i="12"/>
  <c r="G23" i="12"/>
  <c r="H23" i="12"/>
  <c r="J23" i="12"/>
  <c r="K23" i="12"/>
  <c r="L23" i="12"/>
  <c r="B24" i="12"/>
  <c r="C24" i="12"/>
  <c r="D24" i="12"/>
  <c r="F24" i="12"/>
  <c r="G24" i="12"/>
  <c r="H24" i="12"/>
  <c r="J24" i="12"/>
  <c r="K24" i="12"/>
  <c r="L24" i="12"/>
  <c r="B25" i="12"/>
  <c r="C25" i="12"/>
  <c r="D25" i="12"/>
  <c r="F25" i="12"/>
  <c r="G25" i="12"/>
  <c r="H25" i="12"/>
  <c r="J25" i="12"/>
  <c r="K25" i="12"/>
  <c r="L25" i="12"/>
  <c r="B26" i="12"/>
  <c r="C26" i="12"/>
  <c r="D26" i="12"/>
  <c r="F26" i="12"/>
  <c r="G26" i="12"/>
  <c r="H26" i="12"/>
  <c r="J26" i="12"/>
  <c r="K26" i="12"/>
  <c r="L26" i="12"/>
  <c r="B27" i="12"/>
  <c r="C27" i="12"/>
  <c r="D27" i="12"/>
  <c r="F27" i="12"/>
  <c r="G27" i="12"/>
  <c r="H27" i="12"/>
  <c r="J27" i="12"/>
  <c r="K27" i="12"/>
  <c r="L27" i="12"/>
  <c r="B28" i="12"/>
  <c r="C28" i="12"/>
  <c r="D28" i="12"/>
  <c r="F28" i="12"/>
  <c r="G28" i="12"/>
  <c r="H28" i="12"/>
  <c r="J28" i="12"/>
  <c r="K28" i="12"/>
  <c r="L28" i="12"/>
  <c r="B29" i="12"/>
  <c r="C29" i="12"/>
  <c r="D29" i="12"/>
  <c r="F29" i="12"/>
  <c r="G29" i="12"/>
  <c r="H29" i="12"/>
  <c r="J29" i="12"/>
  <c r="K29" i="12"/>
  <c r="L29" i="12"/>
  <c r="B30" i="12"/>
  <c r="C30" i="12"/>
  <c r="D30" i="12"/>
  <c r="F30" i="12"/>
  <c r="G30" i="12"/>
  <c r="H30" i="12"/>
  <c r="J30" i="12"/>
  <c r="K30" i="12"/>
  <c r="L30" i="12"/>
  <c r="B31" i="12"/>
  <c r="C31" i="12"/>
  <c r="D31" i="12"/>
  <c r="F31" i="12"/>
  <c r="G31" i="12"/>
  <c r="H31" i="12"/>
  <c r="J31" i="12"/>
  <c r="K31" i="12"/>
  <c r="L31" i="12"/>
  <c r="B32" i="12"/>
  <c r="C32" i="12"/>
  <c r="D32" i="12"/>
  <c r="F32" i="12"/>
  <c r="G32" i="12"/>
  <c r="H32" i="12"/>
  <c r="J32" i="12"/>
  <c r="K32" i="12"/>
  <c r="L32" i="12"/>
  <c r="B33" i="12"/>
  <c r="C33" i="12"/>
  <c r="D33" i="12"/>
  <c r="F33" i="12"/>
  <c r="G33" i="12"/>
  <c r="H33" i="12"/>
  <c r="J33" i="12"/>
  <c r="K33" i="12"/>
  <c r="L33" i="12"/>
  <c r="B34" i="12"/>
  <c r="C34" i="12"/>
  <c r="D34" i="12"/>
  <c r="F34" i="12"/>
  <c r="G34" i="12"/>
  <c r="H34" i="12"/>
  <c r="J34" i="12"/>
  <c r="K34" i="12"/>
  <c r="L34" i="12"/>
  <c r="B35" i="12"/>
  <c r="C35" i="12"/>
  <c r="D35" i="12"/>
  <c r="F35" i="12"/>
  <c r="G35" i="12"/>
  <c r="H35" i="12"/>
  <c r="J35" i="12"/>
  <c r="K35" i="12"/>
  <c r="L35" i="12"/>
  <c r="B36" i="12"/>
  <c r="C36" i="12"/>
  <c r="D36" i="12"/>
  <c r="F36" i="12"/>
  <c r="G36" i="12"/>
  <c r="H36" i="12"/>
  <c r="J36" i="12"/>
  <c r="K36" i="12"/>
  <c r="L36" i="12"/>
  <c r="B37" i="12"/>
  <c r="C37" i="12"/>
  <c r="D37" i="12"/>
  <c r="F37" i="12"/>
  <c r="G37" i="12"/>
  <c r="H37" i="12"/>
  <c r="J37" i="12"/>
  <c r="K37" i="12"/>
  <c r="L37" i="12"/>
  <c r="B38" i="12"/>
  <c r="C38" i="12"/>
  <c r="D38" i="12"/>
  <c r="F38" i="12"/>
  <c r="G38" i="12"/>
  <c r="H38" i="12"/>
  <c r="J38" i="12"/>
  <c r="K38" i="12"/>
  <c r="L38" i="12"/>
  <c r="B39" i="12"/>
  <c r="C39" i="12"/>
  <c r="D39" i="12"/>
  <c r="F39" i="12"/>
  <c r="G39" i="12"/>
  <c r="H39" i="12"/>
  <c r="J39" i="12"/>
  <c r="K39" i="12"/>
  <c r="L39" i="12"/>
  <c r="B40" i="12"/>
  <c r="C40" i="12"/>
  <c r="D40" i="12"/>
  <c r="F40" i="12"/>
  <c r="G40" i="12"/>
  <c r="H40" i="12"/>
  <c r="J40" i="12"/>
  <c r="K40" i="12"/>
  <c r="L40" i="12"/>
  <c r="B41" i="12"/>
  <c r="C41" i="12"/>
  <c r="D41" i="12"/>
  <c r="F41" i="12"/>
  <c r="G41" i="12"/>
  <c r="H41" i="12"/>
  <c r="J41" i="12"/>
  <c r="K41" i="12"/>
  <c r="L41" i="12"/>
  <c r="B43" i="12"/>
  <c r="C43" i="12"/>
  <c r="D43" i="12"/>
  <c r="F43" i="12"/>
  <c r="G43" i="12"/>
  <c r="H43" i="12"/>
  <c r="J43" i="12"/>
  <c r="K43" i="12"/>
  <c r="L43" i="12"/>
  <c r="B45" i="12"/>
  <c r="C45" i="12"/>
  <c r="D45" i="12"/>
  <c r="F45" i="12"/>
  <c r="G45" i="12"/>
  <c r="H45" i="12"/>
  <c r="J45" i="12"/>
  <c r="K45" i="12"/>
  <c r="L45" i="12"/>
  <c r="B47" i="12"/>
  <c r="C47" i="12"/>
  <c r="D47" i="12"/>
  <c r="F47" i="12"/>
  <c r="G47" i="12"/>
  <c r="H47" i="12"/>
  <c r="J47" i="12"/>
  <c r="K47" i="12"/>
  <c r="L47" i="12"/>
  <c r="B49" i="12"/>
  <c r="C49" i="12"/>
  <c r="D49" i="12"/>
  <c r="F49" i="12"/>
  <c r="G49" i="12"/>
  <c r="H49" i="12"/>
  <c r="J49" i="12"/>
  <c r="K49" i="12"/>
  <c r="L49" i="12"/>
  <c r="B52" i="12"/>
  <c r="C52" i="12"/>
  <c r="D52" i="12"/>
  <c r="F52" i="12"/>
  <c r="G52" i="12"/>
  <c r="H52" i="12"/>
  <c r="J52" i="12"/>
  <c r="K52" i="12"/>
  <c r="L52" i="12"/>
  <c r="B53" i="12"/>
  <c r="C53" i="12"/>
  <c r="D53" i="12"/>
  <c r="F53" i="12"/>
  <c r="G53" i="12"/>
  <c r="H53" i="12"/>
  <c r="J53" i="12"/>
  <c r="K53" i="12"/>
  <c r="L53" i="12"/>
  <c r="B54" i="12"/>
  <c r="C54" i="12"/>
  <c r="D54" i="12"/>
  <c r="F54" i="12"/>
  <c r="G54" i="12"/>
  <c r="H54" i="12"/>
  <c r="J54" i="12"/>
  <c r="K54" i="12"/>
  <c r="L54" i="12"/>
  <c r="B55" i="12"/>
  <c r="C55" i="12"/>
  <c r="D55" i="12"/>
  <c r="F55" i="12"/>
  <c r="G55" i="12"/>
  <c r="H55" i="12"/>
  <c r="J55" i="12"/>
  <c r="K55" i="12"/>
  <c r="L55" i="12"/>
  <c r="B56" i="12"/>
  <c r="C56" i="12"/>
  <c r="D56" i="12"/>
  <c r="F56" i="12"/>
  <c r="G56" i="12"/>
  <c r="H56" i="12"/>
  <c r="J56" i="12"/>
  <c r="K56" i="12"/>
  <c r="L56" i="12"/>
  <c r="B57" i="12"/>
  <c r="C57" i="12"/>
  <c r="D57" i="12"/>
  <c r="F57" i="12"/>
  <c r="G57" i="12"/>
  <c r="H57" i="12"/>
  <c r="J57" i="12"/>
  <c r="K57" i="12"/>
  <c r="L57" i="12"/>
  <c r="B58" i="12"/>
  <c r="C58" i="12"/>
  <c r="D58" i="12"/>
  <c r="F58" i="12"/>
  <c r="G58" i="12"/>
  <c r="H58" i="12"/>
  <c r="B59" i="12"/>
  <c r="C59" i="12"/>
  <c r="D59" i="12"/>
  <c r="F59" i="12"/>
  <c r="G59" i="12"/>
  <c r="H59" i="12"/>
  <c r="J59" i="12"/>
  <c r="K59" i="12"/>
  <c r="L59" i="12"/>
  <c r="B62" i="12"/>
  <c r="C62" i="12"/>
  <c r="D62" i="12"/>
  <c r="F62" i="12"/>
  <c r="G62" i="12"/>
  <c r="H62" i="12"/>
  <c r="J62" i="12"/>
  <c r="K62" i="12"/>
  <c r="L62" i="12"/>
  <c r="B63" i="12"/>
  <c r="C63" i="12"/>
  <c r="D63" i="12"/>
  <c r="F63" i="12"/>
  <c r="G63" i="12"/>
  <c r="H63" i="12"/>
  <c r="J63" i="12"/>
  <c r="K63" i="12"/>
  <c r="L63" i="12"/>
  <c r="B64" i="12"/>
  <c r="C64" i="12"/>
  <c r="D64" i="12"/>
  <c r="F64" i="12"/>
  <c r="G64" i="12"/>
  <c r="H64" i="12"/>
  <c r="J64" i="12"/>
  <c r="K64" i="12"/>
  <c r="L64" i="12"/>
  <c r="B65" i="12"/>
  <c r="C65" i="12"/>
  <c r="D65" i="12"/>
  <c r="F65" i="12"/>
  <c r="G65" i="12"/>
  <c r="H65" i="12"/>
  <c r="J65" i="12"/>
  <c r="K65" i="12"/>
  <c r="L65" i="12"/>
  <c r="B66" i="12"/>
  <c r="C66" i="12"/>
  <c r="D66" i="12"/>
  <c r="F66" i="12"/>
  <c r="G66" i="12"/>
  <c r="H66" i="12"/>
  <c r="J66" i="12"/>
  <c r="K66" i="12"/>
  <c r="L66" i="12"/>
  <c r="B68" i="12"/>
  <c r="C68" i="12"/>
  <c r="D68" i="12"/>
  <c r="F68" i="12"/>
  <c r="G68" i="12"/>
  <c r="H68" i="12"/>
  <c r="J68" i="12"/>
  <c r="K68" i="12"/>
  <c r="L68" i="12"/>
  <c r="B70" i="12"/>
  <c r="F70" i="12"/>
  <c r="B72" i="12"/>
  <c r="F72" i="12"/>
  <c r="A4" i="1"/>
  <c r="A5" i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C19" i="1"/>
  <c r="D19" i="1"/>
  <c r="E19" i="1"/>
  <c r="F19" i="1"/>
  <c r="G19" i="1"/>
  <c r="H19" i="1"/>
  <c r="I19" i="1"/>
  <c r="J19" i="1"/>
  <c r="K19" i="1"/>
  <c r="L19" i="1"/>
  <c r="M19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F22" i="1"/>
  <c r="G22" i="1"/>
  <c r="H22" i="1"/>
  <c r="I22" i="1"/>
  <c r="J22" i="1"/>
  <c r="K22" i="1"/>
  <c r="L22" i="1"/>
  <c r="M22" i="1"/>
  <c r="O22" i="1"/>
  <c r="Q22" i="1"/>
  <c r="R22" i="1"/>
  <c r="S22" i="1"/>
  <c r="T22" i="1"/>
  <c r="V22" i="1"/>
  <c r="F23" i="1"/>
  <c r="G23" i="1"/>
  <c r="H23" i="1"/>
  <c r="I23" i="1"/>
  <c r="J23" i="1"/>
  <c r="K23" i="1"/>
  <c r="L23" i="1"/>
  <c r="M23" i="1"/>
  <c r="O23" i="1"/>
  <c r="Q23" i="1"/>
  <c r="R23" i="1"/>
  <c r="S23" i="1"/>
  <c r="T23" i="1"/>
  <c r="V23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O26" i="1"/>
  <c r="Q26" i="1"/>
  <c r="R26" i="1"/>
  <c r="S26" i="1"/>
  <c r="T26" i="1"/>
  <c r="V26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V27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O29" i="1"/>
  <c r="Q29" i="1"/>
  <c r="R29" i="1"/>
  <c r="S29" i="1"/>
  <c r="T29" i="1"/>
  <c r="V29" i="1"/>
  <c r="F30" i="1"/>
  <c r="G30" i="1"/>
  <c r="H30" i="1"/>
  <c r="I30" i="1"/>
  <c r="J30" i="1"/>
  <c r="K30" i="1"/>
  <c r="L30" i="1"/>
  <c r="M30" i="1"/>
  <c r="O30" i="1"/>
  <c r="Q30" i="1"/>
  <c r="R30" i="1"/>
  <c r="S30" i="1"/>
  <c r="T30" i="1"/>
  <c r="V30" i="1"/>
  <c r="F31" i="1"/>
  <c r="G31" i="1"/>
  <c r="H31" i="1"/>
  <c r="I31" i="1"/>
  <c r="J31" i="1"/>
  <c r="K31" i="1"/>
  <c r="L31" i="1"/>
  <c r="M31" i="1"/>
  <c r="O31" i="1"/>
  <c r="Q31" i="1"/>
  <c r="R31" i="1"/>
  <c r="S31" i="1"/>
  <c r="T31" i="1"/>
  <c r="V31" i="1"/>
  <c r="B32" i="1"/>
  <c r="C32" i="1"/>
  <c r="D32" i="1"/>
  <c r="F32" i="1"/>
  <c r="G32" i="1"/>
  <c r="H32" i="1"/>
  <c r="I32" i="1"/>
  <c r="J32" i="1"/>
  <c r="K32" i="1"/>
  <c r="L32" i="1"/>
  <c r="M32" i="1"/>
  <c r="O32" i="1"/>
  <c r="Q32" i="1"/>
  <c r="R32" i="1"/>
  <c r="S32" i="1"/>
  <c r="T32" i="1"/>
  <c r="V32" i="1"/>
  <c r="D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O36" i="1"/>
  <c r="Q36" i="1"/>
  <c r="R36" i="1"/>
  <c r="S36" i="1"/>
  <c r="T36" i="1"/>
  <c r="V36" i="1"/>
  <c r="D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D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C40" i="1"/>
  <c r="E40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4" i="1"/>
  <c r="Q44" i="1"/>
  <c r="R44" i="1"/>
  <c r="S44" i="1"/>
  <c r="T44" i="1"/>
  <c r="V44" i="1"/>
  <c r="O46" i="1"/>
  <c r="Q46" i="1"/>
  <c r="R46" i="1"/>
  <c r="S46" i="1"/>
  <c r="T46" i="1"/>
  <c r="V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Q48" i="1"/>
  <c r="R48" i="1"/>
  <c r="S48" i="1"/>
  <c r="T48" i="1"/>
  <c r="V48" i="1"/>
  <c r="O51" i="1"/>
  <c r="Q51" i="1"/>
  <c r="R51" i="1"/>
  <c r="S51" i="1"/>
  <c r="T51" i="1"/>
  <c r="V51" i="1"/>
  <c r="O52" i="1"/>
  <c r="Q52" i="1"/>
  <c r="R52" i="1"/>
  <c r="S52" i="1"/>
  <c r="T52" i="1"/>
  <c r="V52" i="1"/>
  <c r="F53" i="1"/>
  <c r="G53" i="1"/>
  <c r="H53" i="1"/>
  <c r="I53" i="1"/>
  <c r="J53" i="1"/>
  <c r="K53" i="1"/>
  <c r="L53" i="1"/>
  <c r="M53" i="1"/>
  <c r="O53" i="1"/>
  <c r="Q53" i="1"/>
  <c r="R53" i="1"/>
  <c r="S53" i="1"/>
  <c r="T53" i="1"/>
  <c r="V53" i="1"/>
  <c r="F54" i="1"/>
  <c r="G54" i="1"/>
  <c r="H54" i="1"/>
  <c r="I54" i="1"/>
  <c r="J54" i="1"/>
  <c r="K54" i="1"/>
  <c r="L54" i="1"/>
  <c r="M54" i="1"/>
  <c r="O54" i="1"/>
  <c r="Q54" i="1"/>
  <c r="R54" i="1"/>
  <c r="S54" i="1"/>
  <c r="T54" i="1"/>
  <c r="V54" i="1"/>
  <c r="F55" i="1"/>
  <c r="G55" i="1"/>
  <c r="H55" i="1"/>
  <c r="I55" i="1"/>
  <c r="J55" i="1"/>
  <c r="K55" i="1"/>
  <c r="L55" i="1"/>
  <c r="M55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B62" i="1"/>
  <c r="F62" i="1"/>
  <c r="G62" i="1"/>
  <c r="H62" i="1"/>
  <c r="I62" i="1"/>
  <c r="J62" i="1"/>
  <c r="K62" i="1"/>
  <c r="L62" i="1"/>
  <c r="M62" i="1"/>
  <c r="O62" i="1"/>
  <c r="Q62" i="1"/>
  <c r="R62" i="1"/>
  <c r="S62" i="1"/>
  <c r="T62" i="1"/>
  <c r="V62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B68" i="1"/>
  <c r="C68" i="1"/>
  <c r="D68" i="1"/>
  <c r="B69" i="1"/>
  <c r="C69" i="1"/>
  <c r="D69" i="1"/>
  <c r="E69" i="1"/>
  <c r="A71" i="1"/>
  <c r="A72" i="1"/>
  <c r="A74" i="1"/>
  <c r="A75" i="1"/>
  <c r="A76" i="1"/>
  <c r="O80" i="1"/>
  <c r="Q80" i="1"/>
  <c r="R80" i="1"/>
  <c r="S80" i="1"/>
  <c r="T80" i="1"/>
  <c r="V80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B102" i="1"/>
  <c r="M102" i="1"/>
  <c r="O102" i="1"/>
  <c r="Q102" i="1"/>
  <c r="R102" i="1"/>
  <c r="S102" i="1"/>
  <c r="T102" i="1"/>
  <c r="V102" i="1"/>
  <c r="M103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O114" i="1"/>
  <c r="Q114" i="1"/>
  <c r="R114" i="1"/>
  <c r="S114" i="1"/>
  <c r="T114" i="1"/>
  <c r="V114" i="1"/>
  <c r="O116" i="1"/>
  <c r="Q116" i="1"/>
  <c r="R116" i="1"/>
  <c r="S116" i="1"/>
  <c r="T116" i="1"/>
  <c r="V116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Q118" i="1"/>
  <c r="R118" i="1"/>
  <c r="S118" i="1"/>
  <c r="T118" i="1"/>
  <c r="V118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6" i="1"/>
  <c r="Q126" i="1"/>
  <c r="R126" i="1"/>
  <c r="S126" i="1"/>
  <c r="T126" i="1"/>
  <c r="V126" i="1"/>
  <c r="O127" i="1"/>
  <c r="Q127" i="1"/>
  <c r="R127" i="1"/>
  <c r="S127" i="1"/>
  <c r="T127" i="1"/>
  <c r="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O134" i="1"/>
  <c r="Q134" i="1"/>
  <c r="R134" i="1"/>
  <c r="S134" i="1"/>
  <c r="T134" i="1"/>
  <c r="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41" i="1"/>
  <c r="A142" i="1"/>
  <c r="A144" i="1"/>
  <c r="A145" i="1"/>
  <c r="A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O204" i="1"/>
  <c r="Q204" i="1"/>
  <c r="R204" i="1"/>
  <c r="S204" i="1"/>
  <c r="T204" i="1"/>
  <c r="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O205" i="1"/>
  <c r="Q205" i="1"/>
  <c r="R205" i="1"/>
  <c r="S205" i="1"/>
  <c r="T205" i="1"/>
  <c r="V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O207" i="1"/>
  <c r="Q207" i="1"/>
  <c r="R207" i="1"/>
  <c r="S207" i="1"/>
  <c r="T207" i="1"/>
  <c r="V207" i="1"/>
  <c r="A1" i="5"/>
  <c r="A2" i="5"/>
  <c r="A4" i="5"/>
  <c r="A5" i="5"/>
  <c r="A6" i="5"/>
  <c r="B9" i="5"/>
  <c r="C9" i="5"/>
  <c r="D9" i="5"/>
  <c r="F9" i="5"/>
  <c r="G9" i="5"/>
  <c r="H9" i="5"/>
  <c r="D11" i="5"/>
  <c r="H11" i="5"/>
  <c r="L11" i="5"/>
  <c r="D15" i="5"/>
  <c r="H15" i="5"/>
  <c r="L15" i="5"/>
  <c r="D16" i="5"/>
  <c r="H16" i="5"/>
  <c r="L16" i="5"/>
  <c r="H17" i="5"/>
  <c r="L17" i="5"/>
  <c r="H18" i="5"/>
  <c r="L18" i="5"/>
  <c r="H19" i="5"/>
  <c r="L19" i="5"/>
  <c r="B20" i="5"/>
  <c r="H20" i="5"/>
  <c r="L20" i="5"/>
  <c r="H21" i="5"/>
  <c r="L21" i="5"/>
  <c r="H22" i="5"/>
  <c r="L22" i="5"/>
  <c r="H23" i="5"/>
  <c r="L23" i="5"/>
  <c r="H24" i="5"/>
  <c r="L24" i="5"/>
  <c r="H25" i="5"/>
  <c r="L25" i="5"/>
  <c r="D26" i="5"/>
  <c r="H26" i="5"/>
  <c r="L26" i="5"/>
  <c r="H27" i="5"/>
  <c r="L27" i="5"/>
  <c r="H28" i="5"/>
  <c r="L28" i="5"/>
  <c r="H29" i="5"/>
  <c r="L29" i="5"/>
  <c r="D30" i="5"/>
  <c r="H30" i="5"/>
  <c r="L30" i="5"/>
  <c r="D31" i="5"/>
  <c r="H31" i="5"/>
  <c r="L31" i="5"/>
  <c r="D32" i="5"/>
  <c r="H32" i="5"/>
  <c r="L32" i="5"/>
  <c r="B33" i="5"/>
  <c r="D33" i="5"/>
  <c r="H33" i="5"/>
  <c r="L33" i="5"/>
  <c r="B34" i="5"/>
  <c r="D34" i="5"/>
  <c r="H34" i="5"/>
  <c r="L34" i="5"/>
  <c r="D35" i="5"/>
  <c r="H35" i="5"/>
  <c r="L35" i="5"/>
  <c r="C36" i="5"/>
  <c r="D36" i="5"/>
  <c r="H36" i="5"/>
  <c r="L36" i="5"/>
  <c r="D37" i="5"/>
  <c r="H37" i="5"/>
  <c r="L37" i="5"/>
  <c r="B38" i="5"/>
  <c r="D38" i="5"/>
  <c r="H38" i="5"/>
  <c r="L38" i="5"/>
  <c r="B39" i="5"/>
  <c r="D39" i="5"/>
  <c r="H39" i="5"/>
  <c r="L39" i="5"/>
  <c r="B40" i="5"/>
  <c r="D40" i="5"/>
  <c r="H40" i="5"/>
  <c r="L40" i="5"/>
  <c r="D41" i="5"/>
  <c r="H41" i="5"/>
  <c r="L41" i="5"/>
  <c r="B43" i="5"/>
  <c r="C43" i="5"/>
  <c r="D43" i="5"/>
  <c r="H43" i="5"/>
  <c r="L43" i="5"/>
  <c r="C45" i="5"/>
  <c r="D45" i="5"/>
  <c r="H45" i="5"/>
  <c r="L45" i="5"/>
  <c r="D47" i="5"/>
  <c r="H47" i="5"/>
  <c r="L47" i="5"/>
  <c r="B49" i="5"/>
  <c r="C49" i="5"/>
  <c r="D49" i="5"/>
  <c r="H49" i="5"/>
  <c r="L49" i="5"/>
  <c r="C52" i="5"/>
  <c r="D52" i="5"/>
  <c r="H52" i="5"/>
  <c r="L52" i="5"/>
  <c r="D53" i="5"/>
  <c r="H53" i="5"/>
  <c r="L53" i="5"/>
  <c r="C54" i="5"/>
  <c r="D54" i="5"/>
  <c r="H54" i="5"/>
  <c r="L54" i="5"/>
  <c r="D55" i="5"/>
  <c r="H55" i="5"/>
  <c r="L55" i="5"/>
  <c r="C56" i="5"/>
  <c r="D56" i="5"/>
  <c r="H56" i="5"/>
  <c r="L56" i="5"/>
  <c r="D57" i="5"/>
  <c r="H57" i="5"/>
  <c r="L57" i="5"/>
  <c r="D58" i="5"/>
  <c r="H58" i="5"/>
  <c r="L58" i="5"/>
  <c r="B59" i="5"/>
  <c r="C59" i="5"/>
  <c r="D59" i="5"/>
  <c r="H59" i="5"/>
  <c r="L59" i="5"/>
  <c r="D62" i="5"/>
  <c r="H62" i="5"/>
  <c r="L62" i="5"/>
  <c r="D63" i="5"/>
  <c r="H63" i="5"/>
  <c r="L63" i="5"/>
  <c r="D64" i="5"/>
  <c r="H64" i="5"/>
  <c r="L64" i="5"/>
  <c r="D65" i="5"/>
  <c r="H65" i="5"/>
  <c r="L65" i="5"/>
  <c r="B66" i="5"/>
  <c r="C66" i="5"/>
  <c r="D66" i="5"/>
  <c r="H66" i="5"/>
  <c r="L66" i="5"/>
  <c r="B68" i="5"/>
  <c r="C68" i="5"/>
  <c r="D68" i="5"/>
  <c r="H68" i="5"/>
  <c r="L68" i="5"/>
  <c r="A1" i="14"/>
  <c r="A5" i="14"/>
  <c r="A6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A71" i="14"/>
  <c r="A72" i="14"/>
  <c r="A74" i="14"/>
  <c r="A75" i="14"/>
  <c r="A76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A141" i="14"/>
  <c r="A142" i="14"/>
  <c r="A144" i="14"/>
  <c r="A145" i="14"/>
  <c r="A146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A1" i="13"/>
  <c r="A2" i="13"/>
  <c r="A4" i="13"/>
  <c r="A5" i="13"/>
  <c r="A6" i="13"/>
  <c r="C8" i="13"/>
  <c r="C15" i="13"/>
  <c r="C17" i="13"/>
  <c r="C20" i="13"/>
  <c r="C28" i="13"/>
  <c r="C30" i="13"/>
  <c r="C33" i="13"/>
  <c r="C35" i="13"/>
  <c r="C37" i="13"/>
  <c r="C39" i="13"/>
  <c r="C41" i="13"/>
  <c r="C43" i="13"/>
</calcChain>
</file>

<file path=xl/sharedStrings.xml><?xml version="1.0" encoding="utf-8"?>
<sst xmlns="http://schemas.openxmlformats.org/spreadsheetml/2006/main" count="1552" uniqueCount="128">
  <si>
    <t>Insurance</t>
  </si>
  <si>
    <t>Property Taxes</t>
  </si>
  <si>
    <t>Utilities</t>
  </si>
  <si>
    <t>Interconnection Fees</t>
  </si>
  <si>
    <t>Gas Pipeline Metering Cost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</si>
  <si>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</si>
  <si>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</si>
  <si>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</si>
  <si>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</si>
  <si>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</si>
  <si>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</si>
  <si>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</si>
  <si>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</si>
  <si>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</si>
  <si>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</si>
  <si>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</si>
  <si>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</si>
  <si>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</si>
  <si>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</si>
  <si>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</si>
  <si>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</si>
  <si>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</si>
  <si>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</si>
  <si>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</si>
  <si>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</si>
  <si>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</si>
  <si>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</si>
  <si>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</si>
  <si>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</si>
  <si>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O&amp;M Management Fee</t>
  </si>
  <si>
    <t>Major Maintenance Accrual</t>
  </si>
  <si>
    <t>Current Month</t>
  </si>
  <si>
    <t>Year-to-Date</t>
  </si>
  <si>
    <t>Explanations</t>
  </si>
  <si>
    <t>Summary</t>
  </si>
  <si>
    <t>Total Year CE</t>
  </si>
  <si>
    <t>Current Month - Budget</t>
  </si>
  <si>
    <t>Variance Summary</t>
  </si>
  <si>
    <t>Current Month - Actual</t>
  </si>
  <si>
    <t>Other</t>
  </si>
  <si>
    <t>YTD - Actual</t>
  </si>
  <si>
    <t>YTD - Budget</t>
  </si>
  <si>
    <t>Total Year - CE</t>
  </si>
  <si>
    <t>Total Year - Budget</t>
  </si>
  <si>
    <t>Reimbursable Labor</t>
  </si>
  <si>
    <t>Demineralized Water System</t>
  </si>
  <si>
    <t>Distributed Control System</t>
  </si>
  <si>
    <t>Tools &amp; Equipment</t>
  </si>
  <si>
    <t>Gas T/G System</t>
  </si>
  <si>
    <t>O&amp;M Expenses</t>
  </si>
  <si>
    <t>YTD CE</t>
  </si>
  <si>
    <t>Actuals / Current Estimate (YTD)</t>
  </si>
  <si>
    <t>YTD Budget</t>
  </si>
  <si>
    <t>YTD Variance</t>
  </si>
  <si>
    <t>Variance (YTD)</t>
  </si>
  <si>
    <t>Budget (YTD)</t>
  </si>
  <si>
    <t>Actuals / Current Estimate (Monthly)</t>
  </si>
  <si>
    <t>Budget (Monthly)</t>
  </si>
  <si>
    <t>Variance (Monthly)</t>
  </si>
  <si>
    <t>GENCO - Consolidated (1999 Peaker LLCs only)</t>
  </si>
  <si>
    <t>GENCO - Brownsville LLC</t>
  </si>
  <si>
    <t>GENCO - Caledonia LLC</t>
  </si>
  <si>
    <t>GENCO - New Albany LLC</t>
  </si>
  <si>
    <t>Fuel Handling Sstem (Gas)</t>
  </si>
  <si>
    <t>Feedwater System</t>
  </si>
  <si>
    <t>Fire Protection System</t>
  </si>
  <si>
    <t>Wastewater System</t>
  </si>
  <si>
    <t>Recirculating Water System</t>
  </si>
  <si>
    <t>Electrical Distribution System</t>
  </si>
  <si>
    <t>Building Utilities &amp; HVAC System</t>
  </si>
  <si>
    <t>Plant Consumable Supplies</t>
  </si>
  <si>
    <t>Plant G&amp;A</t>
  </si>
  <si>
    <t>Instrument/Service Air</t>
  </si>
  <si>
    <t>YTD Actuals</t>
  </si>
  <si>
    <t>HRSG System</t>
  </si>
  <si>
    <t>Included the tax accrual for only 6 months in the Budget instead of a full year</t>
  </si>
  <si>
    <t>Higher actual insurance expense for 2000 than Budgeted</t>
  </si>
  <si>
    <t xml:space="preserve">    of the assumed 12 months in the Plan</t>
  </si>
  <si>
    <t xml:space="preserve">Fee for the 99 Operating Period (6/99-4/00) was spread over 11 months instead </t>
  </si>
  <si>
    <t>Flash</t>
  </si>
  <si>
    <t>DPR</t>
  </si>
  <si>
    <t>Total O&amp;M Per G/L</t>
  </si>
  <si>
    <t>Total O&amp;M Per DPR</t>
  </si>
  <si>
    <t>Higher actual insurance than Budgeted</t>
  </si>
  <si>
    <t>Budget only included property taxes for the second half of 2000</t>
  </si>
  <si>
    <t>Capital Charge</t>
  </si>
  <si>
    <t>Higher Capital Costs than assumed in the budget</t>
  </si>
  <si>
    <t>Aux Fuel System (Liquid Fuel)</t>
  </si>
  <si>
    <t>Aux Boiler System</t>
  </si>
  <si>
    <t>Steam T/G System</t>
  </si>
  <si>
    <t>Condensate System</t>
  </si>
  <si>
    <t>Air Pollution Control System</t>
  </si>
  <si>
    <t>Combustion Air System</t>
  </si>
  <si>
    <t>Chemical Feed System</t>
  </si>
  <si>
    <t>Steam Distribution System</t>
  </si>
  <si>
    <t>Potable Water</t>
  </si>
  <si>
    <t>Other Non-Scope Costs</t>
  </si>
  <si>
    <t>2000</t>
  </si>
  <si>
    <t>Assumptions changed from $50K/month per plant to $83K/month per plant</t>
  </si>
  <si>
    <t>$181,835 - 1999 budgeted expenses that were paid and expensed in 2000</t>
  </si>
  <si>
    <t>Valve Repair $19K, Yarway Traps Maint $26K</t>
  </si>
  <si>
    <t>$91,660 - 1999 budgeted expenses that were paid and expensed in 2000</t>
  </si>
  <si>
    <t>$34,235 - 1999 budgeted expenses that were paid and expensed in 2000</t>
  </si>
  <si>
    <t>GLC Procedures $12.2K, Plant Site Clean-up $13.4K, Valves $5.2K</t>
  </si>
  <si>
    <t>$307,730 - 1999 budgeted expenses that were paid and expensed in 2000</t>
  </si>
  <si>
    <t>Reliance &amp; Southern Marine Refund</t>
  </si>
  <si>
    <t>GLC Procedures $12K</t>
  </si>
  <si>
    <t>Valve Repair $26K, Yarway Traps Maint $26K, GLC Procedures $25K</t>
  </si>
  <si>
    <t>Feb Electric $85K, March Electric $80K</t>
  </si>
  <si>
    <t>Purchase of CEMS protocol gases</t>
  </si>
  <si>
    <t>1/2" impact drive socket set</t>
  </si>
  <si>
    <t>Insulation of combustion turbine instrumentation and enclosure thermostats</t>
  </si>
  <si>
    <t>Winterization of facility's once through steam generator</t>
  </si>
  <si>
    <t>Overtime not budgeted for 1st quarter</t>
  </si>
  <si>
    <t>Contract Labor for winter operations over budget by $116K</t>
  </si>
  <si>
    <t xml:space="preserve">Fisher regulator </t>
  </si>
  <si>
    <t>CEMS Calibration gases</t>
  </si>
  <si>
    <t xml:space="preserve"> Contractor labor for winter months $127K, Maintimizer Software $7K, Office Furniture $5K</t>
  </si>
  <si>
    <t>Feb Electric $87K, March Electric $96K</t>
  </si>
  <si>
    <t>Stack testing for comparison of Nox levels with CEMS system</t>
  </si>
  <si>
    <t>Central purchasing trailer</t>
  </si>
  <si>
    <t>Calibration gases for CEMS system</t>
  </si>
  <si>
    <t>Safety cabinets, 2-way radios, company trucks</t>
  </si>
  <si>
    <t>Natural gas analysis, management and admin support</t>
  </si>
  <si>
    <t>Feb Electric $195K, March Electric $176K</t>
  </si>
  <si>
    <t>Feb Electric $23K, March Electric $25K</t>
  </si>
  <si>
    <t>Contract labor for winter operations</t>
  </si>
  <si>
    <t>Assumptions changed from $50K/month per 99 plant to $83K/month per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</si>
</sst>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68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3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1" fillId="0" borderId="0" xfId="1" applyNumberFormat="1"/>
    <xf numFmtId="165" fontId="1" fillId="0" borderId="3" xfId="1" applyNumberFormat="1" applyBorder="1"/>
    <xf numFmtId="165" fontId="1" fillId="0" borderId="1" xfId="1" applyNumberFormat="1" applyBorder="1"/>
    <xf numFmtId="165" fontId="1" fillId="0" borderId="0" xfId="1" applyNumberFormat="1" applyBorder="1"/>
    <xf numFmtId="165" fontId="1" fillId="0" borderId="2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17" fontId="4" fillId="0" borderId="0" xfId="1" applyNumberFormat="1" applyFont="1" applyFill="1" applyAlignment="1">
      <alignment horizontal="center"/>
    </xf>
    <xf numFmtId="165" fontId="1" fillId="0" borderId="0" xfId="1" applyNumberFormat="1" applyFont="1" applyFill="1"/>
    <xf numFmtId="14" fontId="3" fillId="0" borderId="0" xfId="0" applyNumberFormat="1" applyFon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  <xf numFmtId="165" fontId="1" fillId="0" borderId="1" xfId="1" applyNumberFormat="1" applyFont="1" applyBorder="1"/>
    <xf numFmtId="0" fontId="9" fillId="0" borderId="0" xfId="0" applyFont="1"/>
    <xf numFmtId="17" fontId="4" fillId="0" borderId="0" xfId="1" quotePrefix="1" applyNumberFormat="1" applyFont="1" applyAlignment="1">
      <alignment horizontal="center"/>
    </xf>
    <xf numFmtId="0" fontId="9" fillId="0" borderId="0" xfId="0" applyFont="1" applyAlignment="1">
      <alignment horizontal="right"/>
    </xf>
    <xf numFmtId="165" fontId="9" fillId="0" borderId="0" xfId="1" applyNumberFormat="1" applyFont="1" applyBorder="1"/>
    <xf numFmtId="165" fontId="9" fillId="0" borderId="0" xfId="1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31C620C-62E2-5AE7-98B8-36C73CD1211C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6BEFC6EE-0838-0955-CE37-32F34CC01007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E681D9C8-94F9-0A5E-6DF6-B67B1DD67AA2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47625</xdr:rowOff>
    </xdr:from>
    <xdr:to>
      <xdr:col>6</xdr:col>
      <xdr:colOff>619125</xdr:colOff>
      <xdr:row>74</xdr:row>
      <xdr:rowOff>104775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9C944202-4F53-415A-FDC6-5C166782F0C4}"/>
            </a:ext>
          </a:extLst>
        </xdr:cNvPr>
        <xdr:cNvSpPr txBox="1">
          <a:spLocks noChangeArrowheads="1"/>
        </xdr:cNvSpPr>
      </xdr:nvSpPr>
      <xdr:spPr bwMode="auto">
        <a:xfrm>
          <a:off x="51435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YTD tab for these two columns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9438B6A-2679-0D76-2540-FA1F4437A581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70811F8C-149A-0DF0-56C2-DA6F38953230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A4B14DE3-3F34-900E-8807-0CAA7AAD454A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47625</xdr:rowOff>
    </xdr:from>
    <xdr:to>
      <xdr:col>6</xdr:col>
      <xdr:colOff>619125</xdr:colOff>
      <xdr:row>74</xdr:row>
      <xdr:rowOff>104775</xdr:rowOff>
    </xdr:to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A8B47274-9D23-B1F9-8B9F-7A180FF1583C}"/>
            </a:ext>
          </a:extLst>
        </xdr:cNvPr>
        <xdr:cNvSpPr txBox="1">
          <a:spLocks noChangeArrowheads="1"/>
        </xdr:cNvSpPr>
      </xdr:nvSpPr>
      <xdr:spPr bwMode="auto">
        <a:xfrm>
          <a:off x="51435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YTD tab for these two columns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D88A5189-5787-FE71-EA11-758289136EEF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CC425E1-E0CE-985A-8B37-39C681C227D3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E5DA131D-7319-F69C-3D18-0CC52BCE98F9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47625</xdr:rowOff>
    </xdr:from>
    <xdr:to>
      <xdr:col>6</xdr:col>
      <xdr:colOff>619125</xdr:colOff>
      <xdr:row>74</xdr:row>
      <xdr:rowOff>104775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A7F388-F8E2-F135-0A27-07869C77AE9D}"/>
            </a:ext>
          </a:extLst>
        </xdr:cNvPr>
        <xdr:cNvSpPr txBox="1">
          <a:spLocks noChangeArrowheads="1"/>
        </xdr:cNvSpPr>
      </xdr:nvSpPr>
      <xdr:spPr bwMode="auto">
        <a:xfrm>
          <a:off x="51435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YTD tab for these two columns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GENCO/Flash/0500Genco%20Flash%20to%20EP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99 Peakers"/>
      <sheetName val="2000 Peakers"/>
      <sheetName val="Reconciliation"/>
    </sheetNames>
    <sheetDataSet>
      <sheetData sheetId="0"/>
      <sheetData sheetId="1">
        <row r="16">
          <cell r="C16">
            <v>537036.03054288402</v>
          </cell>
          <cell r="J16">
            <v>641471.80024473742</v>
          </cell>
          <cell r="Q16">
            <v>621431.36032616696</v>
          </cell>
        </row>
        <row r="17">
          <cell r="C17">
            <v>539939.99959721358</v>
          </cell>
          <cell r="J17">
            <v>645393.35930161877</v>
          </cell>
          <cell r="Q17">
            <v>625569.68658348941</v>
          </cell>
        </row>
        <row r="18">
          <cell r="C18">
            <v>515182.08369225392</v>
          </cell>
          <cell r="J18">
            <v>622556.26305339136</v>
          </cell>
          <cell r="Q18">
            <v>608716.51648303866</v>
          </cell>
        </row>
        <row r="19">
          <cell r="C19">
            <v>429010.10449280927</v>
          </cell>
          <cell r="J19">
            <v>539853.20211715274</v>
          </cell>
          <cell r="Q19">
            <v>543704.8617112108</v>
          </cell>
        </row>
        <row r="20">
          <cell r="C20">
            <v>332513.83957270085</v>
          </cell>
          <cell r="J20">
            <v>447086.96543417627</v>
          </cell>
          <cell r="Q20">
            <v>470634.8229760353</v>
          </cell>
        </row>
        <row r="21">
          <cell r="C21">
            <v>330961.92488427524</v>
          </cell>
          <cell r="J21">
            <v>446737.63538583356</v>
          </cell>
          <cell r="Q21">
            <v>471738.23403104459</v>
          </cell>
        </row>
        <row r="22">
          <cell r="C22">
            <v>334025.96940795402</v>
          </cell>
          <cell r="J22">
            <v>450695.52313306247</v>
          </cell>
          <cell r="Q22">
            <v>475855.93022926815</v>
          </cell>
        </row>
        <row r="23">
          <cell r="C23">
            <v>337070.44375613588</v>
          </cell>
          <cell r="J23">
            <v>454611.45277225535</v>
          </cell>
          <cell r="Q23">
            <v>454611.45277225535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7"/>
  <sheetViews>
    <sheetView zoomScale="75" zoomScaleNormal="100" workbookViewId="0">
      <pane xSplit="1" ySplit="6" topLeftCell="B7" activePane="bottomRight" state="frozen"/>
      <selection activeCell="B7" sqref="B7:D7"/>
      <selection pane="topRight" activeCell="B7" sqref="B7:D7"/>
      <selection pane="bottomLeft" activeCell="B7" sqref="B7:D7"/>
      <selection pane="bottomRight" activeCell="C17" sqref="C17"/>
    </sheetView>
  </sheetViews>
  <sheetFormatPr defaultColWidth="8.85546875" defaultRowHeight="12.75" x14ac:dyDescent="0.2"/>
  <cols>
    <col min="1" max="1" width="47.5703125" customWidth="1"/>
    <col min="2" max="2" width="2.85546875" customWidth="1"/>
    <col min="3" max="3" width="10.7109375" style="23" customWidth="1"/>
    <col min="4" max="59" width="8.85546875" style="23" customWidth="1"/>
  </cols>
  <sheetData>
    <row r="1" spans="1:59" s="2" customFormat="1" ht="15.75" x14ac:dyDescent="0.25">
      <c r="A1" s="43" t="str">
        <f>+'Consol Summary'!A1:N1</f>
        <v>GENCO - Consolidated (1999 Peaker LLCs only)</v>
      </c>
      <c r="B1" s="43"/>
      <c r="C1" s="4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2" customFormat="1" ht="15.75" x14ac:dyDescent="0.25">
      <c r="A2" s="43" t="str">
        <f>+'Consol Summary'!A2:N2</f>
        <v>Expense Analysis Summary</v>
      </c>
      <c r="B2" s="43"/>
      <c r="C2" s="4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2" customFormat="1" ht="15.75" x14ac:dyDescent="0.25">
      <c r="A3" s="44" t="s">
        <v>37</v>
      </c>
      <c r="B3" s="44"/>
      <c r="C3" s="4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2" customFormat="1" ht="15.75" x14ac:dyDescent="0.25">
      <c r="A4" s="45">
        <f>+'NA MO'!A4:V4</f>
        <v>36616</v>
      </c>
      <c r="B4" s="45"/>
      <c r="C4" s="4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2" customFormat="1" ht="15.75" x14ac:dyDescent="0.25">
      <c r="A5" s="14" t="str">
        <f ca="1">CELL("filename")</f>
        <v>H:\Genco\Valuation\06-19-00\[99 O&amp;M analysis - 0003.xls]Consol Summary</v>
      </c>
      <c r="B5" s="14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s="2" customFormat="1" ht="15.75" x14ac:dyDescent="0.25">
      <c r="A6" s="15">
        <f ca="1">NOW()</f>
        <v>36697.489056018516</v>
      </c>
      <c r="B6" s="15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8" spans="1:59" x14ac:dyDescent="0.2">
      <c r="A8" s="1" t="s">
        <v>38</v>
      </c>
      <c r="B8" s="1"/>
      <c r="C8" s="35">
        <f>+'Consol Summary'!B68/1000</f>
        <v>3436.7959999999998</v>
      </c>
    </row>
    <row r="9" spans="1:59" x14ac:dyDescent="0.2">
      <c r="C9" s="7"/>
    </row>
    <row r="11" spans="1:59" x14ac:dyDescent="0.2">
      <c r="C11" s="7"/>
    </row>
    <row r="12" spans="1:59" x14ac:dyDescent="0.2">
      <c r="C12" s="7"/>
    </row>
    <row r="13" spans="1:59" x14ac:dyDescent="0.2">
      <c r="C13" s="7"/>
    </row>
    <row r="14" spans="1:59" x14ac:dyDescent="0.2">
      <c r="C14" s="7"/>
    </row>
    <row r="15" spans="1:59" x14ac:dyDescent="0.2">
      <c r="A15" t="s">
        <v>39</v>
      </c>
      <c r="C15" s="7">
        <f>-SUM(C8:C14)+C17</f>
        <v>251.63250000000016</v>
      </c>
    </row>
    <row r="16" spans="1:59" x14ac:dyDescent="0.2">
      <c r="C16"/>
    </row>
    <row r="17" spans="1:3" x14ac:dyDescent="0.2">
      <c r="A17" s="1" t="s">
        <v>36</v>
      </c>
      <c r="B17" s="1"/>
      <c r="C17" s="35">
        <f>+'Consol Summary'!C68/1000</f>
        <v>3688.4285</v>
      </c>
    </row>
    <row r="18" spans="1:3" ht="13.5" thickBot="1" x14ac:dyDescent="0.25">
      <c r="A18" s="36"/>
      <c r="B18" s="36"/>
      <c r="C18" s="36"/>
    </row>
    <row r="19" spans="1:3" x14ac:dyDescent="0.2">
      <c r="C19"/>
    </row>
    <row r="20" spans="1:3" x14ac:dyDescent="0.2">
      <c r="A20" s="1" t="s">
        <v>40</v>
      </c>
      <c r="C20" s="35">
        <f>+'Consol Summary'!F68/1000</f>
        <v>11339.009</v>
      </c>
    </row>
    <row r="21" spans="1:3" x14ac:dyDescent="0.2">
      <c r="C21" s="7"/>
    </row>
    <row r="22" spans="1:3" x14ac:dyDescent="0.2">
      <c r="C22" s="7"/>
    </row>
    <row r="23" spans="1:3" x14ac:dyDescent="0.2">
      <c r="C23" s="7"/>
    </row>
    <row r="24" spans="1:3" x14ac:dyDescent="0.2">
      <c r="C24" s="7"/>
    </row>
    <row r="25" spans="1:3" x14ac:dyDescent="0.2">
      <c r="C25" s="7"/>
    </row>
    <row r="26" spans="1:3" x14ac:dyDescent="0.2">
      <c r="C26" s="7"/>
    </row>
    <row r="27" spans="1:3" x14ac:dyDescent="0.2">
      <c r="C27" s="7"/>
    </row>
    <row r="28" spans="1:3" x14ac:dyDescent="0.2">
      <c r="A28" t="s">
        <v>39</v>
      </c>
      <c r="C28" s="7">
        <f>-SUM(C20:C27)+C30</f>
        <v>-444.72350000000006</v>
      </c>
    </row>
    <row r="29" spans="1:3" x14ac:dyDescent="0.2">
      <c r="C29"/>
    </row>
    <row r="30" spans="1:3" x14ac:dyDescent="0.2">
      <c r="A30" s="1" t="s">
        <v>41</v>
      </c>
      <c r="C30" s="35">
        <f>+'Consol Summary'!G68/1000</f>
        <v>10894.2855</v>
      </c>
    </row>
    <row r="31" spans="1:3" ht="13.5" thickBot="1" x14ac:dyDescent="0.25">
      <c r="A31" s="36"/>
      <c r="B31" s="36"/>
      <c r="C31" s="36"/>
    </row>
    <row r="32" spans="1:3" x14ac:dyDescent="0.2">
      <c r="C32"/>
    </row>
    <row r="33" spans="1:3" x14ac:dyDescent="0.2">
      <c r="A33" s="1" t="s">
        <v>42</v>
      </c>
      <c r="C33" s="35">
        <f>+'Consol Summary'!J68/1000</f>
        <v>44009.691552500961</v>
      </c>
    </row>
    <row r="34" spans="1:3" x14ac:dyDescent="0.2">
      <c r="C34" s="7"/>
    </row>
    <row r="35" spans="1:3" x14ac:dyDescent="0.2">
      <c r="A35" t="s">
        <v>85</v>
      </c>
      <c r="C35" s="7">
        <f>'Consol Summary'!L63/1000</f>
        <v>4209.2175374990366</v>
      </c>
    </row>
    <row r="36" spans="1:3" x14ac:dyDescent="0.2">
      <c r="C36" s="7"/>
    </row>
    <row r="37" spans="1:3" x14ac:dyDescent="0.2">
      <c r="A37" t="s">
        <v>1</v>
      </c>
      <c r="C37" s="7">
        <f>'Consol Summary'!L53/1000</f>
        <v>-528.03274999999996</v>
      </c>
    </row>
    <row r="38" spans="1:3" x14ac:dyDescent="0.2">
      <c r="C38" s="7"/>
    </row>
    <row r="39" spans="1:3" x14ac:dyDescent="0.2">
      <c r="A39" t="s">
        <v>30</v>
      </c>
      <c r="C39" s="7">
        <f>'Consol Summary'!L47/1000</f>
        <v>-1206</v>
      </c>
    </row>
    <row r="40" spans="1:3" x14ac:dyDescent="0.2">
      <c r="C40" s="7"/>
    </row>
    <row r="41" spans="1:3" x14ac:dyDescent="0.2">
      <c r="A41" t="s">
        <v>39</v>
      </c>
      <c r="C41" s="7">
        <f>-SUM(C33:C40)+C43</f>
        <v>-1067.5853400000051</v>
      </c>
    </row>
    <row r="42" spans="1:3" x14ac:dyDescent="0.2">
      <c r="C42"/>
    </row>
    <row r="43" spans="1:3" x14ac:dyDescent="0.2">
      <c r="A43" s="1" t="s">
        <v>43</v>
      </c>
      <c r="C43" s="35">
        <f>+'Consol Summary'!K68/1000</f>
        <v>45417.290999999997</v>
      </c>
    </row>
    <row r="44" spans="1:3" ht="13.5" thickBot="1" x14ac:dyDescent="0.25">
      <c r="A44" s="36"/>
      <c r="B44" s="36"/>
      <c r="C44" s="36"/>
    </row>
    <row r="45" spans="1:3" x14ac:dyDescent="0.2">
      <c r="C45"/>
    </row>
    <row r="46" spans="1:3" x14ac:dyDescent="0.2">
      <c r="C46"/>
    </row>
    <row r="47" spans="1:3" x14ac:dyDescent="0.2">
      <c r="C47"/>
    </row>
    <row r="48" spans="1:3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</sheetData>
  <mergeCells count="4">
    <mergeCell ref="A1:C1"/>
    <mergeCell ref="A2:C2"/>
    <mergeCell ref="A3:C3"/>
    <mergeCell ref="A4:C4"/>
  </mergeCells>
  <printOptions horizontalCentered="1"/>
  <pageMargins left="0.25" right="0.25" top="0.5" bottom="0.5" header="0.5" footer="0.5"/>
  <pageSetup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35" activePane="bottomRight" state="frozen"/>
      <selection activeCell="B7" sqref="B7:D7"/>
      <selection pane="topRight" activeCell="B7" sqref="B7:D7"/>
      <selection pane="bottomLeft" activeCell="B7" sqref="B7:D7"/>
      <selection pane="bottomRight" activeCell="Q65" sqref="Q65"/>
    </sheetView>
  </sheetViews>
  <sheetFormatPr defaultColWidth="8.85546875" defaultRowHeight="12.75" x14ac:dyDescent="0.2"/>
  <cols>
    <col min="1" max="1" width="41.140625" customWidth="1"/>
    <col min="2" max="9" width="10.28515625" style="23" customWidth="1"/>
    <col min="10" max="10" width="11.42578125" style="23" customWidth="1"/>
    <col min="11" max="13" width="10.28515625" style="23" customWidth="1"/>
    <col min="14" max="14" width="0.85546875" style="23" customWidth="1"/>
    <col min="15" max="15" width="12" style="23" customWidth="1"/>
    <col min="16" max="16" width="2.7109375" style="23" customWidth="1"/>
    <col min="17" max="18" width="10.28515625" style="23" customWidth="1"/>
    <col min="19" max="19" width="12.140625" style="23" customWidth="1"/>
    <col min="20" max="20" width="10.28515625" style="23" customWidth="1"/>
    <col min="21" max="21" width="0.85546875" style="23" customWidth="1"/>
    <col min="22" max="22" width="11.85546875" style="23" customWidth="1"/>
    <col min="23" max="80" width="8.85546875" style="23" customWidth="1"/>
  </cols>
  <sheetData>
    <row r="1" spans="1:80" s="2" customFormat="1" ht="15.75" x14ac:dyDescent="0.25">
      <c r="A1" s="43" t="s">
        <v>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36697.489055902777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">
      <c r="A12" s="1" t="s">
        <v>10</v>
      </c>
    </row>
    <row r="13" spans="1:80" x14ac:dyDescent="0.2">
      <c r="A13" s="17" t="s">
        <v>49</v>
      </c>
    </row>
    <row r="14" spans="1:80" x14ac:dyDescent="0.2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">
      <c r="A15" s="18" t="s">
        <v>63</v>
      </c>
      <c r="B15" s="23">
        <v>0</v>
      </c>
      <c r="C15" s="23">
        <v>0</v>
      </c>
      <c r="D15" s="23">
        <v>0</v>
      </c>
      <c r="E15" s="23">
        <v>0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7328</v>
      </c>
      <c r="Q15" s="23">
        <f t="shared" ref="Q15:Q42" si="2">SUM(B15:D15)</f>
        <v>0</v>
      </c>
      <c r="R15" s="23">
        <f t="shared" ref="R15:R42" si="3">SUM(E15:G15)</f>
        <v>2280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7328</v>
      </c>
    </row>
    <row r="16" spans="1:80" x14ac:dyDescent="0.2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1"/>
        <v>0</v>
      </c>
      <c r="Q17" s="23">
        <f t="shared" si="2"/>
        <v>0</v>
      </c>
      <c r="R17" s="23">
        <f t="shared" si="3"/>
        <v>0</v>
      </c>
      <c r="S17" s="23">
        <f t="shared" si="4"/>
        <v>0</v>
      </c>
      <c r="T17" s="23">
        <f t="shared" si="5"/>
        <v>0</v>
      </c>
      <c r="V17" s="23">
        <f t="shared" si="6"/>
        <v>0</v>
      </c>
    </row>
    <row r="18" spans="1:22" x14ac:dyDescent="0.2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1"/>
        <v>0</v>
      </c>
      <c r="Q18" s="23">
        <f t="shared" si="2"/>
        <v>0</v>
      </c>
      <c r="R18" s="23">
        <f t="shared" si="3"/>
        <v>0</v>
      </c>
      <c r="S18" s="23">
        <f t="shared" si="4"/>
        <v>0</v>
      </c>
      <c r="T18" s="23">
        <f t="shared" si="5"/>
        <v>0</v>
      </c>
      <c r="V18" s="23">
        <f t="shared" si="6"/>
        <v>0</v>
      </c>
    </row>
    <row r="19" spans="1:22" x14ac:dyDescent="0.2">
      <c r="A19" s="18" t="s">
        <v>64</v>
      </c>
      <c r="B19" s="23">
        <v>0</v>
      </c>
      <c r="C19" s="23">
        <f t="shared" ref="C19:M19" si="7">C89</f>
        <v>0</v>
      </c>
      <c r="D19" s="23">
        <f t="shared" si="7"/>
        <v>0</v>
      </c>
      <c r="E19" s="23">
        <f t="shared" si="7"/>
        <v>0</v>
      </c>
      <c r="F19" s="23">
        <f t="shared" si="7"/>
        <v>0</v>
      </c>
      <c r="G19" s="23">
        <f t="shared" si="7"/>
        <v>0</v>
      </c>
      <c r="H19" s="23">
        <f t="shared" si="7"/>
        <v>0</v>
      </c>
      <c r="I19" s="23">
        <f t="shared" si="7"/>
        <v>0</v>
      </c>
      <c r="J19" s="23">
        <f t="shared" si="7"/>
        <v>0</v>
      </c>
      <c r="K19" s="23">
        <f t="shared" si="7"/>
        <v>0</v>
      </c>
      <c r="L19" s="23">
        <f t="shared" si="7"/>
        <v>0</v>
      </c>
      <c r="M19" s="23">
        <f t="shared" si="7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">
      <c r="A20" s="18" t="s">
        <v>91</v>
      </c>
      <c r="B20" s="23">
        <v>0</v>
      </c>
      <c r="C20" s="23">
        <v>0</v>
      </c>
      <c r="D20" s="23">
        <v>15137</v>
      </c>
      <c r="E20" s="23">
        <v>636.9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O20" s="23">
        <f t="shared" si="1"/>
        <v>15773.9</v>
      </c>
      <c r="Q20" s="23">
        <f t="shared" si="2"/>
        <v>15137</v>
      </c>
      <c r="R20" s="23">
        <f t="shared" si="3"/>
        <v>636.9</v>
      </c>
      <c r="S20" s="23">
        <f t="shared" si="4"/>
        <v>0</v>
      </c>
      <c r="T20" s="23">
        <f t="shared" si="5"/>
        <v>0</v>
      </c>
      <c r="V20" s="23">
        <f t="shared" si="6"/>
        <v>15773.9</v>
      </c>
    </row>
    <row r="21" spans="1:22" x14ac:dyDescent="0.2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1"/>
        <v>0</v>
      </c>
      <c r="Q21" s="23">
        <f t="shared" si="2"/>
        <v>0</v>
      </c>
      <c r="R21" s="23">
        <f t="shared" si="3"/>
        <v>0</v>
      </c>
      <c r="S21" s="23">
        <f t="shared" si="4"/>
        <v>0</v>
      </c>
      <c r="T21" s="23">
        <f t="shared" si="5"/>
        <v>0</v>
      </c>
      <c r="V21" s="23">
        <f t="shared" si="6"/>
        <v>0</v>
      </c>
    </row>
    <row r="22" spans="1:22" x14ac:dyDescent="0.2">
      <c r="A22" s="18" t="s">
        <v>65</v>
      </c>
      <c r="B22" s="23">
        <v>0</v>
      </c>
      <c r="C22" s="23">
        <v>3844</v>
      </c>
      <c r="D22" s="23">
        <v>106</v>
      </c>
      <c r="E22" s="23">
        <v>0</v>
      </c>
      <c r="F22" s="23">
        <f t="shared" ref="F22:M22" si="8">F92</f>
        <v>458</v>
      </c>
      <c r="G22" s="23">
        <f t="shared" si="8"/>
        <v>458</v>
      </c>
      <c r="H22" s="23">
        <f t="shared" si="8"/>
        <v>458</v>
      </c>
      <c r="I22" s="23">
        <f t="shared" si="8"/>
        <v>458</v>
      </c>
      <c r="J22" s="23">
        <f t="shared" si="8"/>
        <v>458</v>
      </c>
      <c r="K22" s="23">
        <f t="shared" si="8"/>
        <v>458</v>
      </c>
      <c r="L22" s="23">
        <f t="shared" si="8"/>
        <v>458</v>
      </c>
      <c r="M22" s="23">
        <f t="shared" si="8"/>
        <v>462</v>
      </c>
      <c r="O22" s="23">
        <f t="shared" si="1"/>
        <v>7618</v>
      </c>
      <c r="Q22" s="23">
        <f t="shared" si="2"/>
        <v>3950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7618</v>
      </c>
    </row>
    <row r="23" spans="1:22" x14ac:dyDescent="0.2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f t="shared" ref="F23:M23" si="9">F93</f>
        <v>12180</v>
      </c>
      <c r="G23" s="23">
        <f t="shared" si="9"/>
        <v>12180</v>
      </c>
      <c r="H23" s="23">
        <f t="shared" si="9"/>
        <v>12180</v>
      </c>
      <c r="I23" s="23">
        <f t="shared" si="9"/>
        <v>12180</v>
      </c>
      <c r="J23" s="23">
        <f t="shared" si="9"/>
        <v>12180</v>
      </c>
      <c r="K23" s="23">
        <f t="shared" si="9"/>
        <v>5086</v>
      </c>
      <c r="L23" s="23">
        <f t="shared" si="9"/>
        <v>86</v>
      </c>
      <c r="M23" s="23">
        <f t="shared" si="9"/>
        <v>84</v>
      </c>
      <c r="O23" s="23">
        <f t="shared" si="1"/>
        <v>66156</v>
      </c>
      <c r="Q23" s="23">
        <f t="shared" si="2"/>
        <v>0</v>
      </c>
      <c r="R23" s="23">
        <f t="shared" si="3"/>
        <v>24360</v>
      </c>
      <c r="S23" s="23">
        <f t="shared" si="4"/>
        <v>36540</v>
      </c>
      <c r="T23" s="23">
        <f t="shared" si="5"/>
        <v>5256</v>
      </c>
      <c r="V23" s="23">
        <f t="shared" si="6"/>
        <v>66156</v>
      </c>
    </row>
    <row r="24" spans="1:22" x14ac:dyDescent="0.2">
      <c r="A24" s="18" t="s">
        <v>66</v>
      </c>
      <c r="B24" s="23">
        <v>0</v>
      </c>
      <c r="C24" s="23">
        <v>0</v>
      </c>
      <c r="D24" s="23">
        <v>0</v>
      </c>
      <c r="E24" s="23">
        <v>0</v>
      </c>
      <c r="F24" s="23">
        <f t="shared" ref="F24:M24" si="10">F94</f>
        <v>180</v>
      </c>
      <c r="G24" s="23">
        <f t="shared" si="10"/>
        <v>180</v>
      </c>
      <c r="H24" s="23">
        <f t="shared" si="10"/>
        <v>180</v>
      </c>
      <c r="I24" s="23">
        <f t="shared" si="10"/>
        <v>180</v>
      </c>
      <c r="J24" s="23">
        <f t="shared" si="10"/>
        <v>180</v>
      </c>
      <c r="K24" s="23">
        <f t="shared" si="10"/>
        <v>86</v>
      </c>
      <c r="L24" s="23">
        <f t="shared" si="10"/>
        <v>86</v>
      </c>
      <c r="M24" s="23">
        <f t="shared" si="10"/>
        <v>84</v>
      </c>
      <c r="O24" s="23">
        <f t="shared" si="1"/>
        <v>1156</v>
      </c>
      <c r="Q24" s="23">
        <f t="shared" si="2"/>
        <v>0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1156</v>
      </c>
    </row>
    <row r="25" spans="1:22" x14ac:dyDescent="0.2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1">F95</f>
        <v>1800</v>
      </c>
      <c r="G25" s="23">
        <f t="shared" si="11"/>
        <v>1800</v>
      </c>
      <c r="H25" s="23">
        <f t="shared" si="11"/>
        <v>1800</v>
      </c>
      <c r="I25" s="23">
        <f t="shared" si="11"/>
        <v>1800</v>
      </c>
      <c r="J25" s="23">
        <f t="shared" si="11"/>
        <v>1800</v>
      </c>
      <c r="K25" s="23">
        <f t="shared" si="11"/>
        <v>857</v>
      </c>
      <c r="L25" s="23">
        <f t="shared" si="11"/>
        <v>857</v>
      </c>
      <c r="M25" s="23">
        <f t="shared" si="11"/>
        <v>858</v>
      </c>
      <c r="O25" s="23">
        <f t="shared" si="1"/>
        <v>11572</v>
      </c>
      <c r="Q25" s="23">
        <f t="shared" si="2"/>
        <v>0</v>
      </c>
      <c r="R25" s="23">
        <f t="shared" si="3"/>
        <v>3600</v>
      </c>
      <c r="S25" s="23">
        <f t="shared" si="4"/>
        <v>5400</v>
      </c>
      <c r="T25" s="23">
        <f t="shared" si="5"/>
        <v>2572</v>
      </c>
      <c r="V25" s="23">
        <f t="shared" si="6"/>
        <v>11572</v>
      </c>
    </row>
    <row r="26" spans="1:22" x14ac:dyDescent="0.2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1"/>
        <v>0</v>
      </c>
      <c r="Q26" s="23">
        <f t="shared" si="2"/>
        <v>0</v>
      </c>
      <c r="R26" s="23">
        <f t="shared" si="3"/>
        <v>0</v>
      </c>
      <c r="S26" s="23">
        <f t="shared" si="4"/>
        <v>0</v>
      </c>
      <c r="T26" s="23">
        <f t="shared" si="5"/>
        <v>0</v>
      </c>
      <c r="V26" s="23">
        <f t="shared" si="6"/>
        <v>0</v>
      </c>
    </row>
    <row r="27" spans="1:22" x14ac:dyDescent="0.2">
      <c r="A27" s="18" t="s">
        <v>69</v>
      </c>
      <c r="B27" s="23">
        <v>0</v>
      </c>
      <c r="C27" s="23">
        <v>0</v>
      </c>
      <c r="D27" s="23">
        <v>214</v>
      </c>
      <c r="E27" s="23">
        <v>5035.6000000000004</v>
      </c>
      <c r="F27" s="23">
        <f t="shared" ref="F27:M27" si="12">F97</f>
        <v>333</v>
      </c>
      <c r="G27" s="23">
        <f t="shared" si="12"/>
        <v>333</v>
      </c>
      <c r="H27" s="23">
        <f t="shared" si="12"/>
        <v>333</v>
      </c>
      <c r="I27" s="23">
        <f t="shared" si="12"/>
        <v>333</v>
      </c>
      <c r="J27" s="23">
        <f t="shared" si="12"/>
        <v>333</v>
      </c>
      <c r="K27" s="23">
        <f t="shared" si="12"/>
        <v>333</v>
      </c>
      <c r="L27" s="23">
        <f t="shared" si="12"/>
        <v>333</v>
      </c>
      <c r="M27" s="23">
        <f t="shared" si="12"/>
        <v>337</v>
      </c>
      <c r="O27" s="23">
        <f t="shared" si="1"/>
        <v>7917.6</v>
      </c>
      <c r="Q27" s="23">
        <f t="shared" si="2"/>
        <v>214</v>
      </c>
      <c r="R27" s="23">
        <f t="shared" si="3"/>
        <v>5701.6</v>
      </c>
      <c r="S27" s="23">
        <f t="shared" si="4"/>
        <v>999</v>
      </c>
      <c r="T27" s="23">
        <f t="shared" si="5"/>
        <v>1003</v>
      </c>
      <c r="V27" s="23">
        <f t="shared" si="6"/>
        <v>7917.6</v>
      </c>
    </row>
    <row r="28" spans="1:22" x14ac:dyDescent="0.2">
      <c r="A28" s="18" t="s">
        <v>68</v>
      </c>
      <c r="B28" s="23">
        <v>0</v>
      </c>
      <c r="C28" s="23">
        <v>7404</v>
      </c>
      <c r="D28" s="23">
        <v>575</v>
      </c>
      <c r="E28" s="23">
        <v>14101.49</v>
      </c>
      <c r="F28" s="23">
        <f t="shared" ref="F28:M28" si="13">F98</f>
        <v>833</v>
      </c>
      <c r="G28" s="23">
        <f t="shared" si="13"/>
        <v>833</v>
      </c>
      <c r="H28" s="23">
        <f t="shared" si="13"/>
        <v>833</v>
      </c>
      <c r="I28" s="23">
        <f t="shared" si="13"/>
        <v>833</v>
      </c>
      <c r="J28" s="23">
        <f t="shared" si="13"/>
        <v>833</v>
      </c>
      <c r="K28" s="23">
        <f t="shared" si="13"/>
        <v>833</v>
      </c>
      <c r="L28" s="23">
        <f t="shared" si="13"/>
        <v>833</v>
      </c>
      <c r="M28" s="23">
        <f t="shared" si="13"/>
        <v>837</v>
      </c>
      <c r="O28" s="23">
        <f>SUM(B28:M28)</f>
        <v>28748.489999999998</v>
      </c>
      <c r="Q28" s="23">
        <f>SUM(B28:D28)</f>
        <v>7979</v>
      </c>
      <c r="R28" s="23">
        <f>SUM(E28:G28)</f>
        <v>15767.49</v>
      </c>
      <c r="S28" s="23">
        <f>SUM(H28:J28)</f>
        <v>2499</v>
      </c>
      <c r="T28" s="23">
        <f>SUM(K28:M28)</f>
        <v>2503</v>
      </c>
      <c r="V28" s="23">
        <f>SUM(Q28:U28)</f>
        <v>28748.489999999998</v>
      </c>
    </row>
    <row r="29" spans="1:22" x14ac:dyDescent="0.2">
      <c r="A29" s="18" t="s">
        <v>94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0</v>
      </c>
      <c r="Q29" s="23">
        <f>SUM(B29:D29)</f>
        <v>0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0</v>
      </c>
    </row>
    <row r="30" spans="1:22" x14ac:dyDescent="0.2">
      <c r="A30" s="18" t="s">
        <v>46</v>
      </c>
      <c r="B30" s="23">
        <v>0</v>
      </c>
      <c r="C30" s="23">
        <v>47</v>
      </c>
      <c r="D30" s="23">
        <v>0</v>
      </c>
      <c r="E30" s="23">
        <v>0</v>
      </c>
      <c r="F30" s="23">
        <f t="shared" ref="F30:M30" si="14">F100</f>
        <v>9660</v>
      </c>
      <c r="G30" s="23">
        <f t="shared" si="14"/>
        <v>9660</v>
      </c>
      <c r="H30" s="23">
        <f t="shared" si="14"/>
        <v>9660</v>
      </c>
      <c r="I30" s="23">
        <f t="shared" si="14"/>
        <v>9660</v>
      </c>
      <c r="J30" s="23">
        <f t="shared" si="14"/>
        <v>9660</v>
      </c>
      <c r="K30" s="23">
        <f t="shared" si="14"/>
        <v>600</v>
      </c>
      <c r="L30" s="23">
        <f t="shared" si="14"/>
        <v>600</v>
      </c>
      <c r="M30" s="23">
        <f t="shared" si="14"/>
        <v>600</v>
      </c>
      <c r="O30" s="23">
        <f t="shared" si="1"/>
        <v>50147</v>
      </c>
      <c r="Q30" s="23">
        <f t="shared" si="2"/>
        <v>47</v>
      </c>
      <c r="R30" s="23">
        <f t="shared" si="3"/>
        <v>19320</v>
      </c>
      <c r="S30" s="23">
        <f t="shared" si="4"/>
        <v>28980</v>
      </c>
      <c r="T30" s="23">
        <f t="shared" si="5"/>
        <v>1800</v>
      </c>
      <c r="V30" s="23">
        <f t="shared" si="6"/>
        <v>50147</v>
      </c>
    </row>
    <row r="31" spans="1:22" x14ac:dyDescent="0.2">
      <c r="A31" s="18" t="s">
        <v>70</v>
      </c>
      <c r="B31" s="23">
        <v>0</v>
      </c>
      <c r="C31" s="23">
        <v>1464</v>
      </c>
      <c r="D31" s="23">
        <v>15912</v>
      </c>
      <c r="E31" s="23">
        <v>4084.14</v>
      </c>
      <c r="F31" s="23">
        <f t="shared" ref="F31:M31" si="15">F101</f>
        <v>4748</v>
      </c>
      <c r="G31" s="23">
        <f t="shared" si="15"/>
        <v>4748</v>
      </c>
      <c r="H31" s="23">
        <f t="shared" si="15"/>
        <v>4748</v>
      </c>
      <c r="I31" s="23">
        <f t="shared" si="15"/>
        <v>4748</v>
      </c>
      <c r="J31" s="23">
        <f t="shared" si="15"/>
        <v>4748</v>
      </c>
      <c r="K31" s="23">
        <f t="shared" si="15"/>
        <v>3208</v>
      </c>
      <c r="L31" s="23">
        <f t="shared" si="15"/>
        <v>3208</v>
      </c>
      <c r="M31" s="23">
        <f t="shared" si="15"/>
        <v>3212</v>
      </c>
      <c r="O31" s="23">
        <f t="shared" si="1"/>
        <v>54828.14</v>
      </c>
      <c r="Q31" s="23">
        <f t="shared" si="2"/>
        <v>17376</v>
      </c>
      <c r="R31" s="23">
        <f t="shared" si="3"/>
        <v>13580.14</v>
      </c>
      <c r="S31" s="23">
        <f t="shared" si="4"/>
        <v>14244</v>
      </c>
      <c r="T31" s="23">
        <f t="shared" si="5"/>
        <v>9628</v>
      </c>
      <c r="V31" s="23">
        <f t="shared" si="6"/>
        <v>54828.14</v>
      </c>
    </row>
    <row r="32" spans="1:22" x14ac:dyDescent="0.2">
      <c r="A32" s="18" t="s">
        <v>71</v>
      </c>
      <c r="B32" s="23">
        <f>18227+4887+550</f>
        <v>23664</v>
      </c>
      <c r="C32" s="23">
        <f>7578+729+9437+5421</f>
        <v>23165</v>
      </c>
      <c r="D32" s="23">
        <f>42967-3</f>
        <v>42964</v>
      </c>
      <c r="E32" s="23">
        <v>105360.74</v>
      </c>
      <c r="F32" s="23">
        <f t="shared" ref="F32:M32" si="16">F102</f>
        <v>24268</v>
      </c>
      <c r="G32" s="23">
        <f t="shared" si="16"/>
        <v>9268</v>
      </c>
      <c r="H32" s="23">
        <f t="shared" si="16"/>
        <v>9268</v>
      </c>
      <c r="I32" s="23">
        <f t="shared" si="16"/>
        <v>9268</v>
      </c>
      <c r="J32" s="23">
        <f t="shared" si="16"/>
        <v>9268</v>
      </c>
      <c r="K32" s="23">
        <f t="shared" si="16"/>
        <v>8953</v>
      </c>
      <c r="L32" s="23">
        <f t="shared" si="16"/>
        <v>8953</v>
      </c>
      <c r="M32" s="23">
        <f t="shared" si="16"/>
        <v>8942</v>
      </c>
      <c r="O32" s="23">
        <f t="shared" si="1"/>
        <v>283341.74</v>
      </c>
      <c r="Q32" s="23">
        <f t="shared" si="2"/>
        <v>89793</v>
      </c>
      <c r="R32" s="23">
        <f t="shared" si="3"/>
        <v>138896.74</v>
      </c>
      <c r="S32" s="23">
        <f t="shared" si="4"/>
        <v>27804</v>
      </c>
      <c r="T32" s="23">
        <f t="shared" si="5"/>
        <v>26848</v>
      </c>
      <c r="V32" s="23">
        <f t="shared" si="6"/>
        <v>283341.74</v>
      </c>
    </row>
    <row r="33" spans="1:22" x14ac:dyDescent="0.2">
      <c r="A33" s="18" t="s">
        <v>44</v>
      </c>
      <c r="B33" s="23">
        <v>53459</v>
      </c>
      <c r="C33" s="23">
        <v>77921</v>
      </c>
      <c r="D33" s="23">
        <f>65581</f>
        <v>65581</v>
      </c>
      <c r="E33" s="23">
        <v>68394.710000000006</v>
      </c>
      <c r="F33" s="23">
        <f t="shared" ref="F33:M33" si="17">F103</f>
        <v>100212</v>
      </c>
      <c r="G33" s="23">
        <f t="shared" si="17"/>
        <v>100212</v>
      </c>
      <c r="H33" s="23">
        <f t="shared" si="17"/>
        <v>100212</v>
      </c>
      <c r="I33" s="23">
        <f t="shared" si="17"/>
        <v>100212</v>
      </c>
      <c r="J33" s="23">
        <f t="shared" si="17"/>
        <v>100212</v>
      </c>
      <c r="K33" s="23">
        <f t="shared" si="17"/>
        <v>83297</v>
      </c>
      <c r="L33" s="23">
        <f t="shared" si="17"/>
        <v>83297</v>
      </c>
      <c r="M33" s="23">
        <f t="shared" si="17"/>
        <v>83301</v>
      </c>
      <c r="O33" s="23">
        <f>SUM(B33:M33)</f>
        <v>1016310.71</v>
      </c>
      <c r="Q33" s="23">
        <f>SUM(B33:D33)</f>
        <v>196961</v>
      </c>
      <c r="R33" s="23">
        <f>SUM(E33:G33)</f>
        <v>268818.71000000002</v>
      </c>
      <c r="S33" s="23">
        <f>SUM(H33:J33)</f>
        <v>300636</v>
      </c>
      <c r="T33" s="23">
        <f>SUM(K33:M33)</f>
        <v>249895</v>
      </c>
      <c r="V33" s="23">
        <f>SUM(Q33:U33)</f>
        <v>1016310.71</v>
      </c>
    </row>
    <row r="34" spans="1:22" x14ac:dyDescent="0.2">
      <c r="A34" s="18" t="s">
        <v>47</v>
      </c>
      <c r="B34" s="23">
        <v>0</v>
      </c>
      <c r="C34" s="23">
        <v>10615</v>
      </c>
      <c r="D34" s="23">
        <v>7369</v>
      </c>
      <c r="E34" s="23">
        <v>6645.72</v>
      </c>
      <c r="F34" s="23">
        <f t="shared" ref="F34:M34" si="18">F104</f>
        <v>4075</v>
      </c>
      <c r="G34" s="23">
        <f t="shared" si="18"/>
        <v>4075</v>
      </c>
      <c r="H34" s="23">
        <f t="shared" si="18"/>
        <v>4075</v>
      </c>
      <c r="I34" s="23">
        <f t="shared" si="18"/>
        <v>4075</v>
      </c>
      <c r="J34" s="23">
        <f t="shared" si="18"/>
        <v>4075</v>
      </c>
      <c r="K34" s="23">
        <f t="shared" si="18"/>
        <v>4075</v>
      </c>
      <c r="L34" s="23">
        <f t="shared" si="18"/>
        <v>4075</v>
      </c>
      <c r="M34" s="23">
        <f t="shared" si="18"/>
        <v>4075</v>
      </c>
      <c r="O34" s="23">
        <f>SUM(B34:M34)</f>
        <v>57229.72</v>
      </c>
      <c r="Q34" s="23">
        <f>SUM(B34:D34)</f>
        <v>17984</v>
      </c>
      <c r="R34" s="23">
        <f>SUM(E34:G34)</f>
        <v>14795.720000000001</v>
      </c>
      <c r="S34" s="23">
        <f>SUM(H34:J34)</f>
        <v>12225</v>
      </c>
      <c r="T34" s="23">
        <f>SUM(K34:M34)</f>
        <v>12225</v>
      </c>
      <c r="V34" s="23">
        <f>SUM(Q34:U34)</f>
        <v>57229.72</v>
      </c>
    </row>
    <row r="35" spans="1:22" x14ac:dyDescent="0.2">
      <c r="A35" s="18" t="s">
        <v>2</v>
      </c>
      <c r="B35" s="23">
        <v>15767</v>
      </c>
      <c r="C35" s="23">
        <v>26883</v>
      </c>
      <c r="D35" s="23">
        <v>31612</v>
      </c>
      <c r="E35" s="23">
        <v>40230.9</v>
      </c>
      <c r="F35" s="23">
        <f t="shared" ref="F35:M35" si="19">F105</f>
        <v>21030</v>
      </c>
      <c r="G35" s="23">
        <f t="shared" si="19"/>
        <v>21545</v>
      </c>
      <c r="H35" s="23">
        <f t="shared" si="19"/>
        <v>21545</v>
      </c>
      <c r="I35" s="23">
        <f t="shared" si="19"/>
        <v>21545</v>
      </c>
      <c r="J35" s="23">
        <f t="shared" si="19"/>
        <v>21545</v>
      </c>
      <c r="K35" s="23">
        <f t="shared" si="19"/>
        <v>21545</v>
      </c>
      <c r="L35" s="23">
        <f t="shared" si="19"/>
        <v>21995</v>
      </c>
      <c r="M35" s="23">
        <f t="shared" si="19"/>
        <v>21545</v>
      </c>
      <c r="O35" s="23">
        <f t="shared" si="1"/>
        <v>286787.90000000002</v>
      </c>
      <c r="Q35" s="23">
        <f t="shared" si="2"/>
        <v>74262</v>
      </c>
      <c r="R35" s="23">
        <f t="shared" si="3"/>
        <v>82805.899999999994</v>
      </c>
      <c r="S35" s="23">
        <f t="shared" si="4"/>
        <v>64635</v>
      </c>
      <c r="T35" s="23">
        <f t="shared" si="5"/>
        <v>65085</v>
      </c>
      <c r="V35" s="23">
        <f t="shared" si="6"/>
        <v>286787.90000000002</v>
      </c>
    </row>
    <row r="36" spans="1:22" x14ac:dyDescent="0.2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">
      <c r="A37" s="18" t="s">
        <v>72</v>
      </c>
      <c r="B37" s="23">
        <v>0</v>
      </c>
      <c r="C37" s="23">
        <v>0</v>
      </c>
      <c r="D37" s="23">
        <f>42</f>
        <v>42</v>
      </c>
      <c r="E37" s="23">
        <v>0</v>
      </c>
      <c r="F37" s="23">
        <f t="shared" ref="F37:M38" si="20">F107</f>
        <v>146</v>
      </c>
      <c r="G37" s="23">
        <f t="shared" si="20"/>
        <v>146</v>
      </c>
      <c r="H37" s="23">
        <f t="shared" si="20"/>
        <v>146</v>
      </c>
      <c r="I37" s="23">
        <f t="shared" si="20"/>
        <v>146</v>
      </c>
      <c r="J37" s="23">
        <f t="shared" si="20"/>
        <v>146</v>
      </c>
      <c r="K37" s="23">
        <f t="shared" si="20"/>
        <v>146</v>
      </c>
      <c r="L37" s="23">
        <f t="shared" si="20"/>
        <v>146</v>
      </c>
      <c r="M37" s="23">
        <f t="shared" si="20"/>
        <v>144</v>
      </c>
      <c r="O37" s="23">
        <f t="shared" si="1"/>
        <v>1208</v>
      </c>
      <c r="Q37" s="23">
        <f t="shared" si="2"/>
        <v>42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1208</v>
      </c>
    </row>
    <row r="38" spans="1:22" x14ac:dyDescent="0.2">
      <c r="A38" s="18" t="s">
        <v>48</v>
      </c>
      <c r="B38" s="23">
        <v>0</v>
      </c>
      <c r="C38" s="23">
        <v>1830</v>
      </c>
      <c r="D38" s="23">
        <f>4561</f>
        <v>4561</v>
      </c>
      <c r="E38" s="23">
        <v>1763.15</v>
      </c>
      <c r="F38" s="23">
        <f t="shared" si="20"/>
        <v>23400</v>
      </c>
      <c r="G38" s="23">
        <f t="shared" si="20"/>
        <v>23400</v>
      </c>
      <c r="H38" s="23">
        <f t="shared" si="20"/>
        <v>23400</v>
      </c>
      <c r="I38" s="23">
        <f t="shared" si="20"/>
        <v>23400</v>
      </c>
      <c r="J38" s="23">
        <f t="shared" si="20"/>
        <v>23400</v>
      </c>
      <c r="K38" s="23">
        <f t="shared" si="20"/>
        <v>11143</v>
      </c>
      <c r="L38" s="23">
        <f t="shared" si="20"/>
        <v>11143</v>
      </c>
      <c r="M38" s="23">
        <f t="shared" si="20"/>
        <v>11142</v>
      </c>
      <c r="O38" s="23">
        <f t="shared" si="1"/>
        <v>158582.15</v>
      </c>
      <c r="Q38" s="23">
        <f t="shared" si="2"/>
        <v>6391</v>
      </c>
      <c r="R38" s="23">
        <f t="shared" si="3"/>
        <v>48563.15</v>
      </c>
      <c r="S38" s="23">
        <f t="shared" si="4"/>
        <v>70200</v>
      </c>
      <c r="T38" s="23">
        <f t="shared" si="5"/>
        <v>33428</v>
      </c>
      <c r="V38" s="23">
        <f t="shared" si="6"/>
        <v>158582.15</v>
      </c>
    </row>
    <row r="39" spans="1:22" x14ac:dyDescent="0.2">
      <c r="A39" s="18" t="s">
        <v>74</v>
      </c>
      <c r="B39" s="23">
        <v>0</v>
      </c>
      <c r="C39" s="23">
        <v>0</v>
      </c>
      <c r="D39" s="23">
        <f t="shared" ref="D39:M39" si="21">D109</f>
        <v>0</v>
      </c>
      <c r="E39" s="23">
        <f t="shared" si="21"/>
        <v>0</v>
      </c>
      <c r="F39" s="23">
        <f t="shared" si="21"/>
        <v>0</v>
      </c>
      <c r="G39" s="23">
        <f t="shared" si="21"/>
        <v>0</v>
      </c>
      <c r="H39" s="23">
        <f t="shared" si="21"/>
        <v>0</v>
      </c>
      <c r="I39" s="23">
        <f t="shared" si="21"/>
        <v>0</v>
      </c>
      <c r="J39" s="23">
        <f t="shared" si="21"/>
        <v>0</v>
      </c>
      <c r="K39" s="23">
        <f t="shared" si="21"/>
        <v>0</v>
      </c>
      <c r="L39" s="23">
        <f t="shared" si="21"/>
        <v>0</v>
      </c>
      <c r="M39" s="23">
        <f t="shared" si="21"/>
        <v>0</v>
      </c>
      <c r="O39" s="23">
        <f t="shared" si="1"/>
        <v>0</v>
      </c>
      <c r="Q39" s="23">
        <f t="shared" si="2"/>
        <v>0</v>
      </c>
      <c r="R39" s="23">
        <f t="shared" si="3"/>
        <v>0</v>
      </c>
      <c r="S39" s="23">
        <f t="shared" si="4"/>
        <v>0</v>
      </c>
      <c r="T39" s="23">
        <f t="shared" si="5"/>
        <v>0</v>
      </c>
      <c r="V39" s="23">
        <f t="shared" si="6"/>
        <v>0</v>
      </c>
    </row>
    <row r="40" spans="1:22" x14ac:dyDescent="0.2">
      <c r="A40" s="18" t="s">
        <v>96</v>
      </c>
      <c r="B40" s="23">
        <v>12222</v>
      </c>
      <c r="C40" s="23">
        <f>1230+2</f>
        <v>1232</v>
      </c>
      <c r="D40" s="23">
        <v>0</v>
      </c>
      <c r="E40" s="31">
        <f>7782.05+26863.34-4</f>
        <v>34641.39</v>
      </c>
      <c r="O40" s="23">
        <f t="shared" si="1"/>
        <v>48095.39</v>
      </c>
      <c r="Q40" s="23">
        <f>SUM(B40:D40)</f>
        <v>13454</v>
      </c>
      <c r="R40" s="23">
        <f>SUM(E40:G40)</f>
        <v>34641.39</v>
      </c>
      <c r="S40" s="23">
        <f>SUM(H40:J40)</f>
        <v>0</v>
      </c>
      <c r="T40" s="23">
        <f>SUM(K40:M40)</f>
        <v>0</v>
      </c>
      <c r="V40" s="23">
        <f t="shared" si="6"/>
        <v>48095.39</v>
      </c>
    </row>
    <row r="41" spans="1:22" x14ac:dyDescent="0.2">
      <c r="A41" s="18"/>
    </row>
    <row r="42" spans="1:22" x14ac:dyDescent="0.2">
      <c r="A42" s="19" t="s">
        <v>28</v>
      </c>
      <c r="B42" s="27">
        <f>SUM(B13:B40)</f>
        <v>105112</v>
      </c>
      <c r="C42" s="27">
        <f t="shared" ref="C42:M42" si="22">SUM(C13:C40)</f>
        <v>154405</v>
      </c>
      <c r="D42" s="27">
        <f t="shared" si="22"/>
        <v>184073</v>
      </c>
      <c r="E42" s="27">
        <f t="shared" si="22"/>
        <v>280894.74</v>
      </c>
      <c r="F42" s="27">
        <f t="shared" si="22"/>
        <v>204463</v>
      </c>
      <c r="G42" s="27">
        <f t="shared" si="22"/>
        <v>189978</v>
      </c>
      <c r="H42" s="27">
        <f t="shared" si="22"/>
        <v>189978</v>
      </c>
      <c r="I42" s="27">
        <f t="shared" si="22"/>
        <v>189978</v>
      </c>
      <c r="J42" s="27">
        <f t="shared" si="22"/>
        <v>189978</v>
      </c>
      <c r="K42" s="27">
        <f t="shared" si="22"/>
        <v>141163</v>
      </c>
      <c r="L42" s="27">
        <f t="shared" si="22"/>
        <v>136613</v>
      </c>
      <c r="M42" s="27">
        <f t="shared" si="22"/>
        <v>136165</v>
      </c>
      <c r="O42" s="27">
        <f>SUM(O13:O40)</f>
        <v>2102800.7400000002</v>
      </c>
      <c r="Q42" s="27">
        <f t="shared" si="2"/>
        <v>443590</v>
      </c>
      <c r="R42" s="27">
        <f t="shared" si="3"/>
        <v>675335.74</v>
      </c>
      <c r="S42" s="27">
        <f t="shared" si="4"/>
        <v>569934</v>
      </c>
      <c r="T42" s="27">
        <f t="shared" si="5"/>
        <v>413941</v>
      </c>
      <c r="V42" s="27">
        <f t="shared" si="6"/>
        <v>2102800.7400000002</v>
      </c>
    </row>
    <row r="43" spans="1:22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">
      <c r="A45" s="17"/>
    </row>
    <row r="46" spans="1:22" x14ac:dyDescent="0.2">
      <c r="A46" s="17" t="s">
        <v>30</v>
      </c>
      <c r="B46" s="37">
        <v>133333</v>
      </c>
      <c r="C46" s="37">
        <v>133334</v>
      </c>
      <c r="D46" s="25">
        <v>0</v>
      </c>
      <c r="E46" s="37">
        <v>66666</v>
      </c>
      <c r="F46" s="25">
        <v>83334</v>
      </c>
      <c r="G46" s="25">
        <v>83333</v>
      </c>
      <c r="H46" s="25">
        <v>83333</v>
      </c>
      <c r="I46" s="25">
        <v>83334</v>
      </c>
      <c r="J46" s="25">
        <v>83333</v>
      </c>
      <c r="K46" s="25">
        <v>83333</v>
      </c>
      <c r="L46" s="25">
        <v>83334</v>
      </c>
      <c r="M46" s="25">
        <v>83333</v>
      </c>
      <c r="O46" s="25">
        <f>SUM(B46:M46)</f>
        <v>1000000</v>
      </c>
      <c r="Q46" s="25">
        <f>SUM(B46:D46)</f>
        <v>266667</v>
      </c>
      <c r="R46" s="25">
        <f>SUM(E46:G46)</f>
        <v>233333</v>
      </c>
      <c r="S46" s="25">
        <f>SUM(H46:J46)</f>
        <v>250000</v>
      </c>
      <c r="T46" s="25">
        <f>SUM(K46:M46)</f>
        <v>250000</v>
      </c>
      <c r="V46" s="25">
        <f>SUM(Q46:U46)</f>
        <v>1000000</v>
      </c>
    </row>
    <row r="47" spans="1:22" x14ac:dyDescent="0.2">
      <c r="A47" s="17"/>
    </row>
    <row r="48" spans="1:22" ht="13.5" thickBot="1" x14ac:dyDescent="0.25">
      <c r="A48" s="4" t="s">
        <v>16</v>
      </c>
      <c r="B48" s="24">
        <f t="shared" ref="B48:M48" si="23">+B42+B44+B46</f>
        <v>256627</v>
      </c>
      <c r="C48" s="24">
        <f t="shared" si="23"/>
        <v>305921</v>
      </c>
      <c r="D48" s="24">
        <f t="shared" si="23"/>
        <v>200225</v>
      </c>
      <c r="E48" s="24">
        <f t="shared" si="23"/>
        <v>364727.74</v>
      </c>
      <c r="F48" s="24">
        <f t="shared" si="23"/>
        <v>304964</v>
      </c>
      <c r="G48" s="24">
        <f t="shared" si="23"/>
        <v>290478</v>
      </c>
      <c r="H48" s="24">
        <f t="shared" si="23"/>
        <v>290478</v>
      </c>
      <c r="I48" s="24">
        <f t="shared" si="23"/>
        <v>290479</v>
      </c>
      <c r="J48" s="24">
        <f t="shared" si="23"/>
        <v>290478</v>
      </c>
      <c r="K48" s="24">
        <f t="shared" si="23"/>
        <v>241663</v>
      </c>
      <c r="L48" s="24">
        <f t="shared" si="23"/>
        <v>237114</v>
      </c>
      <c r="M48" s="24">
        <f t="shared" si="23"/>
        <v>236665</v>
      </c>
      <c r="O48" s="24">
        <f>+O42+O44+O46</f>
        <v>3309819.74</v>
      </c>
      <c r="Q48" s="24">
        <f>SUM(B48:D48)</f>
        <v>762773</v>
      </c>
      <c r="R48" s="24">
        <f>SUM(E48:G48)</f>
        <v>960169.74</v>
      </c>
      <c r="S48" s="24">
        <f>SUM(H48:J48)</f>
        <v>871435</v>
      </c>
      <c r="T48" s="24">
        <f>SUM(K48:M48)</f>
        <v>715442</v>
      </c>
      <c r="V48" s="24">
        <f>SUM(Q48:U48)</f>
        <v>3309819.74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23">
        <v>18518</v>
      </c>
      <c r="C51" s="23">
        <v>18518</v>
      </c>
      <c r="D51" s="23">
        <v>38518</v>
      </c>
      <c r="E51" s="23">
        <v>21667</v>
      </c>
      <c r="F51" s="23">
        <v>21667</v>
      </c>
      <c r="G51" s="23">
        <v>21666</v>
      </c>
      <c r="H51" s="23">
        <v>21667</v>
      </c>
      <c r="I51" s="23">
        <v>21667</v>
      </c>
      <c r="J51" s="23">
        <v>21666</v>
      </c>
      <c r="K51" s="23">
        <v>21667</v>
      </c>
      <c r="L51" s="23">
        <v>21667</v>
      </c>
      <c r="M51" s="23">
        <v>21666</v>
      </c>
      <c r="O51" s="23">
        <f t="shared" ref="O51:O57" si="24">SUM(B51:M51)</f>
        <v>270554</v>
      </c>
      <c r="Q51" s="23">
        <f t="shared" ref="Q51:Q58" si="25">SUM(B51:D51)</f>
        <v>75554</v>
      </c>
      <c r="R51" s="23">
        <f t="shared" ref="R51:R58" si="26">SUM(E51:G51)</f>
        <v>65000</v>
      </c>
      <c r="S51" s="23">
        <f t="shared" ref="S51:S58" si="27">SUM(H51:J51)</f>
        <v>65000</v>
      </c>
      <c r="T51" s="23">
        <f t="shared" ref="T51:T58" si="28">SUM(K51:M51)</f>
        <v>65000</v>
      </c>
      <c r="V51" s="23">
        <f t="shared" ref="V51:V58" si="29">SUM(Q51:U51)</f>
        <v>270554</v>
      </c>
    </row>
    <row r="52" spans="1:22" x14ac:dyDescent="0.2">
      <c r="A52" s="3" t="s">
        <v>1</v>
      </c>
      <c r="B52" s="23">
        <v>54000</v>
      </c>
      <c r="C52" s="23">
        <v>44182</v>
      </c>
      <c r="D52" s="23">
        <v>44182</v>
      </c>
      <c r="E52" s="23">
        <v>44182</v>
      </c>
      <c r="F52" s="23">
        <v>37782</v>
      </c>
      <c r="G52" s="23">
        <v>37782</v>
      </c>
      <c r="H52" s="23">
        <v>37782</v>
      </c>
      <c r="I52" s="23">
        <v>37782</v>
      </c>
      <c r="J52" s="23">
        <v>37782</v>
      </c>
      <c r="K52" s="23">
        <v>37782</v>
      </c>
      <c r="L52" s="23">
        <v>37782</v>
      </c>
      <c r="M52" s="23">
        <v>37780</v>
      </c>
      <c r="O52" s="23">
        <f t="shared" si="24"/>
        <v>488800</v>
      </c>
      <c r="Q52" s="23">
        <f t="shared" si="25"/>
        <v>142364</v>
      </c>
      <c r="R52" s="23">
        <f t="shared" si="26"/>
        <v>119746</v>
      </c>
      <c r="S52" s="23">
        <f t="shared" si="27"/>
        <v>113346</v>
      </c>
      <c r="T52" s="23">
        <f t="shared" si="28"/>
        <v>113344</v>
      </c>
      <c r="V52" s="23">
        <f t="shared" si="29"/>
        <v>488800</v>
      </c>
    </row>
    <row r="53" spans="1:22" x14ac:dyDescent="0.2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 t="shared" ref="F53:M53" si="30">F123</f>
        <v>8333.3333333333339</v>
      </c>
      <c r="G53" s="23">
        <f t="shared" si="30"/>
        <v>8583.3333333333339</v>
      </c>
      <c r="H53" s="23">
        <f t="shared" si="30"/>
        <v>8583.3333333333339</v>
      </c>
      <c r="I53" s="23">
        <f t="shared" si="30"/>
        <v>8583.3333333333339</v>
      </c>
      <c r="J53" s="23">
        <f t="shared" si="30"/>
        <v>8583.3333333333339</v>
      </c>
      <c r="K53" s="23">
        <f t="shared" si="30"/>
        <v>8583.3333333333339</v>
      </c>
      <c r="L53" s="23">
        <f t="shared" si="30"/>
        <v>8583.3333333333339</v>
      </c>
      <c r="M53" s="23">
        <f t="shared" si="30"/>
        <v>8583.3333333333339</v>
      </c>
      <c r="O53" s="23">
        <f t="shared" si="24"/>
        <v>68416.666666666672</v>
      </c>
      <c r="Q53" s="23">
        <f t="shared" si="25"/>
        <v>0</v>
      </c>
      <c r="R53" s="23">
        <f t="shared" si="26"/>
        <v>16916.666666666668</v>
      </c>
      <c r="S53" s="23">
        <f t="shared" si="27"/>
        <v>25750</v>
      </c>
      <c r="T53" s="23">
        <f t="shared" si="28"/>
        <v>25750</v>
      </c>
      <c r="V53" s="23">
        <f t="shared" si="29"/>
        <v>68416.666666666672</v>
      </c>
    </row>
    <row r="54" spans="1:22" x14ac:dyDescent="0.2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f t="shared" ref="F54:M54" si="31">F124</f>
        <v>2500</v>
      </c>
      <c r="G54" s="23">
        <f t="shared" si="31"/>
        <v>2575</v>
      </c>
      <c r="H54" s="23">
        <f t="shared" si="31"/>
        <v>2575</v>
      </c>
      <c r="I54" s="23">
        <f t="shared" si="31"/>
        <v>2575</v>
      </c>
      <c r="J54" s="23">
        <f t="shared" si="31"/>
        <v>2575</v>
      </c>
      <c r="K54" s="23">
        <f t="shared" si="31"/>
        <v>2575</v>
      </c>
      <c r="L54" s="23">
        <f t="shared" si="31"/>
        <v>2575</v>
      </c>
      <c r="M54" s="23">
        <f t="shared" si="31"/>
        <v>2575</v>
      </c>
      <c r="O54" s="23">
        <f t="shared" si="24"/>
        <v>20525</v>
      </c>
      <c r="Q54" s="23">
        <f t="shared" si="25"/>
        <v>0</v>
      </c>
      <c r="R54" s="23">
        <f t="shared" si="26"/>
        <v>5075</v>
      </c>
      <c r="S54" s="23">
        <f t="shared" si="27"/>
        <v>7725</v>
      </c>
      <c r="T54" s="23">
        <f t="shared" si="28"/>
        <v>7725</v>
      </c>
      <c r="V54" s="23">
        <f t="shared" si="29"/>
        <v>20525</v>
      </c>
    </row>
    <row r="55" spans="1:22" x14ac:dyDescent="0.2">
      <c r="A55" s="3" t="s">
        <v>5</v>
      </c>
      <c r="B55" s="23">
        <v>0</v>
      </c>
      <c r="C55" s="23">
        <v>2650</v>
      </c>
      <c r="D55" s="23">
        <v>-50786</v>
      </c>
      <c r="E55" s="23">
        <v>0</v>
      </c>
      <c r="F55" s="23">
        <f t="shared" ref="F55:M55" si="32">F125</f>
        <v>6250</v>
      </c>
      <c r="G55" s="23">
        <f t="shared" si="32"/>
        <v>6437.5</v>
      </c>
      <c r="H55" s="23">
        <f t="shared" si="32"/>
        <v>6437.5</v>
      </c>
      <c r="I55" s="23">
        <f t="shared" si="32"/>
        <v>6437.5</v>
      </c>
      <c r="J55" s="23">
        <f t="shared" si="32"/>
        <v>6437.5</v>
      </c>
      <c r="K55" s="23">
        <f t="shared" si="32"/>
        <v>6437.5</v>
      </c>
      <c r="L55" s="23">
        <f t="shared" si="32"/>
        <v>6437.5</v>
      </c>
      <c r="M55" s="23">
        <f t="shared" si="32"/>
        <v>6437.5</v>
      </c>
      <c r="O55" s="23">
        <f t="shared" si="24"/>
        <v>3176.5</v>
      </c>
      <c r="Q55" s="23">
        <f t="shared" si="25"/>
        <v>-48136</v>
      </c>
      <c r="R55" s="23">
        <f t="shared" si="26"/>
        <v>12687.5</v>
      </c>
      <c r="S55" s="23">
        <f t="shared" si="27"/>
        <v>19312.5</v>
      </c>
      <c r="T55" s="23">
        <f t="shared" si="28"/>
        <v>19312.5</v>
      </c>
      <c r="V55" s="23">
        <f t="shared" si="29"/>
        <v>3176.5</v>
      </c>
    </row>
    <row r="56" spans="1:22" x14ac:dyDescent="0.2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24"/>
        <v>0</v>
      </c>
      <c r="Q56" s="23">
        <f t="shared" si="25"/>
        <v>0</v>
      </c>
      <c r="R56" s="23">
        <f t="shared" si="26"/>
        <v>0</v>
      </c>
      <c r="S56" s="23">
        <f t="shared" si="27"/>
        <v>0</v>
      </c>
      <c r="T56" s="23">
        <f t="shared" si="28"/>
        <v>0</v>
      </c>
      <c r="V56" s="23">
        <f t="shared" si="29"/>
        <v>0</v>
      </c>
    </row>
    <row r="57" spans="1:22" x14ac:dyDescent="0.2">
      <c r="A57" s="3"/>
      <c r="O57" s="23">
        <f t="shared" si="24"/>
        <v>0</v>
      </c>
      <c r="Q57" s="23">
        <f t="shared" si="25"/>
        <v>0</v>
      </c>
      <c r="R57" s="23">
        <f t="shared" si="26"/>
        <v>0</v>
      </c>
      <c r="S57" s="23">
        <f t="shared" si="27"/>
        <v>0</v>
      </c>
      <c r="T57" s="23">
        <f t="shared" si="28"/>
        <v>0</v>
      </c>
      <c r="V57" s="23">
        <f t="shared" si="29"/>
        <v>0</v>
      </c>
    </row>
    <row r="58" spans="1:22" ht="13.5" thickBot="1" x14ac:dyDescent="0.25">
      <c r="A58" s="4" t="s">
        <v>15</v>
      </c>
      <c r="B58" s="28">
        <f t="shared" ref="B58:M58" si="33">SUM(B50:B57)</f>
        <v>72518</v>
      </c>
      <c r="C58" s="28">
        <f t="shared" si="33"/>
        <v>65350</v>
      </c>
      <c r="D58" s="28">
        <f t="shared" si="33"/>
        <v>31914</v>
      </c>
      <c r="E58" s="28">
        <f t="shared" si="33"/>
        <v>65849</v>
      </c>
      <c r="F58" s="28">
        <f t="shared" si="33"/>
        <v>76532.333333333328</v>
      </c>
      <c r="G58" s="28">
        <f t="shared" si="33"/>
        <v>77043.833333333328</v>
      </c>
      <c r="H58" s="28">
        <f t="shared" si="33"/>
        <v>77044.833333333328</v>
      </c>
      <c r="I58" s="28">
        <f t="shared" si="33"/>
        <v>77044.833333333328</v>
      </c>
      <c r="J58" s="28">
        <f t="shared" si="33"/>
        <v>77043.833333333328</v>
      </c>
      <c r="K58" s="28">
        <f t="shared" si="33"/>
        <v>77044.833333333328</v>
      </c>
      <c r="L58" s="28">
        <f t="shared" si="33"/>
        <v>77044.833333333328</v>
      </c>
      <c r="M58" s="28">
        <f t="shared" si="33"/>
        <v>77041.833333333328</v>
      </c>
      <c r="O58" s="28">
        <f>SUM(O50:O57)</f>
        <v>851472.16666666663</v>
      </c>
      <c r="Q58" s="28">
        <f t="shared" si="25"/>
        <v>169782</v>
      </c>
      <c r="R58" s="28">
        <f t="shared" si="26"/>
        <v>219425.16666666663</v>
      </c>
      <c r="S58" s="28">
        <f t="shared" si="27"/>
        <v>231133.5</v>
      </c>
      <c r="T58" s="28">
        <f t="shared" si="28"/>
        <v>231131.5</v>
      </c>
      <c r="V58" s="28">
        <f t="shared" si="29"/>
        <v>851472.16666666663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">
      <c r="A62" s="3" t="s">
        <v>7</v>
      </c>
      <c r="B62" s="23">
        <f>784609-6856</f>
        <v>777753</v>
      </c>
      <c r="C62" s="23">
        <v>526000</v>
      </c>
      <c r="D62" s="23">
        <v>512530</v>
      </c>
      <c r="E62" s="23">
        <v>617881</v>
      </c>
      <c r="F62" s="23">
        <f>'[1]99 Peakers'!$Q$16</f>
        <v>621431.36032616696</v>
      </c>
      <c r="G62" s="23">
        <f>'[1]99 Peakers'!$Q$17</f>
        <v>625569.68658348941</v>
      </c>
      <c r="H62" s="23">
        <f>'[1]99 Peakers'!$Q$18</f>
        <v>608716.51648303866</v>
      </c>
      <c r="I62" s="23">
        <f>'[1]99 Peakers'!$Q$19</f>
        <v>543704.8617112108</v>
      </c>
      <c r="J62" s="23">
        <f>'[1]99 Peakers'!$Q$20</f>
        <v>470634.8229760353</v>
      </c>
      <c r="K62" s="23">
        <f>'[1]99 Peakers'!$Q$21</f>
        <v>471738.23403104459</v>
      </c>
      <c r="L62" s="23">
        <f>'[1]99 Peakers'!$Q$22</f>
        <v>475855.93022926815</v>
      </c>
      <c r="M62" s="23">
        <f>'[1]99 Peakers'!$Q$23</f>
        <v>454611.45277225535</v>
      </c>
      <c r="O62" s="23">
        <f>SUM(B62:M62)</f>
        <v>6706426.8651125086</v>
      </c>
      <c r="Q62" s="23">
        <f>SUM(B62:D62)</f>
        <v>1816283</v>
      </c>
      <c r="R62" s="23">
        <f>SUM(E62:G62)</f>
        <v>1864882.0469096564</v>
      </c>
      <c r="S62" s="23">
        <f>SUM(H62:J62)</f>
        <v>1623056.2011702848</v>
      </c>
      <c r="T62" s="23">
        <f>SUM(K62:M62)</f>
        <v>1402205.617032568</v>
      </c>
      <c r="V62" s="23">
        <f>SUM(Q62:U62)</f>
        <v>6706426.8651125086</v>
      </c>
    </row>
    <row r="63" spans="1:22" x14ac:dyDescent="0.2">
      <c r="A63" s="3" t="s">
        <v>8</v>
      </c>
      <c r="B63" s="23">
        <v>371072</v>
      </c>
      <c r="C63" s="23">
        <v>382501</v>
      </c>
      <c r="D63" s="23">
        <v>369722</v>
      </c>
      <c r="E63" s="23">
        <v>373966</v>
      </c>
      <c r="F63" s="23">
        <v>373966</v>
      </c>
      <c r="G63" s="23">
        <v>373966</v>
      </c>
      <c r="H63" s="23">
        <v>373966</v>
      </c>
      <c r="I63" s="23">
        <v>373966</v>
      </c>
      <c r="J63" s="23">
        <v>373966</v>
      </c>
      <c r="K63" s="23">
        <v>373966</v>
      </c>
      <c r="L63" s="23">
        <v>373966</v>
      </c>
      <c r="M63" s="23">
        <v>373966</v>
      </c>
      <c r="O63" s="23">
        <f>SUM(B63:M63)</f>
        <v>4488989</v>
      </c>
      <c r="Q63" s="23">
        <f>SUM(B63:D63)</f>
        <v>1123295</v>
      </c>
      <c r="R63" s="23">
        <f>SUM(E63:G63)</f>
        <v>1121898</v>
      </c>
      <c r="S63" s="23">
        <f>SUM(H63:J63)</f>
        <v>1121898</v>
      </c>
      <c r="T63" s="23">
        <f>SUM(K63:M63)</f>
        <v>1121898</v>
      </c>
      <c r="V63" s="23">
        <f>SUM(Q63:U63)</f>
        <v>4488989</v>
      </c>
    </row>
    <row r="64" spans="1:22" x14ac:dyDescent="0.2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5" thickBot="1" x14ac:dyDescent="0.25">
      <c r="A65" s="4" t="s">
        <v>17</v>
      </c>
      <c r="B65" s="28">
        <f t="shared" ref="B65:M65" si="34">SUM(B60:B64)</f>
        <v>1148825</v>
      </c>
      <c r="C65" s="28">
        <f t="shared" si="34"/>
        <v>908501</v>
      </c>
      <c r="D65" s="28">
        <f t="shared" si="34"/>
        <v>882252</v>
      </c>
      <c r="E65" s="28">
        <f t="shared" si="34"/>
        <v>991847</v>
      </c>
      <c r="F65" s="28">
        <f t="shared" si="34"/>
        <v>995397.36032616696</v>
      </c>
      <c r="G65" s="28">
        <f t="shared" si="34"/>
        <v>999535.68658348941</v>
      </c>
      <c r="H65" s="28">
        <f t="shared" si="34"/>
        <v>982682.51648303866</v>
      </c>
      <c r="I65" s="28">
        <f t="shared" si="34"/>
        <v>917670.8617112108</v>
      </c>
      <c r="J65" s="28">
        <f t="shared" si="34"/>
        <v>844600.8229760353</v>
      </c>
      <c r="K65" s="28">
        <f t="shared" si="34"/>
        <v>845704.23403104465</v>
      </c>
      <c r="L65" s="28">
        <f t="shared" si="34"/>
        <v>849821.93022926815</v>
      </c>
      <c r="M65" s="28">
        <f t="shared" si="34"/>
        <v>828577.45277225529</v>
      </c>
      <c r="O65" s="28">
        <f>SUM(O60:O64)</f>
        <v>11195415.86511251</v>
      </c>
      <c r="Q65" s="28">
        <f>SUM(B65:D65)</f>
        <v>2939578</v>
      </c>
      <c r="R65" s="28">
        <f>SUM(E65:G65)</f>
        <v>2986780.0469096564</v>
      </c>
      <c r="S65" s="28">
        <f>SUM(H65:J65)</f>
        <v>2744954.2011702848</v>
      </c>
      <c r="T65" s="28">
        <f>SUM(K65:M65)</f>
        <v>2524103.617032568</v>
      </c>
      <c r="V65" s="28">
        <f>SUM(Q65:U65)</f>
        <v>11195415.86511251</v>
      </c>
    </row>
    <row r="67" spans="1:22" ht="13.5" thickBot="1" x14ac:dyDescent="0.25">
      <c r="A67" s="1" t="s">
        <v>13</v>
      </c>
      <c r="B67" s="29">
        <f t="shared" ref="B67:M67" si="35">+B10+B48+B58+B65</f>
        <v>1477970</v>
      </c>
      <c r="C67" s="29">
        <f t="shared" si="35"/>
        <v>1279772</v>
      </c>
      <c r="D67" s="29">
        <f t="shared" si="35"/>
        <v>1114391</v>
      </c>
      <c r="E67" s="29">
        <f t="shared" si="35"/>
        <v>1422423.74</v>
      </c>
      <c r="F67" s="29">
        <f t="shared" si="35"/>
        <v>1376893.6936595002</v>
      </c>
      <c r="G67" s="29">
        <f t="shared" si="35"/>
        <v>1367057.5199168227</v>
      </c>
      <c r="H67" s="29">
        <f t="shared" si="35"/>
        <v>1350205.3498163719</v>
      </c>
      <c r="I67" s="29">
        <f t="shared" si="35"/>
        <v>1285194.6950445441</v>
      </c>
      <c r="J67" s="29">
        <f t="shared" si="35"/>
        <v>1212122.6563093686</v>
      </c>
      <c r="K67" s="29">
        <f t="shared" si="35"/>
        <v>1164412.0673643779</v>
      </c>
      <c r="L67" s="29">
        <f t="shared" si="35"/>
        <v>1163980.7635626015</v>
      </c>
      <c r="M67" s="29">
        <f t="shared" si="35"/>
        <v>1142284.2861055885</v>
      </c>
      <c r="O67" s="29">
        <f>+O10+O48+O58+O65</f>
        <v>15356707.771779176</v>
      </c>
      <c r="Q67" s="29">
        <f>SUM(B67:D67)</f>
        <v>3872133</v>
      </c>
      <c r="R67" s="29">
        <f>SUM(E67:G67)</f>
        <v>4166374.9535763231</v>
      </c>
      <c r="S67" s="29">
        <f>SUM(H67:J67)</f>
        <v>3847522.7011702848</v>
      </c>
      <c r="T67" s="29">
        <f>SUM(K67:M67)</f>
        <v>3470677.117032568</v>
      </c>
      <c r="V67" s="29">
        <f>SUM(Q67:U67)</f>
        <v>15356707.771779176</v>
      </c>
    </row>
    <row r="68" spans="1:22" ht="13.5" thickTop="1" x14ac:dyDescent="0.2">
      <c r="A68" s="40" t="s">
        <v>80</v>
      </c>
      <c r="B68" s="26">
        <f>777753+371072+240860+88285+133333</f>
        <v>1611303</v>
      </c>
      <c r="C68" s="26">
        <f>526000+382501-10427+92232+133333</f>
        <v>1123639</v>
      </c>
      <c r="D68" s="26">
        <f>1197253-1241-364</f>
        <v>1195648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">
      <c r="A69" s="40" t="s">
        <v>27</v>
      </c>
      <c r="B69" s="26">
        <f>B67-B68</f>
        <v>-133333</v>
      </c>
      <c r="C69" s="26">
        <f>C67-C68</f>
        <v>156133</v>
      </c>
      <c r="D69" s="26">
        <f>D67-D68</f>
        <v>-81257</v>
      </c>
      <c r="E69" s="26">
        <f>SUM(B69:D69)</f>
        <v>-58457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75" x14ac:dyDescent="0.25">
      <c r="A71" s="43" t="str">
        <f>+A1</f>
        <v>GENCO - New Albany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75" x14ac:dyDescent="0.25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75" x14ac:dyDescent="0.25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36697.489055902777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">
      <c r="A82" s="1" t="s">
        <v>10</v>
      </c>
    </row>
    <row r="83" spans="1:22" x14ac:dyDescent="0.2">
      <c r="A83" s="17" t="s">
        <v>49</v>
      </c>
    </row>
    <row r="84" spans="1:22" x14ac:dyDescent="0.2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09" si="36">SUM(B85:M85)</f>
        <v>9500</v>
      </c>
      <c r="Q85" s="23">
        <f t="shared" ref="Q85:Q109" si="37">SUM(B85:D85)</f>
        <v>1629</v>
      </c>
      <c r="R85" s="23">
        <f t="shared" ref="R85:R109" si="38">SUM(E85:G85)</f>
        <v>2823</v>
      </c>
      <c r="S85" s="23">
        <f t="shared" ref="S85:S109" si="39">SUM(H85:J85)</f>
        <v>3420</v>
      </c>
      <c r="T85" s="23">
        <f t="shared" ref="T85:T109" si="40">SUM(K85:M85)</f>
        <v>1628</v>
      </c>
      <c r="V85" s="23">
        <f t="shared" ref="V85:V112" si="41">SUM(Q85:U85)</f>
        <v>9500</v>
      </c>
    </row>
    <row r="86" spans="1:22" x14ac:dyDescent="0.2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36"/>
        <v>0</v>
      </c>
      <c r="Q86" s="23">
        <f t="shared" si="37"/>
        <v>0</v>
      </c>
      <c r="R86" s="23">
        <f t="shared" si="38"/>
        <v>0</v>
      </c>
      <c r="S86" s="23">
        <f t="shared" si="39"/>
        <v>0</v>
      </c>
      <c r="T86" s="23">
        <f t="shared" si="40"/>
        <v>0</v>
      </c>
      <c r="V86" s="23">
        <f t="shared" si="41"/>
        <v>0</v>
      </c>
    </row>
    <row r="87" spans="1:22" x14ac:dyDescent="0.2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36"/>
        <v>0</v>
      </c>
      <c r="Q87" s="23">
        <f t="shared" si="37"/>
        <v>0</v>
      </c>
      <c r="R87" s="23">
        <f t="shared" si="38"/>
        <v>0</v>
      </c>
      <c r="S87" s="23">
        <f t="shared" si="39"/>
        <v>0</v>
      </c>
      <c r="T87" s="23">
        <f t="shared" si="40"/>
        <v>0</v>
      </c>
      <c r="V87" s="23">
        <f t="shared" si="41"/>
        <v>0</v>
      </c>
    </row>
    <row r="88" spans="1:22" x14ac:dyDescent="0.2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36"/>
        <v>0</v>
      </c>
      <c r="Q88" s="23">
        <f t="shared" si="37"/>
        <v>0</v>
      </c>
      <c r="R88" s="23">
        <f t="shared" si="38"/>
        <v>0</v>
      </c>
      <c r="S88" s="23">
        <f t="shared" si="39"/>
        <v>0</v>
      </c>
      <c r="T88" s="23">
        <f t="shared" si="40"/>
        <v>0</v>
      </c>
      <c r="V88" s="23">
        <f t="shared" si="41"/>
        <v>0</v>
      </c>
    </row>
    <row r="89" spans="1:22" x14ac:dyDescent="0.2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36"/>
        <v>0</v>
      </c>
      <c r="Q89" s="23">
        <f t="shared" si="37"/>
        <v>0</v>
      </c>
      <c r="R89" s="23">
        <f t="shared" si="38"/>
        <v>0</v>
      </c>
      <c r="S89" s="23">
        <f t="shared" si="39"/>
        <v>0</v>
      </c>
      <c r="T89" s="23">
        <f t="shared" si="40"/>
        <v>0</v>
      </c>
      <c r="V89" s="23">
        <f t="shared" si="41"/>
        <v>0</v>
      </c>
    </row>
    <row r="90" spans="1:22" x14ac:dyDescent="0.2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36"/>
        <v>0</v>
      </c>
      <c r="Q90" s="23">
        <f t="shared" si="37"/>
        <v>0</v>
      </c>
      <c r="R90" s="23">
        <f t="shared" si="38"/>
        <v>0</v>
      </c>
      <c r="S90" s="23">
        <f t="shared" si="39"/>
        <v>0</v>
      </c>
      <c r="T90" s="23">
        <f t="shared" si="40"/>
        <v>0</v>
      </c>
      <c r="V90" s="23">
        <f t="shared" si="41"/>
        <v>0</v>
      </c>
    </row>
    <row r="91" spans="1:22" x14ac:dyDescent="0.2">
      <c r="A91" s="18" t="s">
        <v>92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36"/>
        <v>0</v>
      </c>
      <c r="Q91" s="23">
        <f t="shared" si="37"/>
        <v>0</v>
      </c>
      <c r="R91" s="23">
        <f t="shared" si="38"/>
        <v>0</v>
      </c>
      <c r="S91" s="23">
        <f t="shared" si="39"/>
        <v>0</v>
      </c>
      <c r="T91" s="23">
        <f t="shared" si="40"/>
        <v>0</v>
      </c>
      <c r="V91" s="23">
        <f t="shared" si="41"/>
        <v>0</v>
      </c>
    </row>
    <row r="92" spans="1:22" x14ac:dyDescent="0.2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36"/>
        <v>5500</v>
      </c>
      <c r="Q92" s="23">
        <f t="shared" si="37"/>
        <v>1374</v>
      </c>
      <c r="R92" s="23">
        <f t="shared" si="38"/>
        <v>1374</v>
      </c>
      <c r="S92" s="23">
        <f t="shared" si="39"/>
        <v>1374</v>
      </c>
      <c r="T92" s="23">
        <f t="shared" si="40"/>
        <v>1378</v>
      </c>
      <c r="V92" s="23">
        <f t="shared" si="41"/>
        <v>5500</v>
      </c>
    </row>
    <row r="93" spans="1:22" x14ac:dyDescent="0.2">
      <c r="A93" s="18" t="s">
        <v>45</v>
      </c>
      <c r="B93" s="23">
        <v>86</v>
      </c>
      <c r="C93" s="23">
        <v>86</v>
      </c>
      <c r="D93" s="23">
        <v>86</v>
      </c>
      <c r="E93" s="23">
        <v>5086</v>
      </c>
      <c r="F93" s="23">
        <v>12180</v>
      </c>
      <c r="G93" s="23">
        <v>12180</v>
      </c>
      <c r="H93" s="23">
        <v>12180</v>
      </c>
      <c r="I93" s="23">
        <v>12180</v>
      </c>
      <c r="J93" s="23">
        <v>12180</v>
      </c>
      <c r="K93" s="23">
        <v>5086</v>
      </c>
      <c r="L93" s="23">
        <v>86</v>
      </c>
      <c r="M93" s="23">
        <v>84</v>
      </c>
      <c r="O93" s="23">
        <f t="shared" si="36"/>
        <v>71500</v>
      </c>
      <c r="Q93" s="23">
        <f t="shared" si="37"/>
        <v>258</v>
      </c>
      <c r="R93" s="23">
        <f t="shared" si="38"/>
        <v>29446</v>
      </c>
      <c r="S93" s="23">
        <f t="shared" si="39"/>
        <v>36540</v>
      </c>
      <c r="T93" s="23">
        <f t="shared" si="40"/>
        <v>5256</v>
      </c>
      <c r="V93" s="23">
        <f t="shared" si="41"/>
        <v>71500</v>
      </c>
    </row>
    <row r="94" spans="1:22" x14ac:dyDescent="0.2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36"/>
        <v>1500</v>
      </c>
      <c r="Q94" s="23">
        <f t="shared" si="37"/>
        <v>258</v>
      </c>
      <c r="R94" s="23">
        <f t="shared" si="38"/>
        <v>446</v>
      </c>
      <c r="S94" s="23">
        <f t="shared" si="39"/>
        <v>540</v>
      </c>
      <c r="T94" s="23">
        <f t="shared" si="40"/>
        <v>256</v>
      </c>
      <c r="V94" s="23">
        <f t="shared" si="41"/>
        <v>1500</v>
      </c>
    </row>
    <row r="95" spans="1:22" x14ac:dyDescent="0.2">
      <c r="A95" s="18" t="s">
        <v>67</v>
      </c>
      <c r="B95" s="23">
        <v>857</v>
      </c>
      <c r="C95" s="23">
        <v>857</v>
      </c>
      <c r="D95" s="23">
        <v>857</v>
      </c>
      <c r="E95" s="23">
        <v>857</v>
      </c>
      <c r="F95" s="23">
        <v>1800</v>
      </c>
      <c r="G95" s="23">
        <v>1800</v>
      </c>
      <c r="H95" s="23">
        <v>1800</v>
      </c>
      <c r="I95" s="23">
        <v>1800</v>
      </c>
      <c r="J95" s="23">
        <v>1800</v>
      </c>
      <c r="K95" s="23">
        <v>857</v>
      </c>
      <c r="L95" s="23">
        <v>857</v>
      </c>
      <c r="M95" s="23">
        <v>858</v>
      </c>
      <c r="O95" s="23">
        <f t="shared" si="36"/>
        <v>15000</v>
      </c>
      <c r="Q95" s="23">
        <f t="shared" si="37"/>
        <v>2571</v>
      </c>
      <c r="R95" s="23">
        <f t="shared" si="38"/>
        <v>4457</v>
      </c>
      <c r="S95" s="23">
        <f t="shared" si="39"/>
        <v>5400</v>
      </c>
      <c r="T95" s="23">
        <f t="shared" si="40"/>
        <v>2572</v>
      </c>
      <c r="V95" s="23">
        <f t="shared" si="41"/>
        <v>15000</v>
      </c>
    </row>
    <row r="96" spans="1:22" x14ac:dyDescent="0.2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6"/>
        <v>0</v>
      </c>
      <c r="Q96" s="23">
        <f t="shared" si="37"/>
        <v>0</v>
      </c>
      <c r="R96" s="23">
        <f t="shared" si="38"/>
        <v>0</v>
      </c>
      <c r="S96" s="23">
        <f t="shared" si="39"/>
        <v>0</v>
      </c>
      <c r="T96" s="23">
        <f t="shared" si="40"/>
        <v>0</v>
      </c>
      <c r="V96" s="23">
        <f t="shared" si="41"/>
        <v>0</v>
      </c>
    </row>
    <row r="97" spans="1:22" x14ac:dyDescent="0.2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36"/>
        <v>4000</v>
      </c>
      <c r="Q97" s="23">
        <f t="shared" si="37"/>
        <v>999</v>
      </c>
      <c r="R97" s="23">
        <f t="shared" si="38"/>
        <v>999</v>
      </c>
      <c r="S97" s="23">
        <f t="shared" si="39"/>
        <v>999</v>
      </c>
      <c r="T97" s="23">
        <f t="shared" si="40"/>
        <v>1003</v>
      </c>
      <c r="V97" s="23">
        <f t="shared" si="41"/>
        <v>4000</v>
      </c>
    </row>
    <row r="98" spans="1:22" x14ac:dyDescent="0.2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9660</v>
      </c>
      <c r="G100" s="23">
        <v>9660</v>
      </c>
      <c r="H100" s="23">
        <v>9660</v>
      </c>
      <c r="I100" s="23">
        <v>9660</v>
      </c>
      <c r="J100" s="23">
        <v>9660</v>
      </c>
      <c r="K100" s="23">
        <v>600</v>
      </c>
      <c r="L100" s="23">
        <v>600</v>
      </c>
      <c r="M100" s="23">
        <v>600</v>
      </c>
      <c r="O100" s="23">
        <f t="shared" si="36"/>
        <v>52500</v>
      </c>
      <c r="Q100" s="23">
        <f t="shared" si="37"/>
        <v>1800</v>
      </c>
      <c r="R100" s="23">
        <f t="shared" si="38"/>
        <v>19920</v>
      </c>
      <c r="S100" s="23">
        <f t="shared" si="39"/>
        <v>28980</v>
      </c>
      <c r="T100" s="23">
        <f t="shared" si="40"/>
        <v>1800</v>
      </c>
      <c r="V100" s="23">
        <f t="shared" si="41"/>
        <v>52500</v>
      </c>
    </row>
    <row r="101" spans="1:22" x14ac:dyDescent="0.2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36"/>
        <v>46200</v>
      </c>
      <c r="Q101" s="23">
        <f t="shared" si="37"/>
        <v>9624</v>
      </c>
      <c r="R101" s="23">
        <f t="shared" si="38"/>
        <v>12704</v>
      </c>
      <c r="S101" s="23">
        <f t="shared" si="39"/>
        <v>14244</v>
      </c>
      <c r="T101" s="23">
        <f t="shared" si="40"/>
        <v>9628</v>
      </c>
      <c r="V101" s="23">
        <f t="shared" si="41"/>
        <v>46200</v>
      </c>
    </row>
    <row r="102" spans="1:22" x14ac:dyDescent="0.2">
      <c r="A102" s="18" t="s">
        <v>71</v>
      </c>
      <c r="B102" s="30">
        <f>8952+1</f>
        <v>8953</v>
      </c>
      <c r="C102" s="23">
        <v>8953</v>
      </c>
      <c r="D102" s="23">
        <v>8953</v>
      </c>
      <c r="E102" s="23">
        <v>8953</v>
      </c>
      <c r="F102" s="23">
        <v>24268</v>
      </c>
      <c r="G102" s="23">
        <v>9268</v>
      </c>
      <c r="H102" s="23">
        <v>9268</v>
      </c>
      <c r="I102" s="23">
        <v>9268</v>
      </c>
      <c r="J102" s="23">
        <v>9268</v>
      </c>
      <c r="K102" s="23">
        <v>8953</v>
      </c>
      <c r="L102" s="23">
        <v>8953</v>
      </c>
      <c r="M102" s="30">
        <f>8953-11</f>
        <v>8942</v>
      </c>
      <c r="O102" s="23">
        <f t="shared" si="36"/>
        <v>124000</v>
      </c>
      <c r="Q102" s="23">
        <f t="shared" si="37"/>
        <v>26859</v>
      </c>
      <c r="R102" s="23">
        <f t="shared" si="38"/>
        <v>42489</v>
      </c>
      <c r="S102" s="23">
        <f t="shared" si="39"/>
        <v>27804</v>
      </c>
      <c r="T102" s="23">
        <f t="shared" si="40"/>
        <v>26848</v>
      </c>
      <c r="V102" s="23">
        <f t="shared" si="41"/>
        <v>124000</v>
      </c>
    </row>
    <row r="103" spans="1:22" x14ac:dyDescent="0.2">
      <c r="A103" s="18" t="s">
        <v>44</v>
      </c>
      <c r="B103" s="23">
        <v>83297</v>
      </c>
      <c r="C103" s="23">
        <v>83297</v>
      </c>
      <c r="D103" s="23">
        <v>83297</v>
      </c>
      <c r="E103" s="23">
        <v>83297</v>
      </c>
      <c r="F103" s="23">
        <v>100212</v>
      </c>
      <c r="G103" s="23">
        <v>100212</v>
      </c>
      <c r="H103" s="23">
        <v>100212</v>
      </c>
      <c r="I103" s="23">
        <v>100212</v>
      </c>
      <c r="J103" s="23">
        <v>100212</v>
      </c>
      <c r="K103" s="23">
        <v>83297</v>
      </c>
      <c r="L103" s="23">
        <v>83297</v>
      </c>
      <c r="M103" s="30">
        <f>83297+4</f>
        <v>83301</v>
      </c>
      <c r="O103" s="23">
        <f t="shared" si="36"/>
        <v>1084143</v>
      </c>
      <c r="Q103" s="23">
        <f t="shared" si="37"/>
        <v>249891</v>
      </c>
      <c r="R103" s="23">
        <f t="shared" si="38"/>
        <v>283721</v>
      </c>
      <c r="S103" s="23">
        <f t="shared" si="39"/>
        <v>300636</v>
      </c>
      <c r="T103" s="23">
        <f t="shared" si="40"/>
        <v>249895</v>
      </c>
      <c r="V103" s="23">
        <f t="shared" si="41"/>
        <v>1084143</v>
      </c>
    </row>
    <row r="104" spans="1:22" x14ac:dyDescent="0.2">
      <c r="A104" s="18" t="s">
        <v>47</v>
      </c>
      <c r="B104" s="23">
        <v>4075</v>
      </c>
      <c r="C104" s="23">
        <v>4075</v>
      </c>
      <c r="D104" s="23">
        <v>4075</v>
      </c>
      <c r="E104" s="23">
        <v>4075</v>
      </c>
      <c r="F104" s="23">
        <v>4075</v>
      </c>
      <c r="G104" s="23">
        <v>4075</v>
      </c>
      <c r="H104" s="23">
        <v>4075</v>
      </c>
      <c r="I104" s="23">
        <v>4075</v>
      </c>
      <c r="J104" s="23">
        <v>4075</v>
      </c>
      <c r="K104" s="23">
        <v>4075</v>
      </c>
      <c r="L104" s="23">
        <v>4075</v>
      </c>
      <c r="M104" s="23">
        <v>4075</v>
      </c>
      <c r="O104" s="23">
        <f t="shared" si="36"/>
        <v>48900</v>
      </c>
      <c r="Q104" s="23">
        <f t="shared" si="37"/>
        <v>12225</v>
      </c>
      <c r="R104" s="23">
        <f t="shared" si="38"/>
        <v>12225</v>
      </c>
      <c r="S104" s="23">
        <f t="shared" si="39"/>
        <v>12225</v>
      </c>
      <c r="T104" s="23">
        <f t="shared" si="40"/>
        <v>12225</v>
      </c>
      <c r="V104" s="23">
        <f t="shared" si="41"/>
        <v>48900</v>
      </c>
    </row>
    <row r="105" spans="1:22" x14ac:dyDescent="0.2">
      <c r="A105" s="18" t="s">
        <v>2</v>
      </c>
      <c r="B105" s="23">
        <f>3850+17180</f>
        <v>21030</v>
      </c>
      <c r="C105" s="23">
        <f>3850+17180</f>
        <v>21030</v>
      </c>
      <c r="D105" s="23">
        <f>3850+17180</f>
        <v>21030</v>
      </c>
      <c r="E105" s="23">
        <f>4600+17180</f>
        <v>21780</v>
      </c>
      <c r="F105" s="23">
        <f>3850+17180</f>
        <v>21030</v>
      </c>
      <c r="G105" s="23">
        <f>3850+17695</f>
        <v>21545</v>
      </c>
      <c r="H105" s="23">
        <f>3850+17695</f>
        <v>21545</v>
      </c>
      <c r="I105" s="23">
        <f>3850+17695</f>
        <v>21545</v>
      </c>
      <c r="J105" s="23">
        <f>3850+17695</f>
        <v>21545</v>
      </c>
      <c r="K105" s="23">
        <f>3850+17695</f>
        <v>21545</v>
      </c>
      <c r="L105" s="23">
        <f>4300+17695</f>
        <v>21995</v>
      </c>
      <c r="M105" s="23">
        <f>3850+17695</f>
        <v>21545</v>
      </c>
      <c r="O105" s="23">
        <f>SUM(B105:M105)</f>
        <v>257165</v>
      </c>
      <c r="Q105" s="23">
        <f>SUM(B105:D105)</f>
        <v>63090</v>
      </c>
      <c r="R105" s="23">
        <f>SUM(E105:G105)</f>
        <v>64355</v>
      </c>
      <c r="S105" s="23">
        <f>SUM(H105:J105)</f>
        <v>64635</v>
      </c>
      <c r="T105" s="23">
        <f>SUM(K105:M105)</f>
        <v>65085</v>
      </c>
      <c r="V105" s="23">
        <f>SUM(Q105:U105)</f>
        <v>257165</v>
      </c>
    </row>
    <row r="106" spans="1:22" x14ac:dyDescent="0.2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36"/>
        <v>195000</v>
      </c>
      <c r="Q108" s="23">
        <f t="shared" si="37"/>
        <v>33429</v>
      </c>
      <c r="R108" s="23">
        <f t="shared" si="38"/>
        <v>57943</v>
      </c>
      <c r="S108" s="23">
        <f t="shared" si="39"/>
        <v>70200</v>
      </c>
      <c r="T108" s="23">
        <f t="shared" si="40"/>
        <v>33428</v>
      </c>
      <c r="V108" s="23">
        <f t="shared" si="41"/>
        <v>195000</v>
      </c>
    </row>
    <row r="109" spans="1:22" x14ac:dyDescent="0.2">
      <c r="A109" s="18" t="s">
        <v>74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6"/>
        <v>0</v>
      </c>
      <c r="Q109" s="23">
        <f t="shared" si="37"/>
        <v>0</v>
      </c>
      <c r="R109" s="23">
        <f t="shared" si="38"/>
        <v>0</v>
      </c>
      <c r="S109" s="23">
        <f t="shared" si="39"/>
        <v>0</v>
      </c>
      <c r="T109" s="23">
        <f t="shared" si="40"/>
        <v>0</v>
      </c>
      <c r="V109" s="23">
        <f t="shared" si="41"/>
        <v>0</v>
      </c>
    </row>
    <row r="110" spans="1:22" x14ac:dyDescent="0.2">
      <c r="A110" s="18" t="s">
        <v>96</v>
      </c>
    </row>
    <row r="111" spans="1:22" x14ac:dyDescent="0.2">
      <c r="A111" s="18"/>
    </row>
    <row r="112" spans="1:22" x14ac:dyDescent="0.2">
      <c r="A112" s="19" t="s">
        <v>28</v>
      </c>
      <c r="B112" s="27">
        <f>SUM(B83:B110)</f>
        <v>135648</v>
      </c>
      <c r="C112" s="27">
        <f t="shared" ref="C112:O112" si="42">SUM(C83:C110)</f>
        <v>135648</v>
      </c>
      <c r="D112" s="27">
        <f t="shared" si="42"/>
        <v>150648</v>
      </c>
      <c r="E112" s="27">
        <f t="shared" si="42"/>
        <v>141398</v>
      </c>
      <c r="F112" s="27">
        <f t="shared" si="42"/>
        <v>204463</v>
      </c>
      <c r="G112" s="27">
        <f t="shared" si="42"/>
        <v>189978</v>
      </c>
      <c r="H112" s="27">
        <f t="shared" si="42"/>
        <v>189978</v>
      </c>
      <c r="I112" s="27">
        <f t="shared" si="42"/>
        <v>189978</v>
      </c>
      <c r="J112" s="27">
        <f t="shared" si="42"/>
        <v>189978</v>
      </c>
      <c r="K112" s="27">
        <f t="shared" si="42"/>
        <v>141163</v>
      </c>
      <c r="L112" s="27">
        <f t="shared" si="42"/>
        <v>136613</v>
      </c>
      <c r="M112" s="27">
        <f t="shared" si="42"/>
        <v>136165</v>
      </c>
      <c r="O112" s="27">
        <f t="shared" si="42"/>
        <v>1941658</v>
      </c>
      <c r="Q112" s="27">
        <f>SUM(Q83:Q110)</f>
        <v>421944</v>
      </c>
      <c r="R112" s="27">
        <f>SUM(R83:R110)</f>
        <v>535839</v>
      </c>
      <c r="S112" s="27">
        <f>SUM(S83:S110)</f>
        <v>569934</v>
      </c>
      <c r="T112" s="27">
        <f>SUM(T83:T110)</f>
        <v>413941</v>
      </c>
      <c r="V112" s="27">
        <f t="shared" si="41"/>
        <v>1941658</v>
      </c>
    </row>
    <row r="113" spans="1:22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f>206000/12</f>
        <v>17166.666666666668</v>
      </c>
      <c r="H114" s="25">
        <f t="shared" ref="H114:M114" si="43">206000/12</f>
        <v>17166.666666666668</v>
      </c>
      <c r="I114" s="25">
        <f t="shared" si="43"/>
        <v>17166.666666666668</v>
      </c>
      <c r="J114" s="25">
        <f t="shared" si="43"/>
        <v>17166.666666666668</v>
      </c>
      <c r="K114" s="25">
        <f t="shared" si="43"/>
        <v>17166.666666666668</v>
      </c>
      <c r="L114" s="25">
        <f t="shared" si="43"/>
        <v>17166.666666666668</v>
      </c>
      <c r="M114" s="25">
        <f t="shared" si="43"/>
        <v>17166.666666666668</v>
      </c>
      <c r="O114" s="25">
        <f>SUM(B114:M114)</f>
        <v>203499.99999999997</v>
      </c>
      <c r="Q114" s="25">
        <f>SUM(B114:D114)</f>
        <v>50000</v>
      </c>
      <c r="R114" s="25">
        <f>SUM(E114:G114)</f>
        <v>50500</v>
      </c>
      <c r="S114" s="25">
        <f>SUM(H114:J114)</f>
        <v>51500</v>
      </c>
      <c r="T114" s="25">
        <f>SUM(K114:M114)</f>
        <v>51500</v>
      </c>
      <c r="V114" s="25">
        <f>SUM(Q114:U114)</f>
        <v>203500</v>
      </c>
    </row>
    <row r="115" spans="1:22" x14ac:dyDescent="0.2">
      <c r="A115" s="17"/>
    </row>
    <row r="116" spans="1:22" x14ac:dyDescent="0.2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24">
        <f t="shared" ref="B118:M118" si="44">+B112+B114+B116</f>
        <v>202314.66666666666</v>
      </c>
      <c r="C118" s="24">
        <f t="shared" si="44"/>
        <v>202314.66666666666</v>
      </c>
      <c r="D118" s="24">
        <f t="shared" si="44"/>
        <v>217314.66666666666</v>
      </c>
      <c r="E118" s="24">
        <f t="shared" si="44"/>
        <v>208064.66666666666</v>
      </c>
      <c r="F118" s="24">
        <f t="shared" si="44"/>
        <v>271129.66666666663</v>
      </c>
      <c r="G118" s="24">
        <f t="shared" si="44"/>
        <v>257144.66666666666</v>
      </c>
      <c r="H118" s="24">
        <f t="shared" si="44"/>
        <v>257144.66666666666</v>
      </c>
      <c r="I118" s="24">
        <f t="shared" si="44"/>
        <v>257144.66666666666</v>
      </c>
      <c r="J118" s="24">
        <f t="shared" si="44"/>
        <v>257144.66666666666</v>
      </c>
      <c r="K118" s="24">
        <f t="shared" si="44"/>
        <v>208329.66666666666</v>
      </c>
      <c r="L118" s="24">
        <f t="shared" si="44"/>
        <v>203779.66666666666</v>
      </c>
      <c r="M118" s="24">
        <f t="shared" si="44"/>
        <v>203331.66666666666</v>
      </c>
      <c r="O118" s="24">
        <f>+O112+O114+O116</f>
        <v>2745158</v>
      </c>
      <c r="Q118" s="24">
        <f>SUM(B118:D118)</f>
        <v>621944</v>
      </c>
      <c r="R118" s="24">
        <f>SUM(E118:G118)</f>
        <v>736338.99999999988</v>
      </c>
      <c r="S118" s="24">
        <f>SUM(H118:J118)</f>
        <v>771434</v>
      </c>
      <c r="T118" s="24">
        <f>SUM(K118:M118)</f>
        <v>615441</v>
      </c>
      <c r="V118" s="24">
        <f>SUM(Q118:U118)</f>
        <v>2745158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23">
        <f>250650/12</f>
        <v>20887.5</v>
      </c>
      <c r="C121" s="23">
        <f>250650/12</f>
        <v>20887.5</v>
      </c>
      <c r="D121" s="23">
        <f>250650/12</f>
        <v>20887.5</v>
      </c>
      <c r="E121" s="23">
        <f>250650/12</f>
        <v>20887.5</v>
      </c>
      <c r="F121" s="23">
        <f>250650/12</f>
        <v>20887.5</v>
      </c>
      <c r="G121" s="23">
        <f>258159/12</f>
        <v>21513.25</v>
      </c>
      <c r="H121" s="23">
        <f t="shared" ref="H121:M121" si="45">258159/12</f>
        <v>21513.25</v>
      </c>
      <c r="I121" s="23">
        <f t="shared" si="45"/>
        <v>21513.25</v>
      </c>
      <c r="J121" s="23">
        <f t="shared" si="45"/>
        <v>21513.25</v>
      </c>
      <c r="K121" s="23">
        <f t="shared" si="45"/>
        <v>21513.25</v>
      </c>
      <c r="L121" s="23">
        <f t="shared" si="45"/>
        <v>21513.25</v>
      </c>
      <c r="M121" s="23">
        <f t="shared" si="45"/>
        <v>21513.25</v>
      </c>
      <c r="O121" s="23">
        <f t="shared" ref="O121:O127" si="46">SUM(B121:M121)</f>
        <v>255030.25</v>
      </c>
      <c r="Q121" s="23">
        <f t="shared" ref="Q121:Q128" si="47">SUM(B121:D121)</f>
        <v>62662.5</v>
      </c>
      <c r="R121" s="23">
        <f t="shared" ref="R121:R128" si="48">SUM(E121:G121)</f>
        <v>63288.25</v>
      </c>
      <c r="S121" s="23">
        <f t="shared" ref="S121:S128" si="49">SUM(H121:J121)</f>
        <v>64539.75</v>
      </c>
      <c r="T121" s="23">
        <f t="shared" ref="T121:T128" si="50">SUM(K121:M121)</f>
        <v>64539.75</v>
      </c>
      <c r="V121" s="23">
        <f t="shared" ref="V121:V128" si="51">SUM(Q121:U121)</f>
        <v>255030.25</v>
      </c>
    </row>
    <row r="122" spans="1:22" x14ac:dyDescent="0.2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651495/12+7000</f>
        <v>61291.25</v>
      </c>
      <c r="H122" s="23">
        <f t="shared" ref="H122:M122" si="52">651495/12+7000</f>
        <v>61291.25</v>
      </c>
      <c r="I122" s="23">
        <f t="shared" si="52"/>
        <v>61291.25</v>
      </c>
      <c r="J122" s="23">
        <f t="shared" si="52"/>
        <v>61291.25</v>
      </c>
      <c r="K122" s="23">
        <f t="shared" si="52"/>
        <v>61291.25</v>
      </c>
      <c r="L122" s="23">
        <f t="shared" si="52"/>
        <v>61291.25</v>
      </c>
      <c r="M122" s="23">
        <f t="shared" si="52"/>
        <v>61291.25</v>
      </c>
      <c r="O122" s="23">
        <f t="shared" si="46"/>
        <v>429038.75</v>
      </c>
      <c r="Q122" s="23">
        <f t="shared" si="47"/>
        <v>0</v>
      </c>
      <c r="R122" s="23">
        <f t="shared" si="48"/>
        <v>61291.25</v>
      </c>
      <c r="S122" s="23">
        <f t="shared" si="49"/>
        <v>183873.75</v>
      </c>
      <c r="T122" s="23">
        <f t="shared" si="50"/>
        <v>183873.75</v>
      </c>
      <c r="V122" s="23">
        <f t="shared" si="51"/>
        <v>429038.75</v>
      </c>
    </row>
    <row r="123" spans="1:22" x14ac:dyDescent="0.2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3">103000/12</f>
        <v>8583.3333333333339</v>
      </c>
      <c r="I123" s="23">
        <f t="shared" si="53"/>
        <v>8583.3333333333339</v>
      </c>
      <c r="J123" s="23">
        <f t="shared" si="53"/>
        <v>8583.3333333333339</v>
      </c>
      <c r="K123" s="23">
        <f t="shared" si="53"/>
        <v>8583.3333333333339</v>
      </c>
      <c r="L123" s="23">
        <f t="shared" si="53"/>
        <v>8583.3333333333339</v>
      </c>
      <c r="M123" s="23">
        <f t="shared" si="53"/>
        <v>8583.3333333333339</v>
      </c>
      <c r="O123" s="23">
        <f t="shared" si="46"/>
        <v>101749.99999999999</v>
      </c>
      <c r="Q123" s="23">
        <f t="shared" si="47"/>
        <v>25000</v>
      </c>
      <c r="R123" s="23">
        <f t="shared" si="48"/>
        <v>25250</v>
      </c>
      <c r="S123" s="23">
        <f t="shared" si="49"/>
        <v>25750</v>
      </c>
      <c r="T123" s="23">
        <f t="shared" si="50"/>
        <v>25750</v>
      </c>
      <c r="V123" s="23">
        <f t="shared" si="51"/>
        <v>101750</v>
      </c>
    </row>
    <row r="124" spans="1:22" x14ac:dyDescent="0.2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6"/>
        <v>30525</v>
      </c>
      <c r="Q124" s="23">
        <f t="shared" si="47"/>
        <v>7500</v>
      </c>
      <c r="R124" s="23">
        <f t="shared" si="48"/>
        <v>7575</v>
      </c>
      <c r="S124" s="23">
        <f t="shared" si="49"/>
        <v>7725</v>
      </c>
      <c r="T124" s="23">
        <f t="shared" si="50"/>
        <v>7725</v>
      </c>
      <c r="V124" s="23">
        <f t="shared" si="51"/>
        <v>30525</v>
      </c>
    </row>
    <row r="125" spans="1:22" x14ac:dyDescent="0.2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f>77250/12</f>
        <v>6437.5</v>
      </c>
      <c r="H125" s="23">
        <f t="shared" ref="H125:M125" si="54">77250/12</f>
        <v>6437.5</v>
      </c>
      <c r="I125" s="23">
        <f t="shared" si="54"/>
        <v>6437.5</v>
      </c>
      <c r="J125" s="23">
        <f t="shared" si="54"/>
        <v>6437.5</v>
      </c>
      <c r="K125" s="23">
        <f t="shared" si="54"/>
        <v>6437.5</v>
      </c>
      <c r="L125" s="23">
        <f t="shared" si="54"/>
        <v>6437.5</v>
      </c>
      <c r="M125" s="23">
        <f t="shared" si="54"/>
        <v>6437.5</v>
      </c>
      <c r="O125" s="23">
        <f t="shared" si="46"/>
        <v>76312.5</v>
      </c>
      <c r="Q125" s="23">
        <f t="shared" si="47"/>
        <v>18750</v>
      </c>
      <c r="R125" s="23">
        <f t="shared" si="48"/>
        <v>18937.5</v>
      </c>
      <c r="S125" s="23">
        <f t="shared" si="49"/>
        <v>19312.5</v>
      </c>
      <c r="T125" s="23">
        <f t="shared" si="50"/>
        <v>19312.5</v>
      </c>
      <c r="V125" s="23">
        <f t="shared" si="51"/>
        <v>76312.5</v>
      </c>
    </row>
    <row r="126" spans="1:22" x14ac:dyDescent="0.2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6"/>
        <v>0</v>
      </c>
      <c r="Q126" s="23">
        <f t="shared" si="47"/>
        <v>0</v>
      </c>
      <c r="R126" s="23">
        <f t="shared" si="48"/>
        <v>0</v>
      </c>
      <c r="S126" s="23">
        <f t="shared" si="49"/>
        <v>0</v>
      </c>
      <c r="T126" s="23">
        <f t="shared" si="50"/>
        <v>0</v>
      </c>
      <c r="V126" s="23">
        <f t="shared" si="51"/>
        <v>0</v>
      </c>
    </row>
    <row r="127" spans="1:22" x14ac:dyDescent="0.2">
      <c r="A127" s="3"/>
      <c r="O127" s="23">
        <f t="shared" si="46"/>
        <v>0</v>
      </c>
      <c r="Q127" s="23">
        <f t="shared" si="47"/>
        <v>0</v>
      </c>
      <c r="R127" s="23">
        <f t="shared" si="48"/>
        <v>0</v>
      </c>
      <c r="S127" s="23">
        <f t="shared" si="49"/>
        <v>0</v>
      </c>
      <c r="T127" s="23">
        <f t="shared" si="50"/>
        <v>0</v>
      </c>
      <c r="V127" s="23">
        <f t="shared" si="51"/>
        <v>0</v>
      </c>
    </row>
    <row r="128" spans="1:22" ht="13.5" thickBot="1" x14ac:dyDescent="0.25">
      <c r="A128" s="4" t="s">
        <v>15</v>
      </c>
      <c r="B128" s="28">
        <f t="shared" ref="B128:M128" si="55">SUM(B120:B127)</f>
        <v>37970.833333333336</v>
      </c>
      <c r="C128" s="28">
        <f t="shared" si="55"/>
        <v>37970.833333333336</v>
      </c>
      <c r="D128" s="28">
        <f t="shared" si="55"/>
        <v>37970.833333333336</v>
      </c>
      <c r="E128" s="28">
        <f t="shared" si="55"/>
        <v>37970.833333333336</v>
      </c>
      <c r="F128" s="28">
        <f t="shared" si="55"/>
        <v>37970.833333333336</v>
      </c>
      <c r="G128" s="28">
        <f t="shared" si="55"/>
        <v>100400.33333333333</v>
      </c>
      <c r="H128" s="28">
        <f t="shared" si="55"/>
        <v>100400.33333333333</v>
      </c>
      <c r="I128" s="28">
        <f t="shared" si="55"/>
        <v>100400.33333333333</v>
      </c>
      <c r="J128" s="28">
        <f t="shared" si="55"/>
        <v>100400.33333333333</v>
      </c>
      <c r="K128" s="28">
        <f t="shared" si="55"/>
        <v>100400.33333333333</v>
      </c>
      <c r="L128" s="28">
        <f t="shared" si="55"/>
        <v>100400.33333333333</v>
      </c>
      <c r="M128" s="28">
        <f t="shared" si="55"/>
        <v>100400.33333333333</v>
      </c>
      <c r="O128" s="28">
        <f>SUM(O120:O127)</f>
        <v>892656.5</v>
      </c>
      <c r="Q128" s="28">
        <f t="shared" si="47"/>
        <v>113912.5</v>
      </c>
      <c r="R128" s="28">
        <f t="shared" si="48"/>
        <v>176342</v>
      </c>
      <c r="S128" s="28">
        <f t="shared" si="49"/>
        <v>301201</v>
      </c>
      <c r="T128" s="28">
        <f t="shared" si="50"/>
        <v>301201</v>
      </c>
      <c r="V128" s="28">
        <f t="shared" si="51"/>
        <v>892656.5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">
      <c r="A132" s="3" t="s">
        <v>7</v>
      </c>
      <c r="B132" s="23">
        <v>650000</v>
      </c>
      <c r="C132" s="23">
        <v>654000</v>
      </c>
      <c r="D132" s="23">
        <v>666000</v>
      </c>
      <c r="E132" s="23">
        <v>662000</v>
      </c>
      <c r="F132" s="23">
        <v>665000</v>
      </c>
      <c r="G132" s="23">
        <v>659000</v>
      </c>
      <c r="H132" s="23">
        <v>660000</v>
      </c>
      <c r="I132" s="23">
        <v>663000</v>
      </c>
      <c r="J132" s="23">
        <v>658000</v>
      </c>
      <c r="K132" s="23">
        <v>662000</v>
      </c>
      <c r="L132" s="23">
        <v>667000</v>
      </c>
      <c r="M132" s="23">
        <v>672000</v>
      </c>
      <c r="O132" s="23">
        <f>SUM(B132:M132)</f>
        <v>7938000</v>
      </c>
      <c r="Q132" s="23">
        <f>SUM(B132:D132)</f>
        <v>1970000</v>
      </c>
      <c r="R132" s="23">
        <f>SUM(E132:G132)</f>
        <v>1986000</v>
      </c>
      <c r="S132" s="23">
        <f>SUM(H132:J132)</f>
        <v>1981000</v>
      </c>
      <c r="T132" s="23">
        <f>SUM(K132:M132)</f>
        <v>2001000</v>
      </c>
      <c r="V132" s="23">
        <f>SUM(Q132:U132)</f>
        <v>7938000</v>
      </c>
    </row>
    <row r="133" spans="1:22" x14ac:dyDescent="0.2">
      <c r="A133" s="3" t="s">
        <v>8</v>
      </c>
      <c r="B133" s="23">
        <v>364000</v>
      </c>
      <c r="C133" s="23">
        <v>364000</v>
      </c>
      <c r="D133" s="23">
        <v>364000</v>
      </c>
      <c r="E133" s="23">
        <v>364000</v>
      </c>
      <c r="F133" s="23">
        <v>364000</v>
      </c>
      <c r="G133" s="23">
        <v>364000</v>
      </c>
      <c r="H133" s="23">
        <v>364000</v>
      </c>
      <c r="I133" s="23">
        <v>364000</v>
      </c>
      <c r="J133" s="23">
        <v>364000</v>
      </c>
      <c r="K133" s="23">
        <v>364000</v>
      </c>
      <c r="L133" s="23">
        <v>364000</v>
      </c>
      <c r="M133" s="23">
        <v>361000</v>
      </c>
      <c r="O133" s="23">
        <f>SUM(B133:M133)</f>
        <v>4365000</v>
      </c>
      <c r="Q133" s="23">
        <f>SUM(B133:D133)</f>
        <v>1092000</v>
      </c>
      <c r="R133" s="23">
        <f>SUM(E133:G133)</f>
        <v>1092000</v>
      </c>
      <c r="S133" s="23">
        <f>SUM(H133:J133)</f>
        <v>1092000</v>
      </c>
      <c r="T133" s="23">
        <f>SUM(K133:M133)</f>
        <v>1089000</v>
      </c>
      <c r="V133" s="23">
        <f>SUM(Q133:U133)</f>
        <v>4365000</v>
      </c>
    </row>
    <row r="134" spans="1:22" x14ac:dyDescent="0.2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5" thickBot="1" x14ac:dyDescent="0.25">
      <c r="A135" s="4" t="s">
        <v>17</v>
      </c>
      <c r="B135" s="28">
        <f t="shared" ref="B135:M135" si="56">SUM(B130:B134)</f>
        <v>1014000</v>
      </c>
      <c r="C135" s="28">
        <f t="shared" si="56"/>
        <v>1018000</v>
      </c>
      <c r="D135" s="28">
        <f t="shared" si="56"/>
        <v>1030000</v>
      </c>
      <c r="E135" s="28">
        <f t="shared" si="56"/>
        <v>1026000</v>
      </c>
      <c r="F135" s="28">
        <f t="shared" si="56"/>
        <v>1029000</v>
      </c>
      <c r="G135" s="28">
        <f t="shared" si="56"/>
        <v>1023000</v>
      </c>
      <c r="H135" s="28">
        <f t="shared" si="56"/>
        <v>1024000</v>
      </c>
      <c r="I135" s="28">
        <f t="shared" si="56"/>
        <v>1027000</v>
      </c>
      <c r="J135" s="28">
        <f t="shared" si="56"/>
        <v>1022000</v>
      </c>
      <c r="K135" s="28">
        <f t="shared" si="56"/>
        <v>1026000</v>
      </c>
      <c r="L135" s="28">
        <f t="shared" si="56"/>
        <v>1031000</v>
      </c>
      <c r="M135" s="28">
        <f t="shared" si="56"/>
        <v>1033000</v>
      </c>
      <c r="O135" s="28">
        <f>SUM(O130:O134)</f>
        <v>12303000</v>
      </c>
      <c r="Q135" s="28">
        <f>SUM(B135:D135)</f>
        <v>3062000</v>
      </c>
      <c r="R135" s="28">
        <f>SUM(E135:G135)</f>
        <v>3078000</v>
      </c>
      <c r="S135" s="28">
        <f>SUM(H135:J135)</f>
        <v>3073000</v>
      </c>
      <c r="T135" s="28">
        <f>SUM(K135:M135)</f>
        <v>3090000</v>
      </c>
      <c r="V135" s="28">
        <f>SUM(Q135:U135)</f>
        <v>12303000</v>
      </c>
    </row>
    <row r="137" spans="1:22" ht="13.5" thickBot="1" x14ac:dyDescent="0.25">
      <c r="A137" s="1" t="s">
        <v>13</v>
      </c>
      <c r="B137" s="29">
        <f t="shared" ref="B137:M137" si="57">+B80+B118+B128+B135</f>
        <v>1254285.5</v>
      </c>
      <c r="C137" s="29">
        <f t="shared" si="57"/>
        <v>1258285.5</v>
      </c>
      <c r="D137" s="29">
        <f t="shared" si="57"/>
        <v>1285285.5</v>
      </c>
      <c r="E137" s="29">
        <f t="shared" si="57"/>
        <v>1272035.5</v>
      </c>
      <c r="F137" s="29">
        <f t="shared" si="57"/>
        <v>1338100.5</v>
      </c>
      <c r="G137" s="29">
        <f t="shared" si="57"/>
        <v>1380545</v>
      </c>
      <c r="H137" s="29">
        <f t="shared" si="57"/>
        <v>1381545</v>
      </c>
      <c r="I137" s="29">
        <f t="shared" si="57"/>
        <v>1384545</v>
      </c>
      <c r="J137" s="29">
        <f t="shared" si="57"/>
        <v>1379545</v>
      </c>
      <c r="K137" s="29">
        <f t="shared" si="57"/>
        <v>1334730</v>
      </c>
      <c r="L137" s="29">
        <f t="shared" si="57"/>
        <v>1335180</v>
      </c>
      <c r="M137" s="29">
        <f t="shared" si="57"/>
        <v>1336732</v>
      </c>
      <c r="O137" s="29">
        <f>+O80+O118+O128+O135</f>
        <v>15940814.5</v>
      </c>
      <c r="Q137" s="29">
        <f>SUM(B137:D137)</f>
        <v>3797856.5</v>
      </c>
      <c r="R137" s="29">
        <f>SUM(E137:G137)</f>
        <v>3990681</v>
      </c>
      <c r="S137" s="29">
        <f>SUM(H137:J137)</f>
        <v>4145635</v>
      </c>
      <c r="T137" s="29">
        <f>SUM(K137:M137)</f>
        <v>4006642</v>
      </c>
      <c r="V137" s="29">
        <f>SUM(Q137:U137)</f>
        <v>15940814.5</v>
      </c>
    </row>
    <row r="138" spans="1:22" ht="13.5" thickTop="1" x14ac:dyDescent="0.2"/>
    <row r="141" spans="1:22" ht="15.75" x14ac:dyDescent="0.25">
      <c r="A141" s="43" t="str">
        <f>+A1</f>
        <v>GENCO - New Albany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75" x14ac:dyDescent="0.25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75" x14ac:dyDescent="0.25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36697.489055902777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24">
        <f t="shared" ref="B150:M150" si="58">+B80-B10</f>
        <v>0</v>
      </c>
      <c r="C150" s="24">
        <f t="shared" si="58"/>
        <v>0</v>
      </c>
      <c r="D150" s="24">
        <f t="shared" si="58"/>
        <v>0</v>
      </c>
      <c r="E150" s="24">
        <f t="shared" si="58"/>
        <v>0</v>
      </c>
      <c r="F150" s="24">
        <f t="shared" si="58"/>
        <v>0</v>
      </c>
      <c r="G150" s="24">
        <f t="shared" si="58"/>
        <v>0</v>
      </c>
      <c r="H150" s="24">
        <f t="shared" si="58"/>
        <v>0</v>
      </c>
      <c r="I150" s="24">
        <f t="shared" si="58"/>
        <v>0</v>
      </c>
      <c r="J150" s="24">
        <f t="shared" si="58"/>
        <v>0</v>
      </c>
      <c r="K150" s="24">
        <f t="shared" si="58"/>
        <v>0</v>
      </c>
      <c r="L150" s="24">
        <f t="shared" si="58"/>
        <v>0</v>
      </c>
      <c r="M150" s="24">
        <f t="shared" si="58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">
      <c r="A152" s="1" t="s">
        <v>10</v>
      </c>
    </row>
    <row r="153" spans="1:22" x14ac:dyDescent="0.2">
      <c r="A153" s="17" t="s">
        <v>49</v>
      </c>
    </row>
    <row r="154" spans="1:22" x14ac:dyDescent="0.2">
      <c r="A154" s="18" t="s">
        <v>87</v>
      </c>
      <c r="B154" s="23">
        <f t="shared" ref="B154:B178" si="59">B84-B14</f>
        <v>0</v>
      </c>
      <c r="C154" s="23">
        <f t="shared" ref="C154:M154" si="60">C84-C14</f>
        <v>0</v>
      </c>
      <c r="D154" s="23">
        <f t="shared" si="60"/>
        <v>0</v>
      </c>
      <c r="E154" s="23">
        <f t="shared" si="60"/>
        <v>0</v>
      </c>
      <c r="F154" s="23">
        <f t="shared" si="60"/>
        <v>0</v>
      </c>
      <c r="G154" s="23">
        <f t="shared" si="60"/>
        <v>0</v>
      </c>
      <c r="H154" s="23">
        <f t="shared" si="60"/>
        <v>0</v>
      </c>
      <c r="I154" s="23">
        <f t="shared" si="60"/>
        <v>0</v>
      </c>
      <c r="J154" s="23">
        <f t="shared" si="60"/>
        <v>0</v>
      </c>
      <c r="K154" s="23">
        <f t="shared" si="60"/>
        <v>0</v>
      </c>
      <c r="L154" s="23">
        <f t="shared" si="60"/>
        <v>0</v>
      </c>
      <c r="M154" s="23">
        <f t="shared" si="60"/>
        <v>0</v>
      </c>
      <c r="O154" s="23">
        <f>SUM(B154:M154)</f>
        <v>0</v>
      </c>
      <c r="Q154" s="23">
        <f>SUM(B154:D154)</f>
        <v>0</v>
      </c>
      <c r="R154" s="23">
        <f>SUM(E154:G154)</f>
        <v>0</v>
      </c>
      <c r="S154" s="23">
        <f>SUM(H154:J154)</f>
        <v>0</v>
      </c>
      <c r="T154" s="23">
        <f>SUM(K154:M154)</f>
        <v>0</v>
      </c>
      <c r="V154" s="23">
        <f>SUM(Q154:U154)</f>
        <v>0</v>
      </c>
    </row>
    <row r="155" spans="1:22" x14ac:dyDescent="0.2">
      <c r="A155" s="18" t="s">
        <v>63</v>
      </c>
      <c r="B155" s="23">
        <f t="shared" si="59"/>
        <v>543</v>
      </c>
      <c r="C155" s="23">
        <f t="shared" ref="C155:M155" si="61">C85-C15</f>
        <v>543</v>
      </c>
      <c r="D155" s="23">
        <f t="shared" si="61"/>
        <v>543</v>
      </c>
      <c r="E155" s="23">
        <f t="shared" si="61"/>
        <v>543</v>
      </c>
      <c r="F155" s="23">
        <f t="shared" si="61"/>
        <v>0</v>
      </c>
      <c r="G155" s="23">
        <f t="shared" si="61"/>
        <v>0</v>
      </c>
      <c r="H155" s="23">
        <f t="shared" si="61"/>
        <v>0</v>
      </c>
      <c r="I155" s="23">
        <f t="shared" si="61"/>
        <v>0</v>
      </c>
      <c r="J155" s="23">
        <f t="shared" si="61"/>
        <v>0</v>
      </c>
      <c r="K155" s="23">
        <f t="shared" si="61"/>
        <v>0</v>
      </c>
      <c r="L155" s="23">
        <f t="shared" si="61"/>
        <v>0</v>
      </c>
      <c r="M155" s="23">
        <f t="shared" si="61"/>
        <v>0</v>
      </c>
      <c r="O155" s="23">
        <f t="shared" ref="O155:O180" si="62">SUM(B155:M155)</f>
        <v>2172</v>
      </c>
      <c r="Q155" s="23">
        <f t="shared" ref="Q155:Q180" si="63">SUM(B155:D155)</f>
        <v>1629</v>
      </c>
      <c r="R155" s="23">
        <f t="shared" ref="R155:R180" si="64">SUM(E155:G155)</f>
        <v>543</v>
      </c>
      <c r="S155" s="23">
        <f t="shared" ref="S155:S180" si="65">SUM(H155:J155)</f>
        <v>0</v>
      </c>
      <c r="T155" s="23">
        <f t="shared" ref="T155:T180" si="66">SUM(K155:M155)</f>
        <v>0</v>
      </c>
      <c r="V155" s="23">
        <f t="shared" ref="V155:V180" si="67">SUM(Q155:U155)</f>
        <v>2172</v>
      </c>
    </row>
    <row r="156" spans="1:22" x14ac:dyDescent="0.2">
      <c r="A156" s="18" t="s">
        <v>88</v>
      </c>
      <c r="B156" s="23">
        <f t="shared" si="59"/>
        <v>0</v>
      </c>
      <c r="C156" s="23">
        <f t="shared" ref="C156:M156" si="68">C86-C16</f>
        <v>0</v>
      </c>
      <c r="D156" s="23">
        <f t="shared" si="68"/>
        <v>0</v>
      </c>
      <c r="E156" s="23">
        <f t="shared" si="68"/>
        <v>0</v>
      </c>
      <c r="F156" s="23">
        <f t="shared" si="68"/>
        <v>0</v>
      </c>
      <c r="G156" s="23">
        <f t="shared" si="68"/>
        <v>0</v>
      </c>
      <c r="H156" s="23">
        <f t="shared" si="68"/>
        <v>0</v>
      </c>
      <c r="I156" s="23">
        <f t="shared" si="68"/>
        <v>0</v>
      </c>
      <c r="J156" s="23">
        <f t="shared" si="68"/>
        <v>0</v>
      </c>
      <c r="K156" s="23">
        <f t="shared" si="68"/>
        <v>0</v>
      </c>
      <c r="L156" s="23">
        <f t="shared" si="68"/>
        <v>0</v>
      </c>
      <c r="M156" s="23">
        <f t="shared" si="68"/>
        <v>0</v>
      </c>
      <c r="O156" s="23">
        <f t="shared" si="62"/>
        <v>0</v>
      </c>
      <c r="Q156" s="23">
        <f t="shared" si="63"/>
        <v>0</v>
      </c>
      <c r="R156" s="23">
        <f t="shared" si="64"/>
        <v>0</v>
      </c>
      <c r="S156" s="23">
        <f t="shared" si="65"/>
        <v>0</v>
      </c>
      <c r="T156" s="23">
        <f t="shared" si="66"/>
        <v>0</v>
      </c>
      <c r="V156" s="23">
        <f t="shared" si="67"/>
        <v>0</v>
      </c>
    </row>
    <row r="157" spans="1:22" x14ac:dyDescent="0.2">
      <c r="A157" s="18" t="s">
        <v>89</v>
      </c>
      <c r="B157" s="23">
        <f t="shared" si="59"/>
        <v>0</v>
      </c>
      <c r="C157" s="23">
        <f t="shared" ref="C157:M157" si="69">C87-C17</f>
        <v>0</v>
      </c>
      <c r="D157" s="23">
        <f t="shared" si="69"/>
        <v>0</v>
      </c>
      <c r="E157" s="23">
        <f t="shared" si="69"/>
        <v>0</v>
      </c>
      <c r="F157" s="23">
        <f t="shared" si="69"/>
        <v>0</v>
      </c>
      <c r="G157" s="23">
        <f t="shared" si="69"/>
        <v>0</v>
      </c>
      <c r="H157" s="23">
        <f t="shared" si="69"/>
        <v>0</v>
      </c>
      <c r="I157" s="23">
        <f t="shared" si="69"/>
        <v>0</v>
      </c>
      <c r="J157" s="23">
        <f t="shared" si="69"/>
        <v>0</v>
      </c>
      <c r="K157" s="23">
        <f t="shared" si="69"/>
        <v>0</v>
      </c>
      <c r="L157" s="23">
        <f t="shared" si="69"/>
        <v>0</v>
      </c>
      <c r="M157" s="23">
        <f t="shared" si="69"/>
        <v>0</v>
      </c>
      <c r="O157" s="23">
        <f t="shared" si="62"/>
        <v>0</v>
      </c>
      <c r="Q157" s="23">
        <f t="shared" si="63"/>
        <v>0</v>
      </c>
      <c r="R157" s="23">
        <f t="shared" si="64"/>
        <v>0</v>
      </c>
      <c r="S157" s="23">
        <f t="shared" si="65"/>
        <v>0</v>
      </c>
      <c r="T157" s="23">
        <f t="shared" si="66"/>
        <v>0</v>
      </c>
      <c r="V157" s="23">
        <f t="shared" si="67"/>
        <v>0</v>
      </c>
    </row>
    <row r="158" spans="1:22" x14ac:dyDescent="0.2">
      <c r="A158" s="18" t="s">
        <v>90</v>
      </c>
      <c r="B158" s="23">
        <f t="shared" si="59"/>
        <v>0</v>
      </c>
      <c r="C158" s="23">
        <f t="shared" ref="C158:M158" si="70">C88-C18</f>
        <v>0</v>
      </c>
      <c r="D158" s="23">
        <f t="shared" si="70"/>
        <v>0</v>
      </c>
      <c r="E158" s="23">
        <f t="shared" si="70"/>
        <v>0</v>
      </c>
      <c r="F158" s="23">
        <f t="shared" si="70"/>
        <v>0</v>
      </c>
      <c r="G158" s="23">
        <f t="shared" si="70"/>
        <v>0</v>
      </c>
      <c r="H158" s="23">
        <f t="shared" si="70"/>
        <v>0</v>
      </c>
      <c r="I158" s="23">
        <f t="shared" si="70"/>
        <v>0</v>
      </c>
      <c r="J158" s="23">
        <f t="shared" si="70"/>
        <v>0</v>
      </c>
      <c r="K158" s="23">
        <f t="shared" si="70"/>
        <v>0</v>
      </c>
      <c r="L158" s="23">
        <f t="shared" si="70"/>
        <v>0</v>
      </c>
      <c r="M158" s="23">
        <f t="shared" si="70"/>
        <v>0</v>
      </c>
      <c r="O158" s="23">
        <f t="shared" si="62"/>
        <v>0</v>
      </c>
      <c r="Q158" s="23">
        <f t="shared" si="63"/>
        <v>0</v>
      </c>
      <c r="R158" s="23">
        <f t="shared" si="64"/>
        <v>0</v>
      </c>
      <c r="S158" s="23">
        <f t="shared" si="65"/>
        <v>0</v>
      </c>
      <c r="T158" s="23">
        <f t="shared" si="66"/>
        <v>0</v>
      </c>
      <c r="V158" s="23">
        <f t="shared" si="67"/>
        <v>0</v>
      </c>
    </row>
    <row r="159" spans="1:22" x14ac:dyDescent="0.2">
      <c r="A159" s="18" t="s">
        <v>64</v>
      </c>
      <c r="B159" s="23">
        <f t="shared" si="59"/>
        <v>0</v>
      </c>
      <c r="C159" s="23">
        <f t="shared" ref="C159:M159" si="71">C89-C19</f>
        <v>0</v>
      </c>
      <c r="D159" s="23">
        <f t="shared" si="71"/>
        <v>0</v>
      </c>
      <c r="E159" s="23">
        <f t="shared" si="71"/>
        <v>0</v>
      </c>
      <c r="F159" s="23">
        <f t="shared" si="71"/>
        <v>0</v>
      </c>
      <c r="G159" s="23">
        <f t="shared" si="71"/>
        <v>0</v>
      </c>
      <c r="H159" s="23">
        <f t="shared" si="71"/>
        <v>0</v>
      </c>
      <c r="I159" s="23">
        <f t="shared" si="71"/>
        <v>0</v>
      </c>
      <c r="J159" s="23">
        <f t="shared" si="71"/>
        <v>0</v>
      </c>
      <c r="K159" s="23">
        <f t="shared" si="71"/>
        <v>0</v>
      </c>
      <c r="L159" s="23">
        <f t="shared" si="71"/>
        <v>0</v>
      </c>
      <c r="M159" s="23">
        <f t="shared" si="71"/>
        <v>0</v>
      </c>
      <c r="O159" s="23">
        <f t="shared" si="62"/>
        <v>0</v>
      </c>
      <c r="Q159" s="23">
        <f t="shared" si="63"/>
        <v>0</v>
      </c>
      <c r="R159" s="23">
        <f t="shared" si="64"/>
        <v>0</v>
      </c>
      <c r="S159" s="23">
        <f t="shared" si="65"/>
        <v>0</v>
      </c>
      <c r="T159" s="23">
        <f t="shared" si="66"/>
        <v>0</v>
      </c>
      <c r="V159" s="23">
        <f t="shared" si="67"/>
        <v>0</v>
      </c>
    </row>
    <row r="160" spans="1:22" x14ac:dyDescent="0.2">
      <c r="A160" s="18" t="s">
        <v>91</v>
      </c>
      <c r="B160" s="23">
        <f t="shared" si="59"/>
        <v>0</v>
      </c>
      <c r="C160" s="23">
        <f t="shared" ref="C160:M160" si="72">C90-C20</f>
        <v>0</v>
      </c>
      <c r="D160" s="23">
        <f t="shared" si="72"/>
        <v>-15137</v>
      </c>
      <c r="E160" s="23">
        <f t="shared" si="72"/>
        <v>-636.9</v>
      </c>
      <c r="F160" s="23">
        <f t="shared" si="72"/>
        <v>0</v>
      </c>
      <c r="G160" s="23">
        <f t="shared" si="72"/>
        <v>0</v>
      </c>
      <c r="H160" s="23">
        <f t="shared" si="72"/>
        <v>0</v>
      </c>
      <c r="I160" s="23">
        <f t="shared" si="72"/>
        <v>0</v>
      </c>
      <c r="J160" s="23">
        <f t="shared" si="72"/>
        <v>0</v>
      </c>
      <c r="K160" s="23">
        <f t="shared" si="72"/>
        <v>0</v>
      </c>
      <c r="L160" s="23">
        <f t="shared" si="72"/>
        <v>0</v>
      </c>
      <c r="M160" s="23">
        <f t="shared" si="72"/>
        <v>0</v>
      </c>
      <c r="O160" s="23">
        <f t="shared" si="62"/>
        <v>-15773.9</v>
      </c>
      <c r="Q160" s="23">
        <f t="shared" si="63"/>
        <v>-15137</v>
      </c>
      <c r="R160" s="23">
        <f t="shared" si="64"/>
        <v>-636.9</v>
      </c>
      <c r="S160" s="23">
        <f t="shared" si="65"/>
        <v>0</v>
      </c>
      <c r="T160" s="23">
        <f t="shared" si="66"/>
        <v>0</v>
      </c>
      <c r="V160" s="23">
        <f t="shared" si="67"/>
        <v>-15773.9</v>
      </c>
    </row>
    <row r="161" spans="1:22" x14ac:dyDescent="0.2">
      <c r="A161" s="18" t="s">
        <v>92</v>
      </c>
      <c r="B161" s="23">
        <f t="shared" si="59"/>
        <v>0</v>
      </c>
      <c r="C161" s="23">
        <f t="shared" ref="C161:M161" si="73">C91-C21</f>
        <v>0</v>
      </c>
      <c r="D161" s="23">
        <f t="shared" si="73"/>
        <v>0</v>
      </c>
      <c r="E161" s="23">
        <f t="shared" si="73"/>
        <v>0</v>
      </c>
      <c r="F161" s="23">
        <f t="shared" si="73"/>
        <v>0</v>
      </c>
      <c r="G161" s="23">
        <f t="shared" si="73"/>
        <v>0</v>
      </c>
      <c r="H161" s="23">
        <f t="shared" si="73"/>
        <v>0</v>
      </c>
      <c r="I161" s="23">
        <f t="shared" si="73"/>
        <v>0</v>
      </c>
      <c r="J161" s="23">
        <f t="shared" si="73"/>
        <v>0</v>
      </c>
      <c r="K161" s="23">
        <f t="shared" si="73"/>
        <v>0</v>
      </c>
      <c r="L161" s="23">
        <f t="shared" si="73"/>
        <v>0</v>
      </c>
      <c r="M161" s="23">
        <f t="shared" si="73"/>
        <v>0</v>
      </c>
      <c r="O161" s="23">
        <f t="shared" si="62"/>
        <v>0</v>
      </c>
      <c r="Q161" s="23">
        <f t="shared" si="63"/>
        <v>0</v>
      </c>
      <c r="R161" s="23">
        <f t="shared" si="64"/>
        <v>0</v>
      </c>
      <c r="S161" s="23">
        <f t="shared" si="65"/>
        <v>0</v>
      </c>
      <c r="T161" s="23">
        <f t="shared" si="66"/>
        <v>0</v>
      </c>
      <c r="V161" s="23">
        <f t="shared" si="67"/>
        <v>0</v>
      </c>
    </row>
    <row r="162" spans="1:22" x14ac:dyDescent="0.2">
      <c r="A162" s="18" t="s">
        <v>65</v>
      </c>
      <c r="B162" s="23">
        <f t="shared" si="59"/>
        <v>458</v>
      </c>
      <c r="C162" s="23">
        <f t="shared" ref="C162:M162" si="74">C92-C22</f>
        <v>-3386</v>
      </c>
      <c r="D162" s="23">
        <f t="shared" si="74"/>
        <v>352</v>
      </c>
      <c r="E162" s="23">
        <f t="shared" si="74"/>
        <v>458</v>
      </c>
      <c r="F162" s="23">
        <f t="shared" si="74"/>
        <v>0</v>
      </c>
      <c r="G162" s="23">
        <f t="shared" si="74"/>
        <v>0</v>
      </c>
      <c r="H162" s="23">
        <f t="shared" si="74"/>
        <v>0</v>
      </c>
      <c r="I162" s="23">
        <f t="shared" si="74"/>
        <v>0</v>
      </c>
      <c r="J162" s="23">
        <f t="shared" si="74"/>
        <v>0</v>
      </c>
      <c r="K162" s="23">
        <f t="shared" si="74"/>
        <v>0</v>
      </c>
      <c r="L162" s="23">
        <f t="shared" si="74"/>
        <v>0</v>
      </c>
      <c r="M162" s="23">
        <f t="shared" si="74"/>
        <v>0</v>
      </c>
      <c r="O162" s="23">
        <f t="shared" si="62"/>
        <v>-2118</v>
      </c>
      <c r="Q162" s="23">
        <f t="shared" si="63"/>
        <v>-2576</v>
      </c>
      <c r="R162" s="23">
        <f t="shared" si="64"/>
        <v>458</v>
      </c>
      <c r="S162" s="23">
        <f t="shared" si="65"/>
        <v>0</v>
      </c>
      <c r="T162" s="23">
        <f t="shared" si="66"/>
        <v>0</v>
      </c>
      <c r="V162" s="23">
        <f t="shared" si="67"/>
        <v>-2118</v>
      </c>
    </row>
    <row r="163" spans="1:22" x14ac:dyDescent="0.2">
      <c r="A163" s="18" t="s">
        <v>45</v>
      </c>
      <c r="B163" s="23">
        <f t="shared" si="59"/>
        <v>86</v>
      </c>
      <c r="C163" s="23">
        <f t="shared" ref="C163:M163" si="75">C93-C23</f>
        <v>86</v>
      </c>
      <c r="D163" s="23">
        <f t="shared" si="75"/>
        <v>86</v>
      </c>
      <c r="E163" s="23">
        <f t="shared" si="75"/>
        <v>5086</v>
      </c>
      <c r="F163" s="23">
        <f t="shared" si="75"/>
        <v>0</v>
      </c>
      <c r="G163" s="23">
        <f t="shared" si="75"/>
        <v>0</v>
      </c>
      <c r="H163" s="23">
        <f t="shared" si="75"/>
        <v>0</v>
      </c>
      <c r="I163" s="23">
        <f t="shared" si="75"/>
        <v>0</v>
      </c>
      <c r="J163" s="23">
        <f t="shared" si="75"/>
        <v>0</v>
      </c>
      <c r="K163" s="23">
        <f t="shared" si="75"/>
        <v>0</v>
      </c>
      <c r="L163" s="23">
        <f t="shared" si="75"/>
        <v>0</v>
      </c>
      <c r="M163" s="23">
        <f t="shared" si="75"/>
        <v>0</v>
      </c>
      <c r="O163" s="23">
        <f t="shared" si="62"/>
        <v>5344</v>
      </c>
      <c r="Q163" s="23">
        <f t="shared" si="63"/>
        <v>258</v>
      </c>
      <c r="R163" s="23">
        <f t="shared" si="64"/>
        <v>5086</v>
      </c>
      <c r="S163" s="23">
        <f t="shared" si="65"/>
        <v>0</v>
      </c>
      <c r="T163" s="23">
        <f t="shared" si="66"/>
        <v>0</v>
      </c>
      <c r="V163" s="23">
        <f t="shared" si="67"/>
        <v>5344</v>
      </c>
    </row>
    <row r="164" spans="1:22" x14ac:dyDescent="0.2">
      <c r="A164" s="18" t="s">
        <v>66</v>
      </c>
      <c r="B164" s="23">
        <f t="shared" si="59"/>
        <v>86</v>
      </c>
      <c r="C164" s="23">
        <f t="shared" ref="C164:M164" si="76">C94-C24</f>
        <v>86</v>
      </c>
      <c r="D164" s="23">
        <f t="shared" si="76"/>
        <v>86</v>
      </c>
      <c r="E164" s="23">
        <f t="shared" si="76"/>
        <v>86</v>
      </c>
      <c r="F164" s="23">
        <f t="shared" si="76"/>
        <v>0</v>
      </c>
      <c r="G164" s="23">
        <f t="shared" si="76"/>
        <v>0</v>
      </c>
      <c r="H164" s="23">
        <f t="shared" si="76"/>
        <v>0</v>
      </c>
      <c r="I164" s="23">
        <f t="shared" si="76"/>
        <v>0</v>
      </c>
      <c r="J164" s="23">
        <f t="shared" si="76"/>
        <v>0</v>
      </c>
      <c r="K164" s="23">
        <f t="shared" si="76"/>
        <v>0</v>
      </c>
      <c r="L164" s="23">
        <f t="shared" si="76"/>
        <v>0</v>
      </c>
      <c r="M164" s="23">
        <f t="shared" si="76"/>
        <v>0</v>
      </c>
      <c r="O164" s="23">
        <f t="shared" si="62"/>
        <v>344</v>
      </c>
      <c r="Q164" s="23">
        <f t="shared" si="63"/>
        <v>258</v>
      </c>
      <c r="R164" s="23">
        <f t="shared" si="64"/>
        <v>86</v>
      </c>
      <c r="S164" s="23">
        <f t="shared" si="65"/>
        <v>0</v>
      </c>
      <c r="T164" s="23">
        <f t="shared" si="66"/>
        <v>0</v>
      </c>
      <c r="V164" s="23">
        <f t="shared" si="67"/>
        <v>344</v>
      </c>
    </row>
    <row r="165" spans="1:22" x14ac:dyDescent="0.2">
      <c r="A165" s="18" t="s">
        <v>67</v>
      </c>
      <c r="B165" s="23">
        <f t="shared" si="59"/>
        <v>857</v>
      </c>
      <c r="C165" s="23">
        <f t="shared" ref="C165:M165" si="77">C95-C25</f>
        <v>857</v>
      </c>
      <c r="D165" s="23">
        <f t="shared" si="77"/>
        <v>857</v>
      </c>
      <c r="E165" s="23">
        <f t="shared" si="77"/>
        <v>857</v>
      </c>
      <c r="F165" s="23">
        <f t="shared" si="77"/>
        <v>0</v>
      </c>
      <c r="G165" s="23">
        <f t="shared" si="77"/>
        <v>0</v>
      </c>
      <c r="H165" s="23">
        <f t="shared" si="77"/>
        <v>0</v>
      </c>
      <c r="I165" s="23">
        <f t="shared" si="77"/>
        <v>0</v>
      </c>
      <c r="J165" s="23">
        <f t="shared" si="77"/>
        <v>0</v>
      </c>
      <c r="K165" s="23">
        <f t="shared" si="77"/>
        <v>0</v>
      </c>
      <c r="L165" s="23">
        <f t="shared" si="77"/>
        <v>0</v>
      </c>
      <c r="M165" s="23">
        <f t="shared" si="77"/>
        <v>0</v>
      </c>
      <c r="O165" s="23">
        <f t="shared" si="62"/>
        <v>3428</v>
      </c>
      <c r="Q165" s="23">
        <f t="shared" si="63"/>
        <v>2571</v>
      </c>
      <c r="R165" s="23">
        <f t="shared" si="64"/>
        <v>857</v>
      </c>
      <c r="S165" s="23">
        <f t="shared" si="65"/>
        <v>0</v>
      </c>
      <c r="T165" s="23">
        <f t="shared" si="66"/>
        <v>0</v>
      </c>
      <c r="V165" s="23">
        <f t="shared" si="67"/>
        <v>3428</v>
      </c>
    </row>
    <row r="166" spans="1:22" x14ac:dyDescent="0.2">
      <c r="A166" s="18" t="s">
        <v>93</v>
      </c>
      <c r="B166" s="23">
        <f t="shared" si="59"/>
        <v>0</v>
      </c>
      <c r="C166" s="23">
        <f t="shared" ref="C166:M166" si="78">C96-C26</f>
        <v>0</v>
      </c>
      <c r="D166" s="23">
        <f t="shared" si="78"/>
        <v>0</v>
      </c>
      <c r="E166" s="23">
        <f t="shared" si="78"/>
        <v>0</v>
      </c>
      <c r="F166" s="23">
        <f t="shared" si="78"/>
        <v>0</v>
      </c>
      <c r="G166" s="23">
        <f t="shared" si="78"/>
        <v>0</v>
      </c>
      <c r="H166" s="23">
        <f t="shared" si="78"/>
        <v>0</v>
      </c>
      <c r="I166" s="23">
        <f t="shared" si="78"/>
        <v>0</v>
      </c>
      <c r="J166" s="23">
        <f t="shared" si="78"/>
        <v>0</v>
      </c>
      <c r="K166" s="23">
        <f t="shared" si="78"/>
        <v>0</v>
      </c>
      <c r="L166" s="23">
        <f t="shared" si="78"/>
        <v>0</v>
      </c>
      <c r="M166" s="23">
        <f t="shared" si="78"/>
        <v>0</v>
      </c>
      <c r="O166" s="23">
        <f t="shared" si="62"/>
        <v>0</v>
      </c>
      <c r="Q166" s="23">
        <f t="shared" si="63"/>
        <v>0</v>
      </c>
      <c r="R166" s="23">
        <f t="shared" si="64"/>
        <v>0</v>
      </c>
      <c r="S166" s="23">
        <f t="shared" si="65"/>
        <v>0</v>
      </c>
      <c r="T166" s="23">
        <f t="shared" si="66"/>
        <v>0</v>
      </c>
      <c r="V166" s="23">
        <f t="shared" si="67"/>
        <v>0</v>
      </c>
    </row>
    <row r="167" spans="1:22" x14ac:dyDescent="0.2">
      <c r="A167" s="18" t="s">
        <v>69</v>
      </c>
      <c r="B167" s="23">
        <f t="shared" si="59"/>
        <v>333</v>
      </c>
      <c r="C167" s="23">
        <f t="shared" ref="C167:M167" si="79">C97-C27</f>
        <v>333</v>
      </c>
      <c r="D167" s="23">
        <f t="shared" si="79"/>
        <v>119</v>
      </c>
      <c r="E167" s="23">
        <f t="shared" si="79"/>
        <v>-4702.6000000000004</v>
      </c>
      <c r="F167" s="23">
        <f t="shared" si="79"/>
        <v>0</v>
      </c>
      <c r="G167" s="23">
        <f t="shared" si="79"/>
        <v>0</v>
      </c>
      <c r="H167" s="23">
        <f t="shared" si="79"/>
        <v>0</v>
      </c>
      <c r="I167" s="23">
        <f t="shared" si="79"/>
        <v>0</v>
      </c>
      <c r="J167" s="23">
        <f t="shared" si="79"/>
        <v>0</v>
      </c>
      <c r="K167" s="23">
        <f t="shared" si="79"/>
        <v>0</v>
      </c>
      <c r="L167" s="23">
        <f t="shared" si="79"/>
        <v>0</v>
      </c>
      <c r="M167" s="23">
        <f t="shared" si="79"/>
        <v>0</v>
      </c>
      <c r="O167" s="23">
        <f t="shared" si="62"/>
        <v>-3917.6000000000004</v>
      </c>
      <c r="Q167" s="23">
        <f t="shared" si="63"/>
        <v>785</v>
      </c>
      <c r="R167" s="23">
        <f t="shared" si="64"/>
        <v>-4702.6000000000004</v>
      </c>
      <c r="S167" s="23">
        <f t="shared" si="65"/>
        <v>0</v>
      </c>
      <c r="T167" s="23">
        <f t="shared" si="66"/>
        <v>0</v>
      </c>
      <c r="V167" s="23">
        <f t="shared" si="67"/>
        <v>-3917.6000000000004</v>
      </c>
    </row>
    <row r="168" spans="1:22" x14ac:dyDescent="0.2">
      <c r="A168" s="18" t="s">
        <v>68</v>
      </c>
      <c r="B168" s="23">
        <f t="shared" si="59"/>
        <v>833</v>
      </c>
      <c r="C168" s="23">
        <f t="shared" ref="C168:M168" si="80">C98-C28</f>
        <v>-6571</v>
      </c>
      <c r="D168" s="23">
        <f t="shared" si="80"/>
        <v>15258</v>
      </c>
      <c r="E168" s="23">
        <f t="shared" si="80"/>
        <v>-13268.49</v>
      </c>
      <c r="F168" s="23">
        <f t="shared" si="80"/>
        <v>0</v>
      </c>
      <c r="G168" s="23">
        <f t="shared" si="80"/>
        <v>0</v>
      </c>
      <c r="H168" s="23">
        <f t="shared" si="80"/>
        <v>0</v>
      </c>
      <c r="I168" s="23">
        <f t="shared" si="80"/>
        <v>0</v>
      </c>
      <c r="J168" s="23">
        <f t="shared" si="80"/>
        <v>0</v>
      </c>
      <c r="K168" s="23">
        <f t="shared" si="80"/>
        <v>0</v>
      </c>
      <c r="L168" s="23">
        <f t="shared" si="80"/>
        <v>0</v>
      </c>
      <c r="M168" s="23">
        <f t="shared" si="80"/>
        <v>0</v>
      </c>
      <c r="O168" s="23">
        <f t="shared" si="62"/>
        <v>-3748.49</v>
      </c>
      <c r="Q168" s="23">
        <f t="shared" si="63"/>
        <v>9520</v>
      </c>
      <c r="R168" s="23">
        <f t="shared" si="64"/>
        <v>-13268.49</v>
      </c>
      <c r="S168" s="23">
        <f t="shared" si="65"/>
        <v>0</v>
      </c>
      <c r="T168" s="23">
        <f t="shared" si="66"/>
        <v>0</v>
      </c>
      <c r="V168" s="23">
        <f t="shared" si="67"/>
        <v>-3748.49</v>
      </c>
    </row>
    <row r="169" spans="1:22" x14ac:dyDescent="0.2">
      <c r="A169" s="18" t="s">
        <v>94</v>
      </c>
      <c r="B169" s="23">
        <f t="shared" si="59"/>
        <v>0</v>
      </c>
      <c r="C169" s="23">
        <f t="shared" ref="C169:M169" si="81">C99-C29</f>
        <v>0</v>
      </c>
      <c r="D169" s="23">
        <f t="shared" si="81"/>
        <v>0</v>
      </c>
      <c r="E169" s="23">
        <f t="shared" si="81"/>
        <v>0</v>
      </c>
      <c r="F169" s="23">
        <f t="shared" si="81"/>
        <v>0</v>
      </c>
      <c r="G169" s="23">
        <f t="shared" si="81"/>
        <v>0</v>
      </c>
      <c r="H169" s="23">
        <f t="shared" si="81"/>
        <v>0</v>
      </c>
      <c r="I169" s="23">
        <f t="shared" si="81"/>
        <v>0</v>
      </c>
      <c r="J169" s="23">
        <f t="shared" si="81"/>
        <v>0</v>
      </c>
      <c r="K169" s="23">
        <f t="shared" si="81"/>
        <v>0</v>
      </c>
      <c r="L169" s="23">
        <f t="shared" si="81"/>
        <v>0</v>
      </c>
      <c r="M169" s="23">
        <f t="shared" si="81"/>
        <v>0</v>
      </c>
      <c r="O169" s="23">
        <f t="shared" si="62"/>
        <v>0</v>
      </c>
      <c r="Q169" s="23">
        <f t="shared" si="63"/>
        <v>0</v>
      </c>
      <c r="R169" s="23">
        <f t="shared" si="64"/>
        <v>0</v>
      </c>
      <c r="S169" s="23">
        <f t="shared" si="65"/>
        <v>0</v>
      </c>
      <c r="T169" s="23">
        <f t="shared" si="66"/>
        <v>0</v>
      </c>
      <c r="V169" s="23">
        <f t="shared" si="67"/>
        <v>0</v>
      </c>
    </row>
    <row r="170" spans="1:22" x14ac:dyDescent="0.2">
      <c r="A170" s="18" t="s">
        <v>46</v>
      </c>
      <c r="B170" s="23">
        <f t="shared" si="59"/>
        <v>600</v>
      </c>
      <c r="C170" s="23">
        <f t="shared" ref="C170:M170" si="82">C100-C30</f>
        <v>553</v>
      </c>
      <c r="D170" s="23">
        <f t="shared" si="82"/>
        <v>600</v>
      </c>
      <c r="E170" s="23">
        <f t="shared" si="82"/>
        <v>600</v>
      </c>
      <c r="F170" s="23">
        <f t="shared" si="82"/>
        <v>0</v>
      </c>
      <c r="G170" s="23">
        <f t="shared" si="82"/>
        <v>0</v>
      </c>
      <c r="H170" s="23">
        <f t="shared" si="82"/>
        <v>0</v>
      </c>
      <c r="I170" s="23">
        <f t="shared" si="82"/>
        <v>0</v>
      </c>
      <c r="J170" s="23">
        <f t="shared" si="82"/>
        <v>0</v>
      </c>
      <c r="K170" s="23">
        <f t="shared" si="82"/>
        <v>0</v>
      </c>
      <c r="L170" s="23">
        <f t="shared" si="82"/>
        <v>0</v>
      </c>
      <c r="M170" s="23">
        <f t="shared" si="82"/>
        <v>0</v>
      </c>
      <c r="O170" s="23">
        <f t="shared" si="62"/>
        <v>2353</v>
      </c>
      <c r="Q170" s="23">
        <f t="shared" si="63"/>
        <v>1753</v>
      </c>
      <c r="R170" s="23">
        <f t="shared" si="64"/>
        <v>600</v>
      </c>
      <c r="S170" s="23">
        <f t="shared" si="65"/>
        <v>0</v>
      </c>
      <c r="T170" s="23">
        <f t="shared" si="66"/>
        <v>0</v>
      </c>
      <c r="V170" s="23">
        <f t="shared" si="67"/>
        <v>2353</v>
      </c>
    </row>
    <row r="171" spans="1:22" x14ac:dyDescent="0.2">
      <c r="A171" s="18" t="s">
        <v>70</v>
      </c>
      <c r="B171" s="23">
        <f t="shared" si="59"/>
        <v>3208</v>
      </c>
      <c r="C171" s="23">
        <f t="shared" ref="C171:M171" si="83">C101-C31</f>
        <v>1744</v>
      </c>
      <c r="D171" s="23">
        <f t="shared" si="83"/>
        <v>-12704</v>
      </c>
      <c r="E171" s="23">
        <f t="shared" si="83"/>
        <v>-876.13999999999987</v>
      </c>
      <c r="F171" s="23">
        <f t="shared" si="83"/>
        <v>0</v>
      </c>
      <c r="G171" s="23">
        <f t="shared" si="83"/>
        <v>0</v>
      </c>
      <c r="H171" s="23">
        <f t="shared" si="83"/>
        <v>0</v>
      </c>
      <c r="I171" s="23">
        <f t="shared" si="83"/>
        <v>0</v>
      </c>
      <c r="J171" s="23">
        <f t="shared" si="83"/>
        <v>0</v>
      </c>
      <c r="K171" s="23">
        <f t="shared" si="83"/>
        <v>0</v>
      </c>
      <c r="L171" s="23">
        <f t="shared" si="83"/>
        <v>0</v>
      </c>
      <c r="M171" s="23">
        <f t="shared" si="83"/>
        <v>0</v>
      </c>
      <c r="O171" s="23">
        <f t="shared" si="62"/>
        <v>-8628.14</v>
      </c>
      <c r="Q171" s="23">
        <f t="shared" si="63"/>
        <v>-7752</v>
      </c>
      <c r="R171" s="23">
        <f t="shared" si="64"/>
        <v>-876.13999999999987</v>
      </c>
      <c r="S171" s="23">
        <f t="shared" si="65"/>
        <v>0</v>
      </c>
      <c r="T171" s="23">
        <f t="shared" si="66"/>
        <v>0</v>
      </c>
      <c r="V171" s="23">
        <f t="shared" si="67"/>
        <v>-8628.14</v>
      </c>
    </row>
    <row r="172" spans="1:22" x14ac:dyDescent="0.2">
      <c r="A172" s="18" t="s">
        <v>71</v>
      </c>
      <c r="B172" s="23">
        <f t="shared" si="59"/>
        <v>-14711</v>
      </c>
      <c r="C172" s="23">
        <f t="shared" ref="C172:M172" si="84">C102-C32</f>
        <v>-14212</v>
      </c>
      <c r="D172" s="23">
        <f t="shared" si="84"/>
        <v>-34011</v>
      </c>
      <c r="E172" s="23">
        <f t="shared" si="84"/>
        <v>-96407.74</v>
      </c>
      <c r="F172" s="23">
        <f t="shared" si="84"/>
        <v>0</v>
      </c>
      <c r="G172" s="23">
        <f t="shared" si="84"/>
        <v>0</v>
      </c>
      <c r="H172" s="23">
        <f t="shared" si="84"/>
        <v>0</v>
      </c>
      <c r="I172" s="23">
        <f t="shared" si="84"/>
        <v>0</v>
      </c>
      <c r="J172" s="23">
        <f t="shared" si="84"/>
        <v>0</v>
      </c>
      <c r="K172" s="23">
        <f t="shared" si="84"/>
        <v>0</v>
      </c>
      <c r="L172" s="23">
        <f t="shared" si="84"/>
        <v>0</v>
      </c>
      <c r="M172" s="23">
        <f t="shared" si="84"/>
        <v>0</v>
      </c>
      <c r="O172" s="23">
        <f t="shared" si="62"/>
        <v>-159341.74</v>
      </c>
      <c r="Q172" s="23">
        <f t="shared" si="63"/>
        <v>-62934</v>
      </c>
      <c r="R172" s="23">
        <f t="shared" si="64"/>
        <v>-96407.74</v>
      </c>
      <c r="S172" s="23">
        <f t="shared" si="65"/>
        <v>0</v>
      </c>
      <c r="T172" s="23">
        <f t="shared" si="66"/>
        <v>0</v>
      </c>
      <c r="V172" s="23">
        <f t="shared" si="67"/>
        <v>-159341.74</v>
      </c>
    </row>
    <row r="173" spans="1:22" x14ac:dyDescent="0.2">
      <c r="A173" s="18" t="s">
        <v>44</v>
      </c>
      <c r="B173" s="23">
        <f t="shared" si="59"/>
        <v>29838</v>
      </c>
      <c r="C173" s="23">
        <f t="shared" ref="C173:M173" si="85">C103-C33</f>
        <v>5376</v>
      </c>
      <c r="D173" s="23">
        <f t="shared" si="85"/>
        <v>17716</v>
      </c>
      <c r="E173" s="23">
        <f t="shared" si="85"/>
        <v>14902.289999999994</v>
      </c>
      <c r="F173" s="23">
        <f t="shared" si="85"/>
        <v>0</v>
      </c>
      <c r="G173" s="23">
        <f t="shared" si="85"/>
        <v>0</v>
      </c>
      <c r="H173" s="23">
        <f t="shared" si="85"/>
        <v>0</v>
      </c>
      <c r="I173" s="23">
        <f t="shared" si="85"/>
        <v>0</v>
      </c>
      <c r="J173" s="23">
        <f t="shared" si="85"/>
        <v>0</v>
      </c>
      <c r="K173" s="23">
        <f t="shared" si="85"/>
        <v>0</v>
      </c>
      <c r="L173" s="23">
        <f t="shared" si="85"/>
        <v>0</v>
      </c>
      <c r="M173" s="23">
        <f t="shared" si="85"/>
        <v>0</v>
      </c>
      <c r="O173" s="23">
        <f t="shared" si="62"/>
        <v>67832.289999999994</v>
      </c>
      <c r="Q173" s="23">
        <f t="shared" si="63"/>
        <v>52930</v>
      </c>
      <c r="R173" s="23">
        <f t="shared" si="64"/>
        <v>14902.289999999994</v>
      </c>
      <c r="S173" s="23">
        <f t="shared" si="65"/>
        <v>0</v>
      </c>
      <c r="T173" s="23">
        <f t="shared" si="66"/>
        <v>0</v>
      </c>
      <c r="V173" s="23">
        <f t="shared" si="67"/>
        <v>67832.289999999994</v>
      </c>
    </row>
    <row r="174" spans="1:22" x14ac:dyDescent="0.2">
      <c r="A174" s="18" t="s">
        <v>47</v>
      </c>
      <c r="B174" s="23">
        <f t="shared" si="59"/>
        <v>4075</v>
      </c>
      <c r="C174" s="23">
        <f t="shared" ref="C174:M174" si="86">C104-C34</f>
        <v>-6540</v>
      </c>
      <c r="D174" s="23">
        <f t="shared" si="86"/>
        <v>-3294</v>
      </c>
      <c r="E174" s="23">
        <f t="shared" si="86"/>
        <v>-2570.7200000000003</v>
      </c>
      <c r="F174" s="23">
        <f t="shared" si="86"/>
        <v>0</v>
      </c>
      <c r="G174" s="23">
        <f t="shared" si="86"/>
        <v>0</v>
      </c>
      <c r="H174" s="23">
        <f t="shared" si="86"/>
        <v>0</v>
      </c>
      <c r="I174" s="23">
        <f t="shared" si="86"/>
        <v>0</v>
      </c>
      <c r="J174" s="23">
        <f t="shared" si="86"/>
        <v>0</v>
      </c>
      <c r="K174" s="23">
        <f t="shared" si="86"/>
        <v>0</v>
      </c>
      <c r="L174" s="23">
        <f t="shared" si="86"/>
        <v>0</v>
      </c>
      <c r="M174" s="23">
        <f t="shared" si="86"/>
        <v>0</v>
      </c>
      <c r="O174" s="23">
        <f t="shared" si="62"/>
        <v>-8329.7200000000012</v>
      </c>
      <c r="Q174" s="23">
        <f t="shared" si="63"/>
        <v>-5759</v>
      </c>
      <c r="R174" s="23">
        <f t="shared" si="64"/>
        <v>-2570.7200000000003</v>
      </c>
      <c r="S174" s="23">
        <f t="shared" si="65"/>
        <v>0</v>
      </c>
      <c r="T174" s="23">
        <f t="shared" si="66"/>
        <v>0</v>
      </c>
      <c r="V174" s="23">
        <f t="shared" si="67"/>
        <v>-8329.7200000000012</v>
      </c>
    </row>
    <row r="175" spans="1:22" x14ac:dyDescent="0.2">
      <c r="A175" s="18" t="s">
        <v>2</v>
      </c>
      <c r="B175" s="23">
        <f t="shared" si="59"/>
        <v>5263</v>
      </c>
      <c r="C175" s="23">
        <f t="shared" ref="C175:M175" si="87">C105-C35</f>
        <v>-5853</v>
      </c>
      <c r="D175" s="23">
        <f t="shared" si="87"/>
        <v>-10582</v>
      </c>
      <c r="E175" s="23">
        <f t="shared" si="87"/>
        <v>-18450.900000000001</v>
      </c>
      <c r="F175" s="23">
        <f t="shared" si="87"/>
        <v>0</v>
      </c>
      <c r="G175" s="23">
        <f t="shared" si="87"/>
        <v>0</v>
      </c>
      <c r="H175" s="23">
        <f t="shared" si="87"/>
        <v>0</v>
      </c>
      <c r="I175" s="23">
        <f t="shared" si="87"/>
        <v>0</v>
      </c>
      <c r="J175" s="23">
        <f t="shared" si="87"/>
        <v>0</v>
      </c>
      <c r="K175" s="23">
        <f t="shared" si="87"/>
        <v>0</v>
      </c>
      <c r="L175" s="23">
        <f t="shared" si="87"/>
        <v>0</v>
      </c>
      <c r="M175" s="23">
        <f t="shared" si="87"/>
        <v>0</v>
      </c>
      <c r="O175" s="23">
        <f t="shared" si="62"/>
        <v>-29622.9</v>
      </c>
      <c r="Q175" s="23">
        <f t="shared" si="63"/>
        <v>-11172</v>
      </c>
      <c r="R175" s="23">
        <f t="shared" si="64"/>
        <v>-18450.900000000001</v>
      </c>
      <c r="S175" s="23">
        <f t="shared" si="65"/>
        <v>0</v>
      </c>
      <c r="T175" s="23">
        <f t="shared" si="66"/>
        <v>0</v>
      </c>
      <c r="V175" s="23">
        <f t="shared" si="67"/>
        <v>-29622.9</v>
      </c>
    </row>
    <row r="176" spans="1:22" x14ac:dyDescent="0.2">
      <c r="A176" s="18" t="s">
        <v>95</v>
      </c>
      <c r="B176" s="23">
        <f t="shared" si="59"/>
        <v>0</v>
      </c>
      <c r="C176" s="23">
        <f t="shared" ref="C176:M176" si="88">C106-C36</f>
        <v>0</v>
      </c>
      <c r="D176" s="23">
        <f t="shared" si="88"/>
        <v>0</v>
      </c>
      <c r="E176" s="23">
        <f t="shared" si="88"/>
        <v>0</v>
      </c>
      <c r="F176" s="23">
        <f t="shared" si="88"/>
        <v>0</v>
      </c>
      <c r="G176" s="23">
        <f t="shared" si="88"/>
        <v>0</v>
      </c>
      <c r="H176" s="23">
        <f t="shared" si="88"/>
        <v>0</v>
      </c>
      <c r="I176" s="23">
        <f t="shared" si="88"/>
        <v>0</v>
      </c>
      <c r="J176" s="23">
        <f t="shared" si="88"/>
        <v>0</v>
      </c>
      <c r="K176" s="23">
        <f t="shared" si="88"/>
        <v>0</v>
      </c>
      <c r="L176" s="23">
        <f t="shared" si="88"/>
        <v>0</v>
      </c>
      <c r="M176" s="23">
        <f t="shared" si="88"/>
        <v>0</v>
      </c>
      <c r="O176" s="23">
        <f t="shared" si="62"/>
        <v>0</v>
      </c>
      <c r="Q176" s="23">
        <f t="shared" si="63"/>
        <v>0</v>
      </c>
      <c r="R176" s="23">
        <f t="shared" si="64"/>
        <v>0</v>
      </c>
      <c r="S176" s="23">
        <f t="shared" si="65"/>
        <v>0</v>
      </c>
      <c r="T176" s="23">
        <f t="shared" si="66"/>
        <v>0</v>
      </c>
      <c r="V176" s="23">
        <f t="shared" si="67"/>
        <v>0</v>
      </c>
    </row>
    <row r="177" spans="1:22" x14ac:dyDescent="0.2">
      <c r="A177" s="18" t="s">
        <v>72</v>
      </c>
      <c r="B177" s="23">
        <f t="shared" si="59"/>
        <v>146</v>
      </c>
      <c r="C177" s="23">
        <f t="shared" ref="C177:M177" si="89">C107-C37</f>
        <v>146</v>
      </c>
      <c r="D177" s="23">
        <f t="shared" si="89"/>
        <v>104</v>
      </c>
      <c r="E177" s="23">
        <f t="shared" si="89"/>
        <v>146</v>
      </c>
      <c r="F177" s="23">
        <f t="shared" si="89"/>
        <v>0</v>
      </c>
      <c r="G177" s="23">
        <f t="shared" si="89"/>
        <v>0</v>
      </c>
      <c r="H177" s="23">
        <f t="shared" si="89"/>
        <v>0</v>
      </c>
      <c r="I177" s="23">
        <f t="shared" si="89"/>
        <v>0</v>
      </c>
      <c r="J177" s="23">
        <f t="shared" si="89"/>
        <v>0</v>
      </c>
      <c r="K177" s="23">
        <f t="shared" si="89"/>
        <v>0</v>
      </c>
      <c r="L177" s="23">
        <f t="shared" si="89"/>
        <v>0</v>
      </c>
      <c r="M177" s="23">
        <f t="shared" si="89"/>
        <v>0</v>
      </c>
      <c r="O177" s="23">
        <f t="shared" si="62"/>
        <v>542</v>
      </c>
      <c r="Q177" s="23">
        <f t="shared" si="63"/>
        <v>396</v>
      </c>
      <c r="R177" s="23">
        <f t="shared" si="64"/>
        <v>146</v>
      </c>
      <c r="S177" s="23">
        <f t="shared" si="65"/>
        <v>0</v>
      </c>
      <c r="T177" s="23">
        <f t="shared" si="66"/>
        <v>0</v>
      </c>
      <c r="V177" s="23">
        <f t="shared" si="67"/>
        <v>542</v>
      </c>
    </row>
    <row r="178" spans="1:22" x14ac:dyDescent="0.2">
      <c r="A178" s="18" t="s">
        <v>48</v>
      </c>
      <c r="B178" s="23">
        <f t="shared" si="59"/>
        <v>11143</v>
      </c>
      <c r="C178" s="23">
        <f t="shared" ref="C178:M178" si="90">C108-C38</f>
        <v>9313</v>
      </c>
      <c r="D178" s="23">
        <f t="shared" si="90"/>
        <v>6582</v>
      </c>
      <c r="E178" s="23">
        <f t="shared" si="90"/>
        <v>9379.85</v>
      </c>
      <c r="F178" s="23">
        <f t="shared" si="90"/>
        <v>0</v>
      </c>
      <c r="G178" s="23">
        <f t="shared" si="90"/>
        <v>0</v>
      </c>
      <c r="H178" s="23">
        <f t="shared" si="90"/>
        <v>0</v>
      </c>
      <c r="I178" s="23">
        <f t="shared" si="90"/>
        <v>0</v>
      </c>
      <c r="J178" s="23">
        <f t="shared" si="90"/>
        <v>0</v>
      </c>
      <c r="K178" s="23">
        <f t="shared" si="90"/>
        <v>0</v>
      </c>
      <c r="L178" s="23">
        <f t="shared" si="90"/>
        <v>0</v>
      </c>
      <c r="M178" s="23">
        <f t="shared" si="90"/>
        <v>0</v>
      </c>
      <c r="O178" s="23">
        <f t="shared" si="62"/>
        <v>36417.85</v>
      </c>
      <c r="Q178" s="23">
        <f t="shared" si="63"/>
        <v>27038</v>
      </c>
      <c r="R178" s="23">
        <f t="shared" si="64"/>
        <v>9379.85</v>
      </c>
      <c r="S178" s="23">
        <f t="shared" si="65"/>
        <v>0</v>
      </c>
      <c r="T178" s="23">
        <f t="shared" si="66"/>
        <v>0</v>
      </c>
      <c r="V178" s="23">
        <f t="shared" si="67"/>
        <v>36417.85</v>
      </c>
    </row>
    <row r="179" spans="1:22" x14ac:dyDescent="0.2">
      <c r="A179" s="18" t="s">
        <v>74</v>
      </c>
      <c r="B179" s="23">
        <f t="shared" ref="B179:M179" si="91">B109-B39</f>
        <v>0</v>
      </c>
      <c r="C179" s="23">
        <f t="shared" si="91"/>
        <v>0</v>
      </c>
      <c r="D179" s="23">
        <f t="shared" si="91"/>
        <v>0</v>
      </c>
      <c r="E179" s="23">
        <f t="shared" si="91"/>
        <v>0</v>
      </c>
      <c r="F179" s="23">
        <f t="shared" si="91"/>
        <v>0</v>
      </c>
      <c r="G179" s="23">
        <f t="shared" si="91"/>
        <v>0</v>
      </c>
      <c r="H179" s="23">
        <f t="shared" si="91"/>
        <v>0</v>
      </c>
      <c r="I179" s="23">
        <f t="shared" si="91"/>
        <v>0</v>
      </c>
      <c r="J179" s="23">
        <f t="shared" si="91"/>
        <v>0</v>
      </c>
      <c r="K179" s="23">
        <f t="shared" si="91"/>
        <v>0</v>
      </c>
      <c r="L179" s="23">
        <f t="shared" si="91"/>
        <v>0</v>
      </c>
      <c r="M179" s="23">
        <f t="shared" si="91"/>
        <v>0</v>
      </c>
      <c r="O179" s="23">
        <f t="shared" si="62"/>
        <v>0</v>
      </c>
      <c r="Q179" s="23">
        <f t="shared" si="63"/>
        <v>0</v>
      </c>
      <c r="R179" s="23">
        <f t="shared" si="64"/>
        <v>0</v>
      </c>
      <c r="S179" s="23">
        <f t="shared" si="65"/>
        <v>0</v>
      </c>
      <c r="T179" s="23">
        <f t="shared" si="66"/>
        <v>0</v>
      </c>
      <c r="V179" s="23">
        <f t="shared" si="67"/>
        <v>0</v>
      </c>
    </row>
    <row r="180" spans="1:22" x14ac:dyDescent="0.2">
      <c r="A180" s="18" t="s">
        <v>96</v>
      </c>
      <c r="B180" s="23">
        <f t="shared" ref="B180:M180" si="92">B110-B40</f>
        <v>-12222</v>
      </c>
      <c r="C180" s="23">
        <f t="shared" si="92"/>
        <v>-1232</v>
      </c>
      <c r="D180" s="23">
        <f t="shared" si="92"/>
        <v>0</v>
      </c>
      <c r="E180" s="23">
        <f t="shared" si="92"/>
        <v>-34641.39</v>
      </c>
      <c r="F180" s="23">
        <f t="shared" si="92"/>
        <v>0</v>
      </c>
      <c r="G180" s="23">
        <f t="shared" si="92"/>
        <v>0</v>
      </c>
      <c r="H180" s="23">
        <f t="shared" si="92"/>
        <v>0</v>
      </c>
      <c r="I180" s="23">
        <f t="shared" si="92"/>
        <v>0</v>
      </c>
      <c r="J180" s="23">
        <f t="shared" si="92"/>
        <v>0</v>
      </c>
      <c r="K180" s="23">
        <f t="shared" si="92"/>
        <v>0</v>
      </c>
      <c r="L180" s="23">
        <f t="shared" si="92"/>
        <v>0</v>
      </c>
      <c r="M180" s="23">
        <f t="shared" si="92"/>
        <v>0</v>
      </c>
      <c r="O180" s="23">
        <f t="shared" si="62"/>
        <v>-48095.39</v>
      </c>
      <c r="Q180" s="23">
        <f t="shared" si="63"/>
        <v>-13454</v>
      </c>
      <c r="R180" s="23">
        <f t="shared" si="64"/>
        <v>-34641.39</v>
      </c>
      <c r="S180" s="23">
        <f t="shared" si="65"/>
        <v>0</v>
      </c>
      <c r="T180" s="23">
        <f t="shared" si="66"/>
        <v>0</v>
      </c>
      <c r="V180" s="23">
        <f t="shared" si="67"/>
        <v>-48095.39</v>
      </c>
    </row>
    <row r="181" spans="1:22" x14ac:dyDescent="0.2">
      <c r="A181" s="18"/>
    </row>
    <row r="182" spans="1:22" x14ac:dyDescent="0.2">
      <c r="A182" s="19" t="s">
        <v>28</v>
      </c>
      <c r="B182" s="27">
        <f t="shared" ref="B182:M182" si="93">SUM(B153:B180)</f>
        <v>30536</v>
      </c>
      <c r="C182" s="27">
        <f t="shared" si="93"/>
        <v>-18757</v>
      </c>
      <c r="D182" s="27">
        <f t="shared" si="93"/>
        <v>-33425</v>
      </c>
      <c r="E182" s="27">
        <f t="shared" si="93"/>
        <v>-139496.74</v>
      </c>
      <c r="F182" s="27">
        <f t="shared" si="93"/>
        <v>0</v>
      </c>
      <c r="G182" s="27">
        <f t="shared" si="93"/>
        <v>0</v>
      </c>
      <c r="H182" s="27">
        <f t="shared" si="93"/>
        <v>0</v>
      </c>
      <c r="I182" s="27">
        <f t="shared" si="93"/>
        <v>0</v>
      </c>
      <c r="J182" s="27">
        <f t="shared" si="93"/>
        <v>0</v>
      </c>
      <c r="K182" s="27">
        <f t="shared" si="93"/>
        <v>0</v>
      </c>
      <c r="L182" s="27">
        <f t="shared" si="93"/>
        <v>0</v>
      </c>
      <c r="M182" s="27">
        <f t="shared" si="93"/>
        <v>0</v>
      </c>
      <c r="O182" s="27">
        <f>SUM(O153:O180)</f>
        <v>-161142.74</v>
      </c>
      <c r="Q182" s="27">
        <f>SUM(Q153:Q180)</f>
        <v>-21646</v>
      </c>
      <c r="R182" s="27">
        <f>SUM(R153:R180)</f>
        <v>-139496.74</v>
      </c>
      <c r="S182" s="27">
        <f>SUM(S153:S180)</f>
        <v>0</v>
      </c>
      <c r="T182" s="27">
        <f>SUM(T153:T180)</f>
        <v>0</v>
      </c>
      <c r="V182" s="27">
        <f>SUM(V153:V180)</f>
        <v>-161142.74</v>
      </c>
    </row>
    <row r="183" spans="1:22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">
      <c r="A184" s="17" t="s">
        <v>29</v>
      </c>
      <c r="B184" s="25">
        <f t="shared" ref="B184:M184" si="94">+B114-B44</f>
        <v>-1515.3333333333321</v>
      </c>
      <c r="C184" s="25">
        <f t="shared" si="94"/>
        <v>-1515.3333333333321</v>
      </c>
      <c r="D184" s="25">
        <f t="shared" si="94"/>
        <v>514.66666666666788</v>
      </c>
      <c r="E184" s="25">
        <f t="shared" si="94"/>
        <v>-500.33333333333212</v>
      </c>
      <c r="F184" s="25">
        <f t="shared" si="94"/>
        <v>-500.33333333333212</v>
      </c>
      <c r="G184" s="25">
        <f t="shared" si="94"/>
        <v>-0.33333333333212067</v>
      </c>
      <c r="H184" s="25">
        <f t="shared" si="94"/>
        <v>-0.33333333333212067</v>
      </c>
      <c r="I184" s="25">
        <f t="shared" si="94"/>
        <v>-0.33333333333212067</v>
      </c>
      <c r="J184" s="25">
        <f t="shared" si="94"/>
        <v>-0.33333333333212067</v>
      </c>
      <c r="K184" s="25">
        <f t="shared" si="94"/>
        <v>-0.33333333333212067</v>
      </c>
      <c r="L184" s="25">
        <f t="shared" si="94"/>
        <v>-0.33333333333212067</v>
      </c>
      <c r="M184" s="25">
        <f t="shared" si="94"/>
        <v>-0.33333333333212067</v>
      </c>
      <c r="O184" s="25">
        <f>SUM(B184:M184)</f>
        <v>-3518.9999999999854</v>
      </c>
      <c r="Q184" s="25">
        <f>SUM(B184:D184)</f>
        <v>-2515.9999999999964</v>
      </c>
      <c r="R184" s="25">
        <f>SUM(E184:G184)</f>
        <v>-1000.9999999999964</v>
      </c>
      <c r="S184" s="25">
        <f>SUM(H184:J184)</f>
        <v>-0.99999999999636202</v>
      </c>
      <c r="T184" s="25">
        <f>SUM(K184:M184)</f>
        <v>-0.99999999999636202</v>
      </c>
      <c r="V184" s="25">
        <f>SUM(Q184:U184)</f>
        <v>-3518.9999999999854</v>
      </c>
    </row>
    <row r="185" spans="1:22" x14ac:dyDescent="0.2">
      <c r="A185" s="17"/>
    </row>
    <row r="186" spans="1:22" x14ac:dyDescent="0.2">
      <c r="A186" s="17" t="s">
        <v>30</v>
      </c>
      <c r="B186" s="25">
        <f t="shared" ref="B186:M186" si="95">+B116-B46</f>
        <v>-83333</v>
      </c>
      <c r="C186" s="25">
        <f t="shared" si="95"/>
        <v>-83334</v>
      </c>
      <c r="D186" s="25">
        <f t="shared" si="95"/>
        <v>50000</v>
      </c>
      <c r="E186" s="25">
        <f t="shared" si="95"/>
        <v>-16666</v>
      </c>
      <c r="F186" s="25">
        <f t="shared" si="95"/>
        <v>-33334</v>
      </c>
      <c r="G186" s="25">
        <f t="shared" si="95"/>
        <v>-33333</v>
      </c>
      <c r="H186" s="25">
        <f t="shared" si="95"/>
        <v>-33333</v>
      </c>
      <c r="I186" s="25">
        <f t="shared" si="95"/>
        <v>-33334</v>
      </c>
      <c r="J186" s="25">
        <f t="shared" si="95"/>
        <v>-33333</v>
      </c>
      <c r="K186" s="25">
        <f t="shared" si="95"/>
        <v>-33333</v>
      </c>
      <c r="L186" s="25">
        <f t="shared" si="95"/>
        <v>-33334</v>
      </c>
      <c r="M186" s="25">
        <f t="shared" si="95"/>
        <v>-33333</v>
      </c>
      <c r="O186" s="25">
        <f>SUM(B186:M186)</f>
        <v>-400000</v>
      </c>
      <c r="Q186" s="25">
        <f>SUM(B186:D186)</f>
        <v>-116667</v>
      </c>
      <c r="R186" s="25">
        <f>SUM(E186:G186)</f>
        <v>-83333</v>
      </c>
      <c r="S186" s="25">
        <f>SUM(H186:J186)</f>
        <v>-100000</v>
      </c>
      <c r="T186" s="25">
        <f>SUM(K186:M186)</f>
        <v>-100000</v>
      </c>
      <c r="V186" s="25">
        <f>SUM(Q186:U186)</f>
        <v>-400000</v>
      </c>
    </row>
    <row r="187" spans="1:22" x14ac:dyDescent="0.2">
      <c r="A187" s="17"/>
    </row>
    <row r="188" spans="1:22" ht="13.5" thickBot="1" x14ac:dyDescent="0.25">
      <c r="A188" s="4" t="s">
        <v>16</v>
      </c>
      <c r="B188" s="24">
        <f t="shared" ref="B188:M188" si="96">+B182+B184+B186</f>
        <v>-54312.333333333328</v>
      </c>
      <c r="C188" s="24">
        <f t="shared" si="96"/>
        <v>-103606.33333333333</v>
      </c>
      <c r="D188" s="24">
        <f t="shared" si="96"/>
        <v>17089.666666666672</v>
      </c>
      <c r="E188" s="24">
        <f t="shared" si="96"/>
        <v>-156663.07333333333</v>
      </c>
      <c r="F188" s="24">
        <f t="shared" si="96"/>
        <v>-33834.333333333328</v>
      </c>
      <c r="G188" s="24">
        <f t="shared" si="96"/>
        <v>-33333.333333333328</v>
      </c>
      <c r="H188" s="24">
        <f t="shared" si="96"/>
        <v>-33333.333333333328</v>
      </c>
      <c r="I188" s="24">
        <f t="shared" si="96"/>
        <v>-33334.333333333328</v>
      </c>
      <c r="J188" s="24">
        <f t="shared" si="96"/>
        <v>-33333.333333333328</v>
      </c>
      <c r="K188" s="24">
        <f t="shared" si="96"/>
        <v>-33333.333333333328</v>
      </c>
      <c r="L188" s="24">
        <f t="shared" si="96"/>
        <v>-33334.333333333328</v>
      </c>
      <c r="M188" s="24">
        <f t="shared" si="96"/>
        <v>-33333.333333333328</v>
      </c>
      <c r="O188" s="24">
        <f>+O182+O184+O186</f>
        <v>-564661.74</v>
      </c>
      <c r="Q188" s="24">
        <f>+Q182+Q184+Q186</f>
        <v>-140829</v>
      </c>
      <c r="R188" s="24">
        <f>+R182+R184+R186</f>
        <v>-223830.74</v>
      </c>
      <c r="S188" s="24">
        <f>+S182+S184+S186</f>
        <v>-100001</v>
      </c>
      <c r="T188" s="24">
        <f>+T182+T184+T186</f>
        <v>-100001</v>
      </c>
      <c r="V188" s="24">
        <f>+V182+V184+V186</f>
        <v>-564661.74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23">
        <f t="shared" ref="B191:M191" si="97">+B121-B51</f>
        <v>2369.5</v>
      </c>
      <c r="C191" s="23">
        <f t="shared" si="97"/>
        <v>2369.5</v>
      </c>
      <c r="D191" s="23">
        <f t="shared" si="97"/>
        <v>-17630.5</v>
      </c>
      <c r="E191" s="23">
        <f t="shared" si="97"/>
        <v>-779.5</v>
      </c>
      <c r="F191" s="23">
        <f t="shared" si="97"/>
        <v>-779.5</v>
      </c>
      <c r="G191" s="23">
        <f t="shared" si="97"/>
        <v>-152.75</v>
      </c>
      <c r="H191" s="23">
        <f t="shared" si="97"/>
        <v>-153.75</v>
      </c>
      <c r="I191" s="23">
        <f t="shared" si="97"/>
        <v>-153.75</v>
      </c>
      <c r="J191" s="23">
        <f t="shared" si="97"/>
        <v>-152.75</v>
      </c>
      <c r="K191" s="23">
        <f t="shared" si="97"/>
        <v>-153.75</v>
      </c>
      <c r="L191" s="23">
        <f t="shared" si="97"/>
        <v>-153.75</v>
      </c>
      <c r="M191" s="23">
        <f t="shared" si="97"/>
        <v>-152.75</v>
      </c>
      <c r="O191" s="23">
        <f t="shared" ref="O191:O197" si="98">SUM(B191:M191)</f>
        <v>-15523.75</v>
      </c>
      <c r="Q191" s="23">
        <f t="shared" ref="Q191:Q198" si="99">SUM(B191:D191)</f>
        <v>-12891.5</v>
      </c>
      <c r="R191" s="23">
        <f t="shared" ref="R191:R198" si="100">SUM(E191:G191)</f>
        <v>-1711.75</v>
      </c>
      <c r="S191" s="23">
        <f t="shared" ref="S191:S198" si="101">SUM(H191:J191)</f>
        <v>-460.25</v>
      </c>
      <c r="T191" s="23">
        <f t="shared" ref="T191:T198" si="102">SUM(K191:M191)</f>
        <v>-460.25</v>
      </c>
      <c r="V191" s="23">
        <f t="shared" ref="V191:V198" si="103">SUM(Q191:U191)</f>
        <v>-15523.75</v>
      </c>
    </row>
    <row r="192" spans="1:22" x14ac:dyDescent="0.2">
      <c r="A192" s="3" t="s">
        <v>1</v>
      </c>
      <c r="B192" s="23">
        <f t="shared" ref="B192:M192" si="104">+B122-B52</f>
        <v>-54000</v>
      </c>
      <c r="C192" s="23">
        <f t="shared" si="104"/>
        <v>-44182</v>
      </c>
      <c r="D192" s="23">
        <f t="shared" si="104"/>
        <v>-44182</v>
      </c>
      <c r="E192" s="23">
        <f t="shared" si="104"/>
        <v>-44182</v>
      </c>
      <c r="F192" s="23">
        <f t="shared" si="104"/>
        <v>-37782</v>
      </c>
      <c r="G192" s="23">
        <f t="shared" si="104"/>
        <v>23509.25</v>
      </c>
      <c r="H192" s="23">
        <f t="shared" si="104"/>
        <v>23509.25</v>
      </c>
      <c r="I192" s="23">
        <f t="shared" si="104"/>
        <v>23509.25</v>
      </c>
      <c r="J192" s="23">
        <f t="shared" si="104"/>
        <v>23509.25</v>
      </c>
      <c r="K192" s="23">
        <f t="shared" si="104"/>
        <v>23509.25</v>
      </c>
      <c r="L192" s="23">
        <f t="shared" si="104"/>
        <v>23509.25</v>
      </c>
      <c r="M192" s="23">
        <f t="shared" si="104"/>
        <v>23511.25</v>
      </c>
      <c r="O192" s="23">
        <f t="shared" si="98"/>
        <v>-59761.25</v>
      </c>
      <c r="Q192" s="23">
        <f t="shared" si="99"/>
        <v>-142364</v>
      </c>
      <c r="R192" s="23">
        <f t="shared" si="100"/>
        <v>-58454.75</v>
      </c>
      <c r="S192" s="23">
        <f t="shared" si="101"/>
        <v>70527.75</v>
      </c>
      <c r="T192" s="23">
        <f t="shared" si="102"/>
        <v>70529.75</v>
      </c>
      <c r="V192" s="23">
        <f t="shared" si="103"/>
        <v>-59761.25</v>
      </c>
    </row>
    <row r="193" spans="1:22" x14ac:dyDescent="0.2">
      <c r="A193" s="3" t="s">
        <v>3</v>
      </c>
      <c r="B193" s="23">
        <f t="shared" ref="B193:M193" si="105">+B123-B53</f>
        <v>8333.3333333333339</v>
      </c>
      <c r="C193" s="23">
        <f t="shared" si="105"/>
        <v>8333.3333333333339</v>
      </c>
      <c r="D193" s="23">
        <f t="shared" si="105"/>
        <v>8333.3333333333339</v>
      </c>
      <c r="E193" s="23">
        <f t="shared" si="105"/>
        <v>8333.3333333333339</v>
      </c>
      <c r="F193" s="23">
        <f t="shared" si="105"/>
        <v>0</v>
      </c>
      <c r="G193" s="23">
        <f t="shared" si="105"/>
        <v>0</v>
      </c>
      <c r="H193" s="23">
        <f t="shared" si="105"/>
        <v>0</v>
      </c>
      <c r="I193" s="23">
        <f t="shared" si="105"/>
        <v>0</v>
      </c>
      <c r="J193" s="23">
        <f t="shared" si="105"/>
        <v>0</v>
      </c>
      <c r="K193" s="23">
        <f t="shared" si="105"/>
        <v>0</v>
      </c>
      <c r="L193" s="23">
        <f t="shared" si="105"/>
        <v>0</v>
      </c>
      <c r="M193" s="23">
        <f t="shared" si="105"/>
        <v>0</v>
      </c>
      <c r="O193" s="23">
        <f t="shared" si="98"/>
        <v>33333.333333333336</v>
      </c>
      <c r="Q193" s="23">
        <f t="shared" si="99"/>
        <v>25000</v>
      </c>
      <c r="R193" s="23">
        <f t="shared" si="100"/>
        <v>8333.3333333333339</v>
      </c>
      <c r="S193" s="23">
        <f t="shared" si="101"/>
        <v>0</v>
      </c>
      <c r="T193" s="23">
        <f t="shared" si="102"/>
        <v>0</v>
      </c>
      <c r="V193" s="23">
        <f t="shared" si="103"/>
        <v>33333.333333333336</v>
      </c>
    </row>
    <row r="194" spans="1:22" x14ac:dyDescent="0.2">
      <c r="A194" s="3" t="s">
        <v>4</v>
      </c>
      <c r="B194" s="23">
        <f t="shared" ref="B194:M194" si="106">+B124-B54</f>
        <v>2500</v>
      </c>
      <c r="C194" s="23">
        <f t="shared" si="106"/>
        <v>2500</v>
      </c>
      <c r="D194" s="23">
        <f t="shared" si="106"/>
        <v>2500</v>
      </c>
      <c r="E194" s="23">
        <f t="shared" si="106"/>
        <v>2500</v>
      </c>
      <c r="F194" s="23">
        <f t="shared" si="106"/>
        <v>0</v>
      </c>
      <c r="G194" s="23">
        <f t="shared" si="106"/>
        <v>0</v>
      </c>
      <c r="H194" s="23">
        <f t="shared" si="106"/>
        <v>0</v>
      </c>
      <c r="I194" s="23">
        <f t="shared" si="106"/>
        <v>0</v>
      </c>
      <c r="J194" s="23">
        <f t="shared" si="106"/>
        <v>0</v>
      </c>
      <c r="K194" s="23">
        <f t="shared" si="106"/>
        <v>0</v>
      </c>
      <c r="L194" s="23">
        <f t="shared" si="106"/>
        <v>0</v>
      </c>
      <c r="M194" s="23">
        <f t="shared" si="106"/>
        <v>0</v>
      </c>
      <c r="O194" s="23">
        <f t="shared" si="98"/>
        <v>10000</v>
      </c>
      <c r="Q194" s="23">
        <f t="shared" si="99"/>
        <v>7500</v>
      </c>
      <c r="R194" s="23">
        <f t="shared" si="100"/>
        <v>2500</v>
      </c>
      <c r="S194" s="23">
        <f t="shared" si="101"/>
        <v>0</v>
      </c>
      <c r="T194" s="23">
        <f t="shared" si="102"/>
        <v>0</v>
      </c>
      <c r="V194" s="23">
        <f t="shared" si="103"/>
        <v>10000</v>
      </c>
    </row>
    <row r="195" spans="1:22" x14ac:dyDescent="0.2">
      <c r="A195" s="3" t="s">
        <v>5</v>
      </c>
      <c r="B195" s="23">
        <f t="shared" ref="B195:M195" si="107">+B125-B55</f>
        <v>6250</v>
      </c>
      <c r="C195" s="23">
        <f t="shared" si="107"/>
        <v>3600</v>
      </c>
      <c r="D195" s="23">
        <f t="shared" si="107"/>
        <v>57036</v>
      </c>
      <c r="E195" s="23">
        <f t="shared" si="107"/>
        <v>6250</v>
      </c>
      <c r="F195" s="23">
        <f t="shared" si="107"/>
        <v>0</v>
      </c>
      <c r="G195" s="23">
        <f t="shared" si="107"/>
        <v>0</v>
      </c>
      <c r="H195" s="23">
        <f t="shared" si="107"/>
        <v>0</v>
      </c>
      <c r="I195" s="23">
        <f t="shared" si="107"/>
        <v>0</v>
      </c>
      <c r="J195" s="23">
        <f t="shared" si="107"/>
        <v>0</v>
      </c>
      <c r="K195" s="23">
        <f t="shared" si="107"/>
        <v>0</v>
      </c>
      <c r="L195" s="23">
        <f t="shared" si="107"/>
        <v>0</v>
      </c>
      <c r="M195" s="23">
        <f t="shared" si="107"/>
        <v>0</v>
      </c>
      <c r="O195" s="23">
        <f t="shared" si="98"/>
        <v>73136</v>
      </c>
      <c r="Q195" s="23">
        <f t="shared" si="99"/>
        <v>66886</v>
      </c>
      <c r="R195" s="23">
        <f t="shared" si="100"/>
        <v>6250</v>
      </c>
      <c r="S195" s="23">
        <f t="shared" si="101"/>
        <v>0</v>
      </c>
      <c r="T195" s="23">
        <f t="shared" si="102"/>
        <v>0</v>
      </c>
      <c r="V195" s="23">
        <f t="shared" si="103"/>
        <v>73136</v>
      </c>
    </row>
    <row r="196" spans="1:22" x14ac:dyDescent="0.2">
      <c r="A196" s="3" t="s">
        <v>14</v>
      </c>
      <c r="B196" s="23">
        <f t="shared" ref="B196:M196" si="108">+B126-B56</f>
        <v>0</v>
      </c>
      <c r="C196" s="23">
        <f t="shared" si="108"/>
        <v>0</v>
      </c>
      <c r="D196" s="23">
        <f t="shared" si="108"/>
        <v>0</v>
      </c>
      <c r="E196" s="23">
        <f t="shared" si="108"/>
        <v>0</v>
      </c>
      <c r="F196" s="23">
        <f t="shared" si="108"/>
        <v>0</v>
      </c>
      <c r="G196" s="23">
        <f t="shared" si="108"/>
        <v>0</v>
      </c>
      <c r="H196" s="23">
        <f t="shared" si="108"/>
        <v>0</v>
      </c>
      <c r="I196" s="23">
        <f t="shared" si="108"/>
        <v>0</v>
      </c>
      <c r="J196" s="23">
        <f t="shared" si="108"/>
        <v>0</v>
      </c>
      <c r="K196" s="23">
        <f t="shared" si="108"/>
        <v>0</v>
      </c>
      <c r="L196" s="23">
        <f t="shared" si="108"/>
        <v>0</v>
      </c>
      <c r="M196" s="23">
        <f t="shared" si="108"/>
        <v>0</v>
      </c>
      <c r="O196" s="23">
        <f t="shared" si="98"/>
        <v>0</v>
      </c>
      <c r="Q196" s="23">
        <f t="shared" si="99"/>
        <v>0</v>
      </c>
      <c r="R196" s="23">
        <f t="shared" si="100"/>
        <v>0</v>
      </c>
      <c r="S196" s="23">
        <f t="shared" si="101"/>
        <v>0</v>
      </c>
      <c r="T196" s="23">
        <f t="shared" si="102"/>
        <v>0</v>
      </c>
      <c r="V196" s="23">
        <f t="shared" si="103"/>
        <v>0</v>
      </c>
    </row>
    <row r="197" spans="1:22" x14ac:dyDescent="0.2">
      <c r="A197" s="3"/>
      <c r="B197" s="23">
        <f t="shared" ref="B197:M197" si="109">+B127-B57</f>
        <v>0</v>
      </c>
      <c r="C197" s="23">
        <f t="shared" si="109"/>
        <v>0</v>
      </c>
      <c r="D197" s="23">
        <f t="shared" si="109"/>
        <v>0</v>
      </c>
      <c r="E197" s="23">
        <f t="shared" si="109"/>
        <v>0</v>
      </c>
      <c r="F197" s="23">
        <f t="shared" si="109"/>
        <v>0</v>
      </c>
      <c r="G197" s="23">
        <f t="shared" si="109"/>
        <v>0</v>
      </c>
      <c r="H197" s="23">
        <f t="shared" si="109"/>
        <v>0</v>
      </c>
      <c r="I197" s="23">
        <f t="shared" si="109"/>
        <v>0</v>
      </c>
      <c r="J197" s="23">
        <f t="shared" si="109"/>
        <v>0</v>
      </c>
      <c r="K197" s="23">
        <f t="shared" si="109"/>
        <v>0</v>
      </c>
      <c r="L197" s="23">
        <f t="shared" si="109"/>
        <v>0</v>
      </c>
      <c r="M197" s="23">
        <f t="shared" si="109"/>
        <v>0</v>
      </c>
      <c r="O197" s="23">
        <f t="shared" si="98"/>
        <v>0</v>
      </c>
      <c r="Q197" s="23">
        <f t="shared" si="99"/>
        <v>0</v>
      </c>
      <c r="R197" s="23">
        <f t="shared" si="100"/>
        <v>0</v>
      </c>
      <c r="S197" s="23">
        <f t="shared" si="101"/>
        <v>0</v>
      </c>
      <c r="T197" s="23">
        <f t="shared" si="102"/>
        <v>0</v>
      </c>
      <c r="V197" s="23">
        <f t="shared" si="103"/>
        <v>0</v>
      </c>
    </row>
    <row r="198" spans="1:22" ht="13.5" thickBot="1" x14ac:dyDescent="0.25">
      <c r="A198" s="4" t="s">
        <v>15</v>
      </c>
      <c r="B198" s="28">
        <f t="shared" ref="B198:M198" si="110">SUM(B190:B197)</f>
        <v>-34547.166666666664</v>
      </c>
      <c r="C198" s="28">
        <f t="shared" si="110"/>
        <v>-27379.166666666664</v>
      </c>
      <c r="D198" s="28">
        <f t="shared" si="110"/>
        <v>6056.8333333333358</v>
      </c>
      <c r="E198" s="28">
        <f t="shared" si="110"/>
        <v>-27878.166666666664</v>
      </c>
      <c r="F198" s="28">
        <f t="shared" si="110"/>
        <v>-38561.5</v>
      </c>
      <c r="G198" s="28">
        <f t="shared" si="110"/>
        <v>23356.5</v>
      </c>
      <c r="H198" s="28">
        <f t="shared" si="110"/>
        <v>23355.5</v>
      </c>
      <c r="I198" s="28">
        <f t="shared" si="110"/>
        <v>23355.5</v>
      </c>
      <c r="J198" s="28">
        <f t="shared" si="110"/>
        <v>23356.5</v>
      </c>
      <c r="K198" s="28">
        <f t="shared" si="110"/>
        <v>23355.5</v>
      </c>
      <c r="L198" s="28">
        <f t="shared" si="110"/>
        <v>23355.5</v>
      </c>
      <c r="M198" s="28">
        <f t="shared" si="110"/>
        <v>23358.5</v>
      </c>
      <c r="O198" s="28">
        <f>SUM(O190:O197)</f>
        <v>41184.333333333336</v>
      </c>
      <c r="Q198" s="28">
        <f t="shared" si="99"/>
        <v>-55869.499999999993</v>
      </c>
      <c r="R198" s="28">
        <f t="shared" si="100"/>
        <v>-43083.166666666657</v>
      </c>
      <c r="S198" s="28">
        <f t="shared" si="101"/>
        <v>70067.5</v>
      </c>
      <c r="T198" s="28">
        <f t="shared" si="102"/>
        <v>70069.5</v>
      </c>
      <c r="V198" s="28">
        <f t="shared" si="103"/>
        <v>41184.333333333343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23">
        <f t="shared" ref="B201:M201" si="111">+B131-B61</f>
        <v>0</v>
      </c>
      <c r="C201" s="23">
        <f t="shared" si="111"/>
        <v>0</v>
      </c>
      <c r="D201" s="23">
        <f t="shared" si="111"/>
        <v>0</v>
      </c>
      <c r="E201" s="23">
        <f t="shared" si="111"/>
        <v>0</v>
      </c>
      <c r="F201" s="23">
        <f t="shared" si="111"/>
        <v>0</v>
      </c>
      <c r="G201" s="23">
        <f t="shared" si="111"/>
        <v>0</v>
      </c>
      <c r="H201" s="23">
        <f t="shared" si="111"/>
        <v>0</v>
      </c>
      <c r="I201" s="23">
        <f t="shared" si="111"/>
        <v>0</v>
      </c>
      <c r="J201" s="23">
        <f t="shared" si="111"/>
        <v>0</v>
      </c>
      <c r="K201" s="23">
        <f t="shared" si="111"/>
        <v>0</v>
      </c>
      <c r="L201" s="23">
        <f t="shared" si="111"/>
        <v>0</v>
      </c>
      <c r="M201" s="23">
        <f t="shared" si="111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">
      <c r="A202" s="3" t="s">
        <v>7</v>
      </c>
      <c r="B202" s="23">
        <f t="shared" ref="B202:M202" si="112">+B132-B62</f>
        <v>-127753</v>
      </c>
      <c r="C202" s="23">
        <f t="shared" si="112"/>
        <v>128000</v>
      </c>
      <c r="D202" s="23">
        <f t="shared" si="112"/>
        <v>153470</v>
      </c>
      <c r="E202" s="23">
        <f t="shared" si="112"/>
        <v>44119</v>
      </c>
      <c r="F202" s="23">
        <f t="shared" si="112"/>
        <v>43568.639673833037</v>
      </c>
      <c r="G202" s="23">
        <f t="shared" si="112"/>
        <v>33430.313416510588</v>
      </c>
      <c r="H202" s="23">
        <f t="shared" si="112"/>
        <v>51283.483516961336</v>
      </c>
      <c r="I202" s="23">
        <f t="shared" si="112"/>
        <v>119295.1382887892</v>
      </c>
      <c r="J202" s="23">
        <f t="shared" si="112"/>
        <v>187365.1770239647</v>
      </c>
      <c r="K202" s="23">
        <f t="shared" si="112"/>
        <v>190261.76596895541</v>
      </c>
      <c r="L202" s="23">
        <f t="shared" si="112"/>
        <v>191144.06977073185</v>
      </c>
      <c r="M202" s="23">
        <f t="shared" si="112"/>
        <v>217388.54722774465</v>
      </c>
      <c r="O202" s="23">
        <f>SUM(B202:M202)</f>
        <v>1231573.1348874907</v>
      </c>
      <c r="Q202" s="23">
        <f>SUM(B202:D202)</f>
        <v>153717</v>
      </c>
      <c r="R202" s="23">
        <f>SUM(E202:G202)</f>
        <v>121117.95309034362</v>
      </c>
      <c r="S202" s="23">
        <f>SUM(H202:J202)</f>
        <v>357943.79882971523</v>
      </c>
      <c r="T202" s="23">
        <f>SUM(K202:M202)</f>
        <v>598794.38296743191</v>
      </c>
      <c r="V202" s="23">
        <f>SUM(Q202:U202)</f>
        <v>1231573.1348874909</v>
      </c>
    </row>
    <row r="203" spans="1:22" x14ac:dyDescent="0.2">
      <c r="A203" s="3" t="s">
        <v>8</v>
      </c>
      <c r="B203" s="23">
        <f t="shared" ref="B203:M203" si="113">+B133-B63</f>
        <v>-7072</v>
      </c>
      <c r="C203" s="23">
        <f t="shared" si="113"/>
        <v>-18501</v>
      </c>
      <c r="D203" s="23">
        <f t="shared" si="113"/>
        <v>-5722</v>
      </c>
      <c r="E203" s="23">
        <f t="shared" si="113"/>
        <v>-9966</v>
      </c>
      <c r="F203" s="23">
        <f t="shared" si="113"/>
        <v>-9966</v>
      </c>
      <c r="G203" s="23">
        <f t="shared" si="113"/>
        <v>-9966</v>
      </c>
      <c r="H203" s="23">
        <f t="shared" si="113"/>
        <v>-9966</v>
      </c>
      <c r="I203" s="23">
        <f t="shared" si="113"/>
        <v>-9966</v>
      </c>
      <c r="J203" s="23">
        <f t="shared" si="113"/>
        <v>-9966</v>
      </c>
      <c r="K203" s="23">
        <f t="shared" si="113"/>
        <v>-9966</v>
      </c>
      <c r="L203" s="23">
        <f t="shared" si="113"/>
        <v>-9966</v>
      </c>
      <c r="M203" s="23">
        <f t="shared" si="113"/>
        <v>-12966</v>
      </c>
      <c r="O203" s="23">
        <f>SUM(B203:M203)</f>
        <v>-123989</v>
      </c>
      <c r="Q203" s="23">
        <f>SUM(B203:D203)</f>
        <v>-31295</v>
      </c>
      <c r="R203" s="23">
        <f>SUM(E203:G203)</f>
        <v>-29898</v>
      </c>
      <c r="S203" s="23">
        <f>SUM(H203:J203)</f>
        <v>-29898</v>
      </c>
      <c r="T203" s="23">
        <f>SUM(K203:M203)</f>
        <v>-32898</v>
      </c>
      <c r="V203" s="23">
        <f>SUM(Q203:U203)</f>
        <v>-123989</v>
      </c>
    </row>
    <row r="204" spans="1:22" x14ac:dyDescent="0.2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5" thickBot="1" x14ac:dyDescent="0.25">
      <c r="A205" s="4" t="s">
        <v>17</v>
      </c>
      <c r="B205" s="28">
        <f t="shared" ref="B205:M205" si="114">SUM(B200:B204)</f>
        <v>-134825</v>
      </c>
      <c r="C205" s="28">
        <f t="shared" si="114"/>
        <v>109499</v>
      </c>
      <c r="D205" s="28">
        <f t="shared" si="114"/>
        <v>147748</v>
      </c>
      <c r="E205" s="28">
        <f t="shared" si="114"/>
        <v>34153</v>
      </c>
      <c r="F205" s="28">
        <f t="shared" si="114"/>
        <v>33602.639673833037</v>
      </c>
      <c r="G205" s="28">
        <f t="shared" si="114"/>
        <v>23464.313416510588</v>
      </c>
      <c r="H205" s="28">
        <f t="shared" si="114"/>
        <v>41317.483516961336</v>
      </c>
      <c r="I205" s="28">
        <f t="shared" si="114"/>
        <v>109329.1382887892</v>
      </c>
      <c r="J205" s="28">
        <f t="shared" si="114"/>
        <v>177399.1770239647</v>
      </c>
      <c r="K205" s="28">
        <f t="shared" si="114"/>
        <v>180295.76596895541</v>
      </c>
      <c r="L205" s="28">
        <f t="shared" si="114"/>
        <v>181178.06977073185</v>
      </c>
      <c r="M205" s="28">
        <f t="shared" si="114"/>
        <v>204422.54722774465</v>
      </c>
      <c r="O205" s="28">
        <f>SUM(O200:O204)</f>
        <v>1107584.1348874907</v>
      </c>
      <c r="Q205" s="28">
        <f>SUM(B205:D205)</f>
        <v>122422</v>
      </c>
      <c r="R205" s="28">
        <f>SUM(E205:G205)</f>
        <v>91219.953090343624</v>
      </c>
      <c r="S205" s="28">
        <f>SUM(H205:J205)</f>
        <v>328045.79882971523</v>
      </c>
      <c r="T205" s="28">
        <f>SUM(K205:M205)</f>
        <v>565896.38296743191</v>
      </c>
      <c r="V205" s="28">
        <f>SUM(Q205:U205)</f>
        <v>1107584.1348874909</v>
      </c>
    </row>
    <row r="207" spans="1:22" ht="13.5" thickBot="1" x14ac:dyDescent="0.25">
      <c r="A207" s="1" t="s">
        <v>13</v>
      </c>
      <c r="B207" s="29">
        <f t="shared" ref="B207:M207" si="115">+B150+B188+B198+B205</f>
        <v>-223684.5</v>
      </c>
      <c r="C207" s="29">
        <f t="shared" si="115"/>
        <v>-21486.5</v>
      </c>
      <c r="D207" s="29">
        <f t="shared" si="115"/>
        <v>170894.5</v>
      </c>
      <c r="E207" s="29">
        <f t="shared" si="115"/>
        <v>-150388.24</v>
      </c>
      <c r="F207" s="29">
        <f t="shared" si="115"/>
        <v>-38793.193659500292</v>
      </c>
      <c r="G207" s="29">
        <f t="shared" si="115"/>
        <v>13487.480083177259</v>
      </c>
      <c r="H207" s="29">
        <f t="shared" si="115"/>
        <v>31339.650183628008</v>
      </c>
      <c r="I207" s="29">
        <f t="shared" si="115"/>
        <v>99350.304955455867</v>
      </c>
      <c r="J207" s="29">
        <f t="shared" si="115"/>
        <v>167422.34369063139</v>
      </c>
      <c r="K207" s="29">
        <f t="shared" si="115"/>
        <v>170317.9326356221</v>
      </c>
      <c r="L207" s="29">
        <f t="shared" si="115"/>
        <v>171199.23643739853</v>
      </c>
      <c r="M207" s="29">
        <f t="shared" si="115"/>
        <v>194447.71389441134</v>
      </c>
      <c r="O207" s="29">
        <f>+O150+O188+O198+O205</f>
        <v>584106.72822082392</v>
      </c>
      <c r="Q207" s="29">
        <f>SUM(B207:D207)</f>
        <v>-74276.5</v>
      </c>
      <c r="R207" s="29">
        <f>SUM(E207:G207)</f>
        <v>-175693.95357632299</v>
      </c>
      <c r="S207" s="29">
        <f>SUM(H207:J207)</f>
        <v>298112.29882971523</v>
      </c>
      <c r="T207" s="29">
        <f>SUM(K207:M207)</f>
        <v>535964.88296743203</v>
      </c>
      <c r="V207" s="29">
        <f>SUM(Q207:U207)</f>
        <v>584106.72822082427</v>
      </c>
    </row>
    <row r="208" spans="1:22" ht="13.5" thickTop="1" x14ac:dyDescent="0.2"/>
  </sheetData>
  <mergeCells count="12">
    <mergeCell ref="A73:V73"/>
    <mergeCell ref="A74:V74"/>
    <mergeCell ref="A141:V141"/>
    <mergeCell ref="A142:V142"/>
    <mergeCell ref="A143:V143"/>
    <mergeCell ref="A144:V144"/>
    <mergeCell ref="A1:V1"/>
    <mergeCell ref="A2:V2"/>
    <mergeCell ref="A4:V4"/>
    <mergeCell ref="A3:V3"/>
    <mergeCell ref="A71:V71"/>
    <mergeCell ref="A72:V72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67" activePane="bottomRight" state="frozen"/>
      <selection activeCell="B7" sqref="B7:D7"/>
      <selection pane="topRight" activeCell="B7" sqref="B7:D7"/>
      <selection pane="bottomLeft" activeCell="B7" sqref="B7:D7"/>
      <selection pane="bottomRight" activeCell="D10" sqref="D10:D67"/>
    </sheetView>
  </sheetViews>
  <sheetFormatPr defaultColWidth="8.85546875" defaultRowHeight="12.75" x14ac:dyDescent="0.2"/>
  <cols>
    <col min="1" max="1" width="41.140625" customWidth="1"/>
    <col min="2" max="3" width="16.28515625" style="23" bestFit="1" customWidth="1"/>
    <col min="4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71" s="2" customFormat="1" ht="15.75" x14ac:dyDescent="0.25">
      <c r="A1" s="43" t="str">
        <f>+'NA MO'!A1:V1</f>
        <v>GENCO - New Albany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75" x14ac:dyDescent="0.25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75" x14ac:dyDescent="0.25">
      <c r="A4" s="45">
        <v>36585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75" x14ac:dyDescent="0.25">
      <c r="A6" s="15">
        <f ca="1">NOW()</f>
        <v>36697.489056018516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5" thickBot="1" x14ac:dyDescent="0.25">
      <c r="A10" s="1" t="s">
        <v>9</v>
      </c>
      <c r="B10" s="24">
        <f>SUM('NA MO'!$B10:B10)</f>
        <v>0</v>
      </c>
      <c r="C10" s="24">
        <f>SUM('NA MO'!$B10:C10)</f>
        <v>0</v>
      </c>
      <c r="D10" s="24">
        <f>SUM('NA MO'!$B10:D10)</f>
        <v>0</v>
      </c>
      <c r="E10" s="24">
        <f>SUM('NA MO'!$B10:E10)</f>
        <v>0</v>
      </c>
      <c r="F10" s="24">
        <f>SUM('NA MO'!$B10:F10)</f>
        <v>0</v>
      </c>
      <c r="G10" s="24">
        <f>SUM('NA MO'!$B10:G10)</f>
        <v>0</v>
      </c>
      <c r="H10" s="24">
        <f>SUM('NA MO'!$B10:H10)</f>
        <v>0</v>
      </c>
      <c r="I10" s="24">
        <f>SUM('NA MO'!$B10:I10)</f>
        <v>0</v>
      </c>
      <c r="J10" s="24">
        <f>SUM('NA MO'!$B10:J10)</f>
        <v>0</v>
      </c>
      <c r="K10" s="24">
        <f>SUM('NA MO'!$B10:K10)</f>
        <v>0</v>
      </c>
      <c r="L10" s="24">
        <f>SUM('NA MO'!$B10:L10)</f>
        <v>0</v>
      </c>
      <c r="M10" s="24">
        <f>SUM('NA MO'!$B10:M10)</f>
        <v>0</v>
      </c>
    </row>
    <row r="12" spans="1:71" x14ac:dyDescent="0.2">
      <c r="A12" s="1" t="s">
        <v>10</v>
      </c>
    </row>
    <row r="13" spans="1:71" x14ac:dyDescent="0.2">
      <c r="A13" s="17" t="s">
        <v>49</v>
      </c>
    </row>
    <row r="14" spans="1:71" x14ac:dyDescent="0.2">
      <c r="A14" s="18" t="s">
        <v>87</v>
      </c>
      <c r="B14" s="23">
        <f>SUM('NA MO'!$B14:B14)</f>
        <v>0</v>
      </c>
      <c r="C14" s="23">
        <f>SUM('NA MO'!$B14:C14)</f>
        <v>0</v>
      </c>
      <c r="D14" s="23">
        <f>SUM('NA MO'!$B14:D14)</f>
        <v>0</v>
      </c>
      <c r="E14" s="23">
        <f>SUM('NA MO'!$B14:E14)</f>
        <v>0</v>
      </c>
      <c r="F14" s="23">
        <f>SUM('NA MO'!$B14:F14)</f>
        <v>0</v>
      </c>
      <c r="G14" s="23">
        <f>SUM('NA MO'!$B14:G14)</f>
        <v>0</v>
      </c>
      <c r="H14" s="23">
        <f>SUM('NA MO'!$B14:H14)</f>
        <v>0</v>
      </c>
      <c r="I14" s="23">
        <f>SUM('NA MO'!$B14:I14)</f>
        <v>0</v>
      </c>
      <c r="J14" s="23">
        <f>SUM('NA MO'!$B14:J14)</f>
        <v>0</v>
      </c>
      <c r="K14" s="23">
        <f>SUM('NA MO'!$B14:K14)</f>
        <v>0</v>
      </c>
      <c r="L14" s="23">
        <f>SUM('NA MO'!$B14:L14)</f>
        <v>0</v>
      </c>
      <c r="M14" s="23">
        <f>SUM('NA MO'!$B14:M14)</f>
        <v>0</v>
      </c>
    </row>
    <row r="15" spans="1:71" x14ac:dyDescent="0.2">
      <c r="A15" s="18" t="s">
        <v>63</v>
      </c>
      <c r="B15" s="23">
        <f>SUM('NA MO'!$B15:B15)</f>
        <v>0</v>
      </c>
      <c r="C15" s="23">
        <f>SUM('NA MO'!$B15:C15)</f>
        <v>0</v>
      </c>
      <c r="D15" s="23">
        <f>SUM('NA MO'!$B15:D15)</f>
        <v>0</v>
      </c>
      <c r="E15" s="23">
        <f>SUM('NA MO'!$B15:E15)</f>
        <v>0</v>
      </c>
      <c r="F15" s="23">
        <f>SUM('NA MO'!$B15:F15)</f>
        <v>1140</v>
      </c>
      <c r="G15" s="23">
        <f>SUM('NA MO'!$B15:G15)</f>
        <v>2280</v>
      </c>
      <c r="H15" s="23">
        <f>SUM('NA MO'!$B15:H15)</f>
        <v>3420</v>
      </c>
      <c r="I15" s="23">
        <f>SUM('NA MO'!$B15:I15)</f>
        <v>4560</v>
      </c>
      <c r="J15" s="23">
        <f>SUM('NA MO'!$B15:J15)</f>
        <v>5700</v>
      </c>
      <c r="K15" s="23">
        <f>SUM('NA MO'!$B15:K15)</f>
        <v>6243</v>
      </c>
      <c r="L15" s="23">
        <f>SUM('NA MO'!$B15:L15)</f>
        <v>6786</v>
      </c>
      <c r="M15" s="23">
        <f>SUM('NA MO'!$B15:M15)</f>
        <v>7328</v>
      </c>
    </row>
    <row r="16" spans="1:71" x14ac:dyDescent="0.2">
      <c r="A16" s="18" t="s">
        <v>88</v>
      </c>
      <c r="B16" s="23">
        <f>SUM('NA MO'!$B16:B16)</f>
        <v>0</v>
      </c>
      <c r="C16" s="23">
        <f>SUM('NA MO'!$B16:C16)</f>
        <v>0</v>
      </c>
      <c r="D16" s="23">
        <f>SUM('NA MO'!$B16:D16)</f>
        <v>0</v>
      </c>
      <c r="E16" s="23">
        <f>SUM('NA MO'!$B16:E16)</f>
        <v>0</v>
      </c>
      <c r="F16" s="23">
        <f>SUM('NA MO'!$B16:F16)</f>
        <v>0</v>
      </c>
      <c r="G16" s="23">
        <f>SUM('NA MO'!$B16:G16)</f>
        <v>0</v>
      </c>
      <c r="H16" s="23">
        <f>SUM('NA MO'!$B16:H16)</f>
        <v>0</v>
      </c>
      <c r="I16" s="23">
        <f>SUM('NA MO'!$B16:I16)</f>
        <v>0</v>
      </c>
      <c r="J16" s="23">
        <f>SUM('NA MO'!$B16:J16)</f>
        <v>0</v>
      </c>
      <c r="K16" s="23">
        <f>SUM('NA MO'!$B16:K16)</f>
        <v>0</v>
      </c>
      <c r="L16" s="23">
        <f>SUM('NA MO'!$B16:L16)</f>
        <v>0</v>
      </c>
      <c r="M16" s="23">
        <f>SUM('NA MO'!$B16:M16)</f>
        <v>0</v>
      </c>
    </row>
    <row r="17" spans="1:13" x14ac:dyDescent="0.2">
      <c r="A17" s="18" t="s">
        <v>89</v>
      </c>
      <c r="B17" s="23">
        <f>SUM('NA MO'!$B17:B17)</f>
        <v>0</v>
      </c>
      <c r="C17" s="23">
        <f>SUM('NA MO'!$B17:C17)</f>
        <v>0</v>
      </c>
      <c r="D17" s="23">
        <f>SUM('NA MO'!$B17:D17)</f>
        <v>0</v>
      </c>
      <c r="E17" s="23">
        <f>SUM('NA MO'!$B17:E17)</f>
        <v>0</v>
      </c>
      <c r="F17" s="23">
        <f>SUM('NA MO'!$B17:F17)</f>
        <v>0</v>
      </c>
      <c r="G17" s="23">
        <f>SUM('NA MO'!$B17:G17)</f>
        <v>0</v>
      </c>
      <c r="H17" s="23">
        <f>SUM('NA MO'!$B17:H17)</f>
        <v>0</v>
      </c>
      <c r="I17" s="23">
        <f>SUM('NA MO'!$B17:I17)</f>
        <v>0</v>
      </c>
      <c r="J17" s="23">
        <f>SUM('NA MO'!$B17:J17)</f>
        <v>0</v>
      </c>
      <c r="K17" s="23">
        <f>SUM('NA MO'!$B17:K17)</f>
        <v>0</v>
      </c>
      <c r="L17" s="23">
        <f>SUM('NA MO'!$B17:L17)</f>
        <v>0</v>
      </c>
      <c r="M17" s="23">
        <f>SUM('NA MO'!$B17:M17)</f>
        <v>0</v>
      </c>
    </row>
    <row r="18" spans="1:13" x14ac:dyDescent="0.2">
      <c r="A18" s="18" t="s">
        <v>90</v>
      </c>
      <c r="B18" s="23">
        <f>SUM('NA MO'!$B18:B18)</f>
        <v>0</v>
      </c>
      <c r="C18" s="23">
        <f>SUM('NA MO'!$B18:C18)</f>
        <v>0</v>
      </c>
      <c r="D18" s="23">
        <f>SUM('NA MO'!$B18:D18)</f>
        <v>0</v>
      </c>
      <c r="E18" s="23">
        <f>SUM('NA MO'!$B18:E18)</f>
        <v>0</v>
      </c>
      <c r="F18" s="23">
        <f>SUM('NA MO'!$B18:F18)</f>
        <v>0</v>
      </c>
      <c r="G18" s="23">
        <f>SUM('NA MO'!$B18:G18)</f>
        <v>0</v>
      </c>
      <c r="H18" s="23">
        <f>SUM('NA MO'!$B18:H18)</f>
        <v>0</v>
      </c>
      <c r="I18" s="23">
        <f>SUM('NA MO'!$B18:I18)</f>
        <v>0</v>
      </c>
      <c r="J18" s="23">
        <f>SUM('NA MO'!$B18:J18)</f>
        <v>0</v>
      </c>
      <c r="K18" s="23">
        <f>SUM('NA MO'!$B18:K18)</f>
        <v>0</v>
      </c>
      <c r="L18" s="23">
        <f>SUM('NA MO'!$B18:L18)</f>
        <v>0</v>
      </c>
      <c r="M18" s="23">
        <f>SUM('NA MO'!$B18:M18)</f>
        <v>0</v>
      </c>
    </row>
    <row r="19" spans="1:13" x14ac:dyDescent="0.2">
      <c r="A19" s="18" t="s">
        <v>64</v>
      </c>
      <c r="B19" s="23">
        <f>SUM('NA MO'!$B19:B19)</f>
        <v>0</v>
      </c>
      <c r="C19" s="23">
        <f>SUM('NA MO'!$B19:C19)</f>
        <v>0</v>
      </c>
      <c r="D19" s="23">
        <f>SUM('NA MO'!$B19:D19)</f>
        <v>0</v>
      </c>
      <c r="E19" s="23">
        <f>SUM('NA MO'!$B19:E19)</f>
        <v>0</v>
      </c>
      <c r="F19" s="23">
        <f>SUM('NA MO'!$B19:F19)</f>
        <v>0</v>
      </c>
      <c r="G19" s="23">
        <f>SUM('NA MO'!$B19:G19)</f>
        <v>0</v>
      </c>
      <c r="H19" s="23">
        <f>SUM('NA MO'!$B19:H19)</f>
        <v>0</v>
      </c>
      <c r="I19" s="23">
        <f>SUM('NA MO'!$B19:I19)</f>
        <v>0</v>
      </c>
      <c r="J19" s="23">
        <f>SUM('NA MO'!$B19:J19)</f>
        <v>0</v>
      </c>
      <c r="K19" s="23">
        <f>SUM('NA MO'!$B19:K19)</f>
        <v>0</v>
      </c>
      <c r="L19" s="23">
        <f>SUM('NA MO'!$B19:L19)</f>
        <v>0</v>
      </c>
      <c r="M19" s="23">
        <f>SUM('NA MO'!$B19:M19)</f>
        <v>0</v>
      </c>
    </row>
    <row r="20" spans="1:13" x14ac:dyDescent="0.2">
      <c r="A20" s="18" t="s">
        <v>91</v>
      </c>
      <c r="B20" s="23">
        <f>SUM('NA MO'!$B20:B20)</f>
        <v>0</v>
      </c>
      <c r="C20" s="23">
        <f>SUM('NA MO'!$B20:C20)</f>
        <v>0</v>
      </c>
      <c r="D20" s="23">
        <f>SUM('NA MO'!$B20:D20)</f>
        <v>15137</v>
      </c>
      <c r="E20" s="23">
        <f>SUM('NA MO'!$B20:E20)</f>
        <v>15773.9</v>
      </c>
      <c r="F20" s="23">
        <f>SUM('NA MO'!$B20:F20)</f>
        <v>15773.9</v>
      </c>
      <c r="G20" s="23">
        <f>SUM('NA MO'!$B20:G20)</f>
        <v>15773.9</v>
      </c>
      <c r="H20" s="23">
        <f>SUM('NA MO'!$B20:H20)</f>
        <v>15773.9</v>
      </c>
      <c r="I20" s="23">
        <f>SUM('NA MO'!$B20:I20)</f>
        <v>15773.9</v>
      </c>
      <c r="J20" s="23">
        <f>SUM('NA MO'!$B20:J20)</f>
        <v>15773.9</v>
      </c>
      <c r="K20" s="23">
        <f>SUM('NA MO'!$B20:K20)</f>
        <v>15773.9</v>
      </c>
      <c r="L20" s="23">
        <f>SUM('NA MO'!$B20:L20)</f>
        <v>15773.9</v>
      </c>
      <c r="M20" s="23">
        <f>SUM('NA MO'!$B20:M20)</f>
        <v>15773.9</v>
      </c>
    </row>
    <row r="21" spans="1:13" x14ac:dyDescent="0.2">
      <c r="A21" s="18" t="s">
        <v>92</v>
      </c>
      <c r="B21" s="23">
        <f>SUM('NA MO'!$B21:B21)</f>
        <v>0</v>
      </c>
      <c r="C21" s="23">
        <f>SUM('NA MO'!$B21:C21)</f>
        <v>0</v>
      </c>
      <c r="D21" s="23">
        <f>SUM('NA MO'!$B21:D21)</f>
        <v>0</v>
      </c>
      <c r="E21" s="23">
        <f>SUM('NA MO'!$B21:E21)</f>
        <v>0</v>
      </c>
      <c r="F21" s="23">
        <f>SUM('NA MO'!$B21:F21)</f>
        <v>0</v>
      </c>
      <c r="G21" s="23">
        <f>SUM('NA MO'!$B21:G21)</f>
        <v>0</v>
      </c>
      <c r="H21" s="23">
        <f>SUM('NA MO'!$B21:H21)</f>
        <v>0</v>
      </c>
      <c r="I21" s="23">
        <f>SUM('NA MO'!$B21:I21)</f>
        <v>0</v>
      </c>
      <c r="J21" s="23">
        <f>SUM('NA MO'!$B21:J21)</f>
        <v>0</v>
      </c>
      <c r="K21" s="23">
        <f>SUM('NA MO'!$B21:K21)</f>
        <v>0</v>
      </c>
      <c r="L21" s="23">
        <f>SUM('NA MO'!$B21:L21)</f>
        <v>0</v>
      </c>
      <c r="M21" s="23">
        <f>SUM('NA MO'!$B21:M21)</f>
        <v>0</v>
      </c>
    </row>
    <row r="22" spans="1:13" x14ac:dyDescent="0.2">
      <c r="A22" s="18" t="s">
        <v>65</v>
      </c>
      <c r="B22" s="23">
        <f>SUM('NA MO'!$B22:B22)</f>
        <v>0</v>
      </c>
      <c r="C22" s="23">
        <f>SUM('NA MO'!$B22:C22)</f>
        <v>3844</v>
      </c>
      <c r="D22" s="23">
        <f>SUM('NA MO'!$B22:D22)</f>
        <v>3950</v>
      </c>
      <c r="E22" s="23">
        <f>SUM('NA MO'!$B22:E22)</f>
        <v>3950</v>
      </c>
      <c r="F22" s="23">
        <f>SUM('NA MO'!$B22:F22)</f>
        <v>4408</v>
      </c>
      <c r="G22" s="23">
        <f>SUM('NA MO'!$B22:G22)</f>
        <v>4866</v>
      </c>
      <c r="H22" s="23">
        <f>SUM('NA MO'!$B22:H22)</f>
        <v>5324</v>
      </c>
      <c r="I22" s="23">
        <f>SUM('NA MO'!$B22:I22)</f>
        <v>5782</v>
      </c>
      <c r="J22" s="23">
        <f>SUM('NA MO'!$B22:J22)</f>
        <v>6240</v>
      </c>
      <c r="K22" s="23">
        <f>SUM('NA MO'!$B22:K22)</f>
        <v>6698</v>
      </c>
      <c r="L22" s="23">
        <f>SUM('NA MO'!$B22:L22)</f>
        <v>7156</v>
      </c>
      <c r="M22" s="23">
        <f>SUM('NA MO'!$B22:M22)</f>
        <v>7618</v>
      </c>
    </row>
    <row r="23" spans="1:13" x14ac:dyDescent="0.2">
      <c r="A23" s="18" t="s">
        <v>45</v>
      </c>
      <c r="B23" s="23">
        <f>SUM('NA MO'!$B23:B23)</f>
        <v>0</v>
      </c>
      <c r="C23" s="23">
        <f>SUM('NA MO'!$B23:C23)</f>
        <v>0</v>
      </c>
      <c r="D23" s="23">
        <f>SUM('NA MO'!$B23:D23)</f>
        <v>0</v>
      </c>
      <c r="E23" s="23">
        <f>SUM('NA MO'!$B23:E23)</f>
        <v>0</v>
      </c>
      <c r="F23" s="23">
        <f>SUM('NA MO'!$B23:F23)</f>
        <v>12180</v>
      </c>
      <c r="G23" s="23">
        <f>SUM('NA MO'!$B23:G23)</f>
        <v>24360</v>
      </c>
      <c r="H23" s="23">
        <f>SUM('NA MO'!$B23:H23)</f>
        <v>36540</v>
      </c>
      <c r="I23" s="23">
        <f>SUM('NA MO'!$B23:I23)</f>
        <v>48720</v>
      </c>
      <c r="J23" s="23">
        <f>SUM('NA MO'!$B23:J23)</f>
        <v>60900</v>
      </c>
      <c r="K23" s="23">
        <f>SUM('NA MO'!$B23:K23)</f>
        <v>65986</v>
      </c>
      <c r="L23" s="23">
        <f>SUM('NA MO'!$B23:L23)</f>
        <v>66072</v>
      </c>
      <c r="M23" s="23">
        <f>SUM('NA MO'!$B23:M23)</f>
        <v>66156</v>
      </c>
    </row>
    <row r="24" spans="1:13" x14ac:dyDescent="0.2">
      <c r="A24" s="18" t="s">
        <v>66</v>
      </c>
      <c r="B24" s="23">
        <f>SUM('NA MO'!$B24:B24)</f>
        <v>0</v>
      </c>
      <c r="C24" s="23">
        <f>SUM('NA MO'!$B24:C24)</f>
        <v>0</v>
      </c>
      <c r="D24" s="23">
        <f>SUM('NA MO'!$B24:D24)</f>
        <v>0</v>
      </c>
      <c r="E24" s="23">
        <f>SUM('NA MO'!$B24:E24)</f>
        <v>0</v>
      </c>
      <c r="F24" s="23">
        <f>SUM('NA MO'!$B24:F24)</f>
        <v>180</v>
      </c>
      <c r="G24" s="23">
        <f>SUM('NA MO'!$B24:G24)</f>
        <v>360</v>
      </c>
      <c r="H24" s="23">
        <f>SUM('NA MO'!$B24:H24)</f>
        <v>540</v>
      </c>
      <c r="I24" s="23">
        <f>SUM('NA MO'!$B24:I24)</f>
        <v>720</v>
      </c>
      <c r="J24" s="23">
        <f>SUM('NA MO'!$B24:J24)</f>
        <v>900</v>
      </c>
      <c r="K24" s="23">
        <f>SUM('NA MO'!$B24:K24)</f>
        <v>986</v>
      </c>
      <c r="L24" s="23">
        <f>SUM('NA MO'!$B24:L24)</f>
        <v>1072</v>
      </c>
      <c r="M24" s="23">
        <f>SUM('NA MO'!$B24:M24)</f>
        <v>1156</v>
      </c>
    </row>
    <row r="25" spans="1:13" x14ac:dyDescent="0.2">
      <c r="A25" s="18" t="s">
        <v>67</v>
      </c>
      <c r="B25" s="23">
        <f>SUM('NA MO'!$B25:B25)</f>
        <v>0</v>
      </c>
      <c r="C25" s="23">
        <f>SUM('NA MO'!$B25:C25)</f>
        <v>0</v>
      </c>
      <c r="D25" s="23">
        <f>SUM('NA MO'!$B25:D25)</f>
        <v>0</v>
      </c>
      <c r="E25" s="23">
        <f>SUM('NA MO'!$B25:E25)</f>
        <v>0</v>
      </c>
      <c r="F25" s="23">
        <f>SUM('NA MO'!$B25:F25)</f>
        <v>1800</v>
      </c>
      <c r="G25" s="23">
        <f>SUM('NA MO'!$B25:G25)</f>
        <v>3600</v>
      </c>
      <c r="H25" s="23">
        <f>SUM('NA MO'!$B25:H25)</f>
        <v>5400</v>
      </c>
      <c r="I25" s="23">
        <f>SUM('NA MO'!$B25:I25)</f>
        <v>7200</v>
      </c>
      <c r="J25" s="23">
        <f>SUM('NA MO'!$B25:J25)</f>
        <v>9000</v>
      </c>
      <c r="K25" s="23">
        <f>SUM('NA MO'!$B25:K25)</f>
        <v>9857</v>
      </c>
      <c r="L25" s="23">
        <f>SUM('NA MO'!$B25:L25)</f>
        <v>10714</v>
      </c>
      <c r="M25" s="23">
        <f>SUM('NA MO'!$B25:M25)</f>
        <v>11572</v>
      </c>
    </row>
    <row r="26" spans="1:13" x14ac:dyDescent="0.2">
      <c r="A26" s="18" t="s">
        <v>93</v>
      </c>
      <c r="B26" s="23">
        <f>SUM('NA MO'!$B26:B26)</f>
        <v>0</v>
      </c>
      <c r="C26" s="23">
        <f>SUM('NA MO'!$B26:C26)</f>
        <v>0</v>
      </c>
      <c r="D26" s="23">
        <f>SUM('NA MO'!$B26:D26)</f>
        <v>0</v>
      </c>
      <c r="E26" s="23">
        <f>SUM('NA MO'!$B26:E26)</f>
        <v>0</v>
      </c>
      <c r="F26" s="23">
        <f>SUM('NA MO'!$B26:F26)</f>
        <v>0</v>
      </c>
      <c r="G26" s="23">
        <f>SUM('NA MO'!$B26:G26)</f>
        <v>0</v>
      </c>
      <c r="H26" s="23">
        <f>SUM('NA MO'!$B26:H26)</f>
        <v>0</v>
      </c>
      <c r="I26" s="23">
        <f>SUM('NA MO'!$B26:I26)</f>
        <v>0</v>
      </c>
      <c r="J26" s="23">
        <f>SUM('NA MO'!$B26:J26)</f>
        <v>0</v>
      </c>
      <c r="K26" s="23">
        <f>SUM('NA MO'!$B26:K26)</f>
        <v>0</v>
      </c>
      <c r="L26" s="23">
        <f>SUM('NA MO'!$B26:L26)</f>
        <v>0</v>
      </c>
      <c r="M26" s="23">
        <f>SUM('NA MO'!$B26:M26)</f>
        <v>0</v>
      </c>
    </row>
    <row r="27" spans="1:13" x14ac:dyDescent="0.2">
      <c r="A27" s="18" t="s">
        <v>69</v>
      </c>
      <c r="B27" s="23">
        <f>SUM('NA MO'!$B27:B27)</f>
        <v>0</v>
      </c>
      <c r="C27" s="23">
        <f>SUM('NA MO'!$B27:C27)</f>
        <v>0</v>
      </c>
      <c r="D27" s="23">
        <f>SUM('NA MO'!$B27:D27)</f>
        <v>214</v>
      </c>
      <c r="E27" s="23">
        <f>SUM('NA MO'!$B27:E27)</f>
        <v>5249.6</v>
      </c>
      <c r="F27" s="23">
        <f>SUM('NA MO'!$B27:F27)</f>
        <v>5582.6</v>
      </c>
      <c r="G27" s="23">
        <f>SUM('NA MO'!$B27:G27)</f>
        <v>5915.6</v>
      </c>
      <c r="H27" s="23">
        <f>SUM('NA MO'!$B27:H27)</f>
        <v>6248.6</v>
      </c>
      <c r="I27" s="23">
        <f>SUM('NA MO'!$B27:I27)</f>
        <v>6581.6</v>
      </c>
      <c r="J27" s="23">
        <f>SUM('NA MO'!$B27:J27)</f>
        <v>6914.6</v>
      </c>
      <c r="K27" s="23">
        <f>SUM('NA MO'!$B27:K27)</f>
        <v>7247.6</v>
      </c>
      <c r="L27" s="23">
        <f>SUM('NA MO'!$B27:L27)</f>
        <v>7580.6</v>
      </c>
      <c r="M27" s="23">
        <f>SUM('NA MO'!$B27:M27)</f>
        <v>7917.6</v>
      </c>
    </row>
    <row r="28" spans="1:13" x14ac:dyDescent="0.2">
      <c r="A28" s="18" t="s">
        <v>68</v>
      </c>
      <c r="B28" s="23">
        <f>SUM('NA MO'!$B28:B28)</f>
        <v>0</v>
      </c>
      <c r="C28" s="23">
        <f>SUM('NA MO'!$B28:C28)</f>
        <v>7404</v>
      </c>
      <c r="D28" s="23">
        <f>SUM('NA MO'!$B28:D28)</f>
        <v>7979</v>
      </c>
      <c r="E28" s="23">
        <f>SUM('NA MO'!$B28:E28)</f>
        <v>22080.489999999998</v>
      </c>
      <c r="F28" s="23">
        <f>SUM('NA MO'!$B28:F28)</f>
        <v>22913.489999999998</v>
      </c>
      <c r="G28" s="23">
        <f>SUM('NA MO'!$B28:G28)</f>
        <v>23746.489999999998</v>
      </c>
      <c r="H28" s="23">
        <f>SUM('NA MO'!$B28:H28)</f>
        <v>24579.489999999998</v>
      </c>
      <c r="I28" s="23">
        <f>SUM('NA MO'!$B28:I28)</f>
        <v>25412.489999999998</v>
      </c>
      <c r="J28" s="23">
        <f>SUM('NA MO'!$B28:J28)</f>
        <v>26245.489999999998</v>
      </c>
      <c r="K28" s="23">
        <f>SUM('NA MO'!$B28:K28)</f>
        <v>27078.489999999998</v>
      </c>
      <c r="L28" s="23">
        <f>SUM('NA MO'!$B28:L28)</f>
        <v>27911.489999999998</v>
      </c>
      <c r="M28" s="23">
        <f>SUM('NA MO'!$B28:M28)</f>
        <v>28748.489999999998</v>
      </c>
    </row>
    <row r="29" spans="1:13" x14ac:dyDescent="0.2">
      <c r="A29" s="18" t="s">
        <v>94</v>
      </c>
      <c r="B29" s="23">
        <f>SUM('NA MO'!$B29:B29)</f>
        <v>0</v>
      </c>
      <c r="C29" s="23">
        <f>SUM('NA MO'!$B29:C29)</f>
        <v>0</v>
      </c>
      <c r="D29" s="23">
        <f>SUM('NA MO'!$B29:D29)</f>
        <v>0</v>
      </c>
      <c r="E29" s="23">
        <f>SUM('NA MO'!$B29:E29)</f>
        <v>0</v>
      </c>
      <c r="F29" s="23">
        <f>SUM('NA MO'!$B29:F29)</f>
        <v>0</v>
      </c>
      <c r="G29" s="23">
        <f>SUM('NA MO'!$B29:G29)</f>
        <v>0</v>
      </c>
      <c r="H29" s="23">
        <f>SUM('NA MO'!$B29:H29)</f>
        <v>0</v>
      </c>
      <c r="I29" s="23">
        <f>SUM('NA MO'!$B29:I29)</f>
        <v>0</v>
      </c>
      <c r="J29" s="23">
        <f>SUM('NA MO'!$B29:J29)</f>
        <v>0</v>
      </c>
      <c r="K29" s="23">
        <f>SUM('NA MO'!$B29:K29)</f>
        <v>0</v>
      </c>
      <c r="L29" s="23">
        <f>SUM('NA MO'!$B29:L29)</f>
        <v>0</v>
      </c>
      <c r="M29" s="23">
        <f>SUM('NA MO'!$B29:M29)</f>
        <v>0</v>
      </c>
    </row>
    <row r="30" spans="1:13" x14ac:dyDescent="0.2">
      <c r="A30" s="18" t="s">
        <v>46</v>
      </c>
      <c r="B30" s="23">
        <f>SUM('NA MO'!$B30:B30)</f>
        <v>0</v>
      </c>
      <c r="C30" s="23">
        <f>SUM('NA MO'!$B30:C30)</f>
        <v>47</v>
      </c>
      <c r="D30" s="23">
        <f>SUM('NA MO'!$B30:D30)</f>
        <v>47</v>
      </c>
      <c r="E30" s="23">
        <f>SUM('NA MO'!$B30:E30)</f>
        <v>47</v>
      </c>
      <c r="F30" s="23">
        <f>SUM('NA MO'!$B30:F30)</f>
        <v>9707</v>
      </c>
      <c r="G30" s="23">
        <f>SUM('NA MO'!$B30:G30)</f>
        <v>19367</v>
      </c>
      <c r="H30" s="23">
        <f>SUM('NA MO'!$B30:H30)</f>
        <v>29027</v>
      </c>
      <c r="I30" s="23">
        <f>SUM('NA MO'!$B30:I30)</f>
        <v>38687</v>
      </c>
      <c r="J30" s="23">
        <f>SUM('NA MO'!$B30:J30)</f>
        <v>48347</v>
      </c>
      <c r="K30" s="23">
        <f>SUM('NA MO'!$B30:K30)</f>
        <v>48947</v>
      </c>
      <c r="L30" s="23">
        <f>SUM('NA MO'!$B30:L30)</f>
        <v>49547</v>
      </c>
      <c r="M30" s="23">
        <f>SUM('NA MO'!$B30:M30)</f>
        <v>50147</v>
      </c>
    </row>
    <row r="31" spans="1:13" x14ac:dyDescent="0.2">
      <c r="A31" s="18" t="s">
        <v>70</v>
      </c>
      <c r="B31" s="23">
        <f>SUM('NA MO'!$B31:B31)</f>
        <v>0</v>
      </c>
      <c r="C31" s="23">
        <f>SUM('NA MO'!$B31:C31)</f>
        <v>1464</v>
      </c>
      <c r="D31" s="23">
        <f>SUM('NA MO'!$B31:D31)</f>
        <v>17376</v>
      </c>
      <c r="E31" s="23">
        <f>SUM('NA MO'!$B31:E31)</f>
        <v>21460.14</v>
      </c>
      <c r="F31" s="23">
        <f>SUM('NA MO'!$B31:F31)</f>
        <v>26208.14</v>
      </c>
      <c r="G31" s="23">
        <f>SUM('NA MO'!$B31:G31)</f>
        <v>30956.14</v>
      </c>
      <c r="H31" s="23">
        <f>SUM('NA MO'!$B31:H31)</f>
        <v>35704.14</v>
      </c>
      <c r="I31" s="23">
        <f>SUM('NA MO'!$B31:I31)</f>
        <v>40452.14</v>
      </c>
      <c r="J31" s="23">
        <f>SUM('NA MO'!$B31:J31)</f>
        <v>45200.14</v>
      </c>
      <c r="K31" s="23">
        <f>SUM('NA MO'!$B31:K31)</f>
        <v>48408.14</v>
      </c>
      <c r="L31" s="23">
        <f>SUM('NA MO'!$B31:L31)</f>
        <v>51616.14</v>
      </c>
      <c r="M31" s="23">
        <f>SUM('NA MO'!$B31:M31)</f>
        <v>54828.14</v>
      </c>
    </row>
    <row r="32" spans="1:13" x14ac:dyDescent="0.2">
      <c r="A32" s="18" t="s">
        <v>71</v>
      </c>
      <c r="B32" s="23">
        <f>SUM('NA MO'!$B32:B32)</f>
        <v>23664</v>
      </c>
      <c r="C32" s="23">
        <f>SUM('NA MO'!$B32:C32)</f>
        <v>46829</v>
      </c>
      <c r="D32" s="23">
        <f>SUM('NA MO'!$B32:D32)</f>
        <v>89793</v>
      </c>
      <c r="E32" s="23">
        <f>SUM('NA MO'!$B32:E32)</f>
        <v>195153.74</v>
      </c>
      <c r="F32" s="23">
        <f>SUM('NA MO'!$B32:F32)</f>
        <v>219421.74</v>
      </c>
      <c r="G32" s="23">
        <f>SUM('NA MO'!$B32:G32)</f>
        <v>228689.74</v>
      </c>
      <c r="H32" s="23">
        <f>SUM('NA MO'!$B32:H32)</f>
        <v>237957.74</v>
      </c>
      <c r="I32" s="23">
        <f>SUM('NA MO'!$B32:I32)</f>
        <v>247225.74</v>
      </c>
      <c r="J32" s="23">
        <f>SUM('NA MO'!$B32:J32)</f>
        <v>256493.74</v>
      </c>
      <c r="K32" s="23">
        <f>SUM('NA MO'!$B32:K32)</f>
        <v>265446.74</v>
      </c>
      <c r="L32" s="23">
        <f>SUM('NA MO'!$B32:L32)</f>
        <v>274399.74</v>
      </c>
      <c r="M32" s="23">
        <f>SUM('NA MO'!$B32:M32)</f>
        <v>283341.74</v>
      </c>
    </row>
    <row r="33" spans="1:13" x14ac:dyDescent="0.2">
      <c r="A33" s="18" t="s">
        <v>44</v>
      </c>
      <c r="B33" s="23">
        <f>SUM('NA MO'!$B33:B33)</f>
        <v>53459</v>
      </c>
      <c r="C33" s="23">
        <f>SUM('NA MO'!$B33:C33)</f>
        <v>131380</v>
      </c>
      <c r="D33" s="23">
        <f>SUM('NA MO'!$B33:D33)</f>
        <v>196961</v>
      </c>
      <c r="E33" s="23">
        <f>SUM('NA MO'!$B33:E33)</f>
        <v>265355.71000000002</v>
      </c>
      <c r="F33" s="23">
        <f>SUM('NA MO'!$B33:F33)</f>
        <v>365567.71</v>
      </c>
      <c r="G33" s="23">
        <f>SUM('NA MO'!$B33:G33)</f>
        <v>465779.71</v>
      </c>
      <c r="H33" s="23">
        <f>SUM('NA MO'!$B33:H33)</f>
        <v>565991.71</v>
      </c>
      <c r="I33" s="23">
        <f>SUM('NA MO'!$B33:I33)</f>
        <v>666203.71</v>
      </c>
      <c r="J33" s="23">
        <f>SUM('NA MO'!$B33:J33)</f>
        <v>766415.71</v>
      </c>
      <c r="K33" s="23">
        <f>SUM('NA MO'!$B33:K33)</f>
        <v>849712.71</v>
      </c>
      <c r="L33" s="23">
        <f>SUM('NA MO'!$B33:L33)</f>
        <v>933009.71</v>
      </c>
      <c r="M33" s="23">
        <f>SUM('NA MO'!$B33:M33)</f>
        <v>1016310.71</v>
      </c>
    </row>
    <row r="34" spans="1:13" x14ac:dyDescent="0.2">
      <c r="A34" s="18" t="s">
        <v>47</v>
      </c>
      <c r="B34" s="23">
        <f>SUM('NA MO'!$B34:B34)</f>
        <v>0</v>
      </c>
      <c r="C34" s="23">
        <f>SUM('NA MO'!$B34:C34)</f>
        <v>10615</v>
      </c>
      <c r="D34" s="23">
        <f>SUM('NA MO'!$B34:D34)</f>
        <v>17984</v>
      </c>
      <c r="E34" s="23">
        <f>SUM('NA MO'!$B34:E34)</f>
        <v>24629.72</v>
      </c>
      <c r="F34" s="23">
        <f>SUM('NA MO'!$B34:F34)</f>
        <v>28704.720000000001</v>
      </c>
      <c r="G34" s="23">
        <f>SUM('NA MO'!$B34:G34)</f>
        <v>32779.72</v>
      </c>
      <c r="H34" s="23">
        <f>SUM('NA MO'!$B34:H34)</f>
        <v>36854.720000000001</v>
      </c>
      <c r="I34" s="23">
        <f>SUM('NA MO'!$B34:I34)</f>
        <v>40929.72</v>
      </c>
      <c r="J34" s="23">
        <f>SUM('NA MO'!$B34:J34)</f>
        <v>45004.72</v>
      </c>
      <c r="K34" s="23">
        <f>SUM('NA MO'!$B34:K34)</f>
        <v>49079.72</v>
      </c>
      <c r="L34" s="23">
        <f>SUM('NA MO'!$B34:L34)</f>
        <v>53154.720000000001</v>
      </c>
      <c r="M34" s="23">
        <f>SUM('NA MO'!$B34:M34)</f>
        <v>57229.72</v>
      </c>
    </row>
    <row r="35" spans="1:13" x14ac:dyDescent="0.2">
      <c r="A35" s="18" t="s">
        <v>2</v>
      </c>
      <c r="B35" s="23">
        <f>SUM('NA MO'!$B35:B35)</f>
        <v>15767</v>
      </c>
      <c r="C35" s="23">
        <f>SUM('NA MO'!$B35:C35)</f>
        <v>42650</v>
      </c>
      <c r="D35" s="23">
        <f>SUM('NA MO'!$B35:D35)</f>
        <v>74262</v>
      </c>
      <c r="E35" s="23">
        <f>SUM('NA MO'!$B35:E35)</f>
        <v>114492.9</v>
      </c>
      <c r="F35" s="23">
        <f>SUM('NA MO'!$B35:F35)</f>
        <v>135522.9</v>
      </c>
      <c r="G35" s="23">
        <f>SUM('NA MO'!$B35:G35)</f>
        <v>157067.9</v>
      </c>
      <c r="H35" s="23">
        <f>SUM('NA MO'!$B35:H35)</f>
        <v>178612.9</v>
      </c>
      <c r="I35" s="23">
        <f>SUM('NA MO'!$B35:I35)</f>
        <v>200157.9</v>
      </c>
      <c r="J35" s="23">
        <f>SUM('NA MO'!$B35:J35)</f>
        <v>221702.9</v>
      </c>
      <c r="K35" s="23">
        <f>SUM('NA MO'!$B35:K35)</f>
        <v>243247.9</v>
      </c>
      <c r="L35" s="23">
        <f>SUM('NA MO'!$B35:L35)</f>
        <v>265242.90000000002</v>
      </c>
      <c r="M35" s="23">
        <f>SUM('NA MO'!$B35:M35)</f>
        <v>286787.90000000002</v>
      </c>
    </row>
    <row r="36" spans="1:13" x14ac:dyDescent="0.2">
      <c r="A36" s="18" t="s">
        <v>95</v>
      </c>
      <c r="B36" s="23">
        <f>SUM('NA MO'!$B36:B36)</f>
        <v>0</v>
      </c>
      <c r="C36" s="23">
        <f>SUM('NA MO'!$B36:C36)</f>
        <v>0</v>
      </c>
      <c r="D36" s="23">
        <f>SUM('NA MO'!$B36:D36)</f>
        <v>0</v>
      </c>
      <c r="E36" s="23">
        <f>SUM('NA MO'!$B36:E36)</f>
        <v>0</v>
      </c>
      <c r="F36" s="23">
        <f>SUM('NA MO'!$B36:F36)</f>
        <v>0</v>
      </c>
      <c r="G36" s="23">
        <f>SUM('NA MO'!$B36:G36)</f>
        <v>0</v>
      </c>
      <c r="H36" s="23">
        <f>SUM('NA MO'!$B36:H36)</f>
        <v>0</v>
      </c>
      <c r="I36" s="23">
        <f>SUM('NA MO'!$B36:I36)</f>
        <v>0</v>
      </c>
      <c r="J36" s="23">
        <f>SUM('NA MO'!$B36:J36)</f>
        <v>0</v>
      </c>
      <c r="K36" s="23">
        <f>SUM('NA MO'!$B36:K36)</f>
        <v>0</v>
      </c>
      <c r="L36" s="23">
        <f>SUM('NA MO'!$B36:L36)</f>
        <v>0</v>
      </c>
      <c r="M36" s="23">
        <f>SUM('NA MO'!$B36:M36)</f>
        <v>0</v>
      </c>
    </row>
    <row r="37" spans="1:13" x14ac:dyDescent="0.2">
      <c r="A37" s="18" t="s">
        <v>72</v>
      </c>
      <c r="B37" s="23">
        <f>SUM('NA MO'!$B37:B37)</f>
        <v>0</v>
      </c>
      <c r="C37" s="23">
        <f>SUM('NA MO'!$B37:C37)</f>
        <v>0</v>
      </c>
      <c r="D37" s="23">
        <f>SUM('NA MO'!$B37:D37)</f>
        <v>42</v>
      </c>
      <c r="E37" s="23">
        <f>SUM('NA MO'!$B37:E37)</f>
        <v>42</v>
      </c>
      <c r="F37" s="23">
        <f>SUM('NA MO'!$B37:F37)</f>
        <v>188</v>
      </c>
      <c r="G37" s="23">
        <f>SUM('NA MO'!$B37:G37)</f>
        <v>334</v>
      </c>
      <c r="H37" s="23">
        <f>SUM('NA MO'!$B37:H37)</f>
        <v>480</v>
      </c>
      <c r="I37" s="23">
        <f>SUM('NA MO'!$B37:I37)</f>
        <v>626</v>
      </c>
      <c r="J37" s="23">
        <f>SUM('NA MO'!$B37:J37)</f>
        <v>772</v>
      </c>
      <c r="K37" s="23">
        <f>SUM('NA MO'!$B37:K37)</f>
        <v>918</v>
      </c>
      <c r="L37" s="23">
        <f>SUM('NA MO'!$B37:L37)</f>
        <v>1064</v>
      </c>
      <c r="M37" s="23">
        <f>SUM('NA MO'!$B37:M37)</f>
        <v>1208</v>
      </c>
    </row>
    <row r="38" spans="1:13" x14ac:dyDescent="0.2">
      <c r="A38" s="18" t="s">
        <v>48</v>
      </c>
      <c r="B38" s="23">
        <f>SUM('NA MO'!$B38:B38)</f>
        <v>0</v>
      </c>
      <c r="C38" s="23">
        <f>SUM('NA MO'!$B38:C38)</f>
        <v>1830</v>
      </c>
      <c r="D38" s="23">
        <f>SUM('NA MO'!$B38:D38)</f>
        <v>6391</v>
      </c>
      <c r="E38" s="23">
        <f>SUM('NA MO'!$B38:E38)</f>
        <v>8154.15</v>
      </c>
      <c r="F38" s="23">
        <f>SUM('NA MO'!$B38:F38)</f>
        <v>31554.15</v>
      </c>
      <c r="G38" s="23">
        <f>SUM('NA MO'!$B38:G38)</f>
        <v>54954.15</v>
      </c>
      <c r="H38" s="23">
        <f>SUM('NA MO'!$B38:H38)</f>
        <v>78354.149999999994</v>
      </c>
      <c r="I38" s="23">
        <f>SUM('NA MO'!$B38:I38)</f>
        <v>101754.15</v>
      </c>
      <c r="J38" s="23">
        <f>SUM('NA MO'!$B38:J38)</f>
        <v>125154.15</v>
      </c>
      <c r="K38" s="23">
        <f>SUM('NA MO'!$B38:K38)</f>
        <v>136297.15</v>
      </c>
      <c r="L38" s="23">
        <f>SUM('NA MO'!$B38:L38)</f>
        <v>147440.15</v>
      </c>
      <c r="M38" s="23">
        <f>SUM('NA MO'!$B38:M38)</f>
        <v>158582.15</v>
      </c>
    </row>
    <row r="39" spans="1:13" x14ac:dyDescent="0.2">
      <c r="A39" s="18" t="s">
        <v>74</v>
      </c>
      <c r="B39" s="23">
        <f>SUM('NA MO'!$B39:B39)</f>
        <v>0</v>
      </c>
      <c r="C39" s="23">
        <f>SUM('NA MO'!$B39:C39)</f>
        <v>0</v>
      </c>
      <c r="D39" s="23">
        <f>SUM('NA MO'!$B39:D39)</f>
        <v>0</v>
      </c>
      <c r="E39" s="23">
        <f>SUM('NA MO'!$B39:E39)</f>
        <v>0</v>
      </c>
      <c r="F39" s="23">
        <f>SUM('NA MO'!$B39:F39)</f>
        <v>0</v>
      </c>
      <c r="G39" s="23">
        <f>SUM('NA MO'!$B39:G39)</f>
        <v>0</v>
      </c>
      <c r="H39" s="23">
        <f>SUM('NA MO'!$B39:H39)</f>
        <v>0</v>
      </c>
      <c r="I39" s="23">
        <f>SUM('NA MO'!$B39:I39)</f>
        <v>0</v>
      </c>
      <c r="J39" s="23">
        <f>SUM('NA MO'!$B39:J39)</f>
        <v>0</v>
      </c>
      <c r="K39" s="23">
        <f>SUM('NA MO'!$B39:K39)</f>
        <v>0</v>
      </c>
      <c r="L39" s="23">
        <f>SUM('NA MO'!$B39:L39)</f>
        <v>0</v>
      </c>
      <c r="M39" s="23">
        <f>SUM('NA MO'!$B39:M39)</f>
        <v>0</v>
      </c>
    </row>
    <row r="40" spans="1:13" x14ac:dyDescent="0.2">
      <c r="A40" s="18" t="s">
        <v>96</v>
      </c>
      <c r="B40" s="23">
        <f>SUM('NA MO'!$B40:B40)</f>
        <v>12222</v>
      </c>
      <c r="C40" s="23">
        <f>SUM('NA MO'!$B40:C40)</f>
        <v>13454</v>
      </c>
      <c r="D40" s="23">
        <f>SUM('NA MO'!$B40:D40)</f>
        <v>13454</v>
      </c>
      <c r="E40" s="23">
        <f>SUM('NA MO'!$B40:E40)</f>
        <v>48095.39</v>
      </c>
      <c r="F40" s="23">
        <f>SUM('NA MO'!$B40:F40)</f>
        <v>48095.39</v>
      </c>
      <c r="G40" s="23">
        <f>SUM('NA MO'!$B40:G40)</f>
        <v>48095.39</v>
      </c>
      <c r="H40" s="23">
        <f>SUM('NA MO'!$B40:H40)</f>
        <v>48095.39</v>
      </c>
      <c r="I40" s="23">
        <f>SUM('NA MO'!$B40:I40)</f>
        <v>48095.39</v>
      </c>
      <c r="J40" s="23">
        <f>SUM('NA MO'!$B40:J40)</f>
        <v>48095.39</v>
      </c>
      <c r="K40" s="23">
        <f>SUM('NA MO'!$B40:K40)</f>
        <v>48095.39</v>
      </c>
      <c r="L40" s="23">
        <f>SUM('NA MO'!$B40:L40)</f>
        <v>48095.39</v>
      </c>
      <c r="M40" s="23">
        <f>SUM('NA MO'!$B40:M40)</f>
        <v>48095.39</v>
      </c>
    </row>
    <row r="41" spans="1:13" x14ac:dyDescent="0.2">
      <c r="A41" s="18"/>
    </row>
    <row r="42" spans="1:13" x14ac:dyDescent="0.2">
      <c r="A42" s="19" t="s">
        <v>28</v>
      </c>
      <c r="B42" s="27">
        <f>SUM(B14:B41)</f>
        <v>105112</v>
      </c>
      <c r="C42" s="27">
        <f t="shared" ref="C42:M42" si="0">SUM(C14:C41)</f>
        <v>259517</v>
      </c>
      <c r="D42" s="27">
        <f t="shared" si="0"/>
        <v>443590</v>
      </c>
      <c r="E42" s="27">
        <f t="shared" si="0"/>
        <v>724484.74000000011</v>
      </c>
      <c r="F42" s="27">
        <f t="shared" si="0"/>
        <v>928947.74000000011</v>
      </c>
      <c r="G42" s="27">
        <f t="shared" si="0"/>
        <v>1118925.74</v>
      </c>
      <c r="H42" s="27">
        <f t="shared" si="0"/>
        <v>1308903.7399999998</v>
      </c>
      <c r="I42" s="27">
        <f t="shared" si="0"/>
        <v>1498881.7399999998</v>
      </c>
      <c r="J42" s="27">
        <f t="shared" si="0"/>
        <v>1688859.7399999998</v>
      </c>
      <c r="K42" s="27">
        <f t="shared" si="0"/>
        <v>1830022.7399999998</v>
      </c>
      <c r="L42" s="27">
        <f t="shared" si="0"/>
        <v>1966635.74</v>
      </c>
      <c r="M42" s="27">
        <f t="shared" si="0"/>
        <v>2102800.7400000002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SUM('NA MO'!$B44:B44)</f>
        <v>18182</v>
      </c>
      <c r="C44" s="25">
        <f>SUM('NA MO'!$B44:C44)</f>
        <v>36364</v>
      </c>
      <c r="D44" s="25">
        <f>SUM('NA MO'!$B44:D44)</f>
        <v>52516</v>
      </c>
      <c r="E44" s="25">
        <f>SUM('NA MO'!$B44:E44)</f>
        <v>69683</v>
      </c>
      <c r="F44" s="25">
        <f>SUM('NA MO'!$B44:F44)</f>
        <v>86850</v>
      </c>
      <c r="G44" s="25">
        <f>SUM('NA MO'!$B44:G44)</f>
        <v>104017</v>
      </c>
      <c r="H44" s="25">
        <f>SUM('NA MO'!$B44:H44)</f>
        <v>121184</v>
      </c>
      <c r="I44" s="25">
        <f>SUM('NA MO'!$B44:I44)</f>
        <v>138351</v>
      </c>
      <c r="J44" s="25">
        <f>SUM('NA MO'!$B44:J44)</f>
        <v>155518</v>
      </c>
      <c r="K44" s="25">
        <f>SUM('NA MO'!$B44:K44)</f>
        <v>172685</v>
      </c>
      <c r="L44" s="25">
        <f>SUM('NA MO'!$B44:L44)</f>
        <v>189852</v>
      </c>
      <c r="M44" s="25">
        <f>SUM('NA MO'!$B44:M44)</f>
        <v>207019</v>
      </c>
    </row>
    <row r="45" spans="1:13" x14ac:dyDescent="0.2">
      <c r="A45" s="17"/>
    </row>
    <row r="46" spans="1:13" x14ac:dyDescent="0.2">
      <c r="A46" s="17" t="s">
        <v>30</v>
      </c>
      <c r="B46" s="25">
        <f>SUM('NA MO'!$B46:B46)</f>
        <v>133333</v>
      </c>
      <c r="C46" s="25">
        <f>SUM('NA MO'!$B46:C46)</f>
        <v>266667</v>
      </c>
      <c r="D46" s="25">
        <f>SUM('NA MO'!$B46:D46)</f>
        <v>266667</v>
      </c>
      <c r="E46" s="25">
        <f>SUM('NA MO'!$B46:E46)</f>
        <v>333333</v>
      </c>
      <c r="F46" s="25">
        <f>SUM('NA MO'!$B46:F46)</f>
        <v>416667</v>
      </c>
      <c r="G46" s="25">
        <f>SUM('NA MO'!$B46:G46)</f>
        <v>500000</v>
      </c>
      <c r="H46" s="25">
        <f>SUM('NA MO'!$B46:H46)</f>
        <v>583333</v>
      </c>
      <c r="I46" s="25">
        <f>SUM('NA MO'!$B46:I46)</f>
        <v>666667</v>
      </c>
      <c r="J46" s="25">
        <f>SUM('NA MO'!$B46:J46)</f>
        <v>750000</v>
      </c>
      <c r="K46" s="25">
        <f>SUM('NA MO'!$B46:K46)</f>
        <v>833333</v>
      </c>
      <c r="L46" s="25">
        <f>SUM('NA MO'!$B46:L46)</f>
        <v>916667</v>
      </c>
      <c r="M46" s="25">
        <f>SUM('NA MO'!$B46:M46)</f>
        <v>1000000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SUM(B42:B47)</f>
        <v>256627</v>
      </c>
      <c r="C48" s="24">
        <f t="shared" ref="C48:M48" si="1">SUM(C42:C47)</f>
        <v>562548</v>
      </c>
      <c r="D48" s="24">
        <f t="shared" si="1"/>
        <v>762773</v>
      </c>
      <c r="E48" s="24">
        <f t="shared" si="1"/>
        <v>1127500.7400000002</v>
      </c>
      <c r="F48" s="24">
        <f t="shared" si="1"/>
        <v>1432464.7400000002</v>
      </c>
      <c r="G48" s="24">
        <f t="shared" si="1"/>
        <v>1722942.74</v>
      </c>
      <c r="H48" s="24">
        <f t="shared" si="1"/>
        <v>2013420.7399999998</v>
      </c>
      <c r="I48" s="24">
        <f t="shared" si="1"/>
        <v>2303899.7399999998</v>
      </c>
      <c r="J48" s="24">
        <f t="shared" si="1"/>
        <v>2594377.7399999998</v>
      </c>
      <c r="K48" s="24">
        <f t="shared" si="1"/>
        <v>2836040.7399999998</v>
      </c>
      <c r="L48" s="24">
        <f t="shared" si="1"/>
        <v>3073154.74</v>
      </c>
      <c r="M48" s="24">
        <f t="shared" si="1"/>
        <v>3309819.74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SUM('NA MO'!$B51:B51)</f>
        <v>18518</v>
      </c>
      <c r="C51" s="23">
        <f>SUM('NA MO'!$B51:C51)</f>
        <v>37036</v>
      </c>
      <c r="D51" s="23">
        <f>SUM('NA MO'!$B51:D51)</f>
        <v>75554</v>
      </c>
      <c r="E51" s="23">
        <f>SUM('NA MO'!$B51:E51)</f>
        <v>97221</v>
      </c>
      <c r="F51" s="23">
        <f>SUM('NA MO'!$B51:F51)</f>
        <v>118888</v>
      </c>
      <c r="G51" s="23">
        <f>SUM('NA MO'!$B51:G51)</f>
        <v>140554</v>
      </c>
      <c r="H51" s="23">
        <f>SUM('NA MO'!$B51:H51)</f>
        <v>162221</v>
      </c>
      <c r="I51" s="23">
        <f>SUM('NA MO'!$B51:I51)</f>
        <v>183888</v>
      </c>
      <c r="J51" s="23">
        <f>SUM('NA MO'!$B51:J51)</f>
        <v>205554</v>
      </c>
      <c r="K51" s="23">
        <f>SUM('NA MO'!$B51:K51)</f>
        <v>227221</v>
      </c>
      <c r="L51" s="23">
        <f>SUM('NA MO'!$B51:L51)</f>
        <v>248888</v>
      </c>
      <c r="M51" s="23">
        <f>SUM('NA MO'!$B51:M51)</f>
        <v>270554</v>
      </c>
    </row>
    <row r="52" spans="1:13" x14ac:dyDescent="0.2">
      <c r="A52" s="3" t="s">
        <v>1</v>
      </c>
      <c r="B52" s="23">
        <f>SUM('NA MO'!$B52:B52)</f>
        <v>54000</v>
      </c>
      <c r="C52" s="23">
        <f>SUM('NA MO'!$B52:C52)</f>
        <v>98182</v>
      </c>
      <c r="D52" s="23">
        <f>SUM('NA MO'!$B52:D52)</f>
        <v>142364</v>
      </c>
      <c r="E52" s="23">
        <f>SUM('NA MO'!$B52:E52)</f>
        <v>186546</v>
      </c>
      <c r="F52" s="23">
        <f>SUM('NA MO'!$B52:F52)</f>
        <v>224328</v>
      </c>
      <c r="G52" s="23">
        <f>SUM('NA MO'!$B52:G52)</f>
        <v>262110</v>
      </c>
      <c r="H52" s="23">
        <f>SUM('NA MO'!$B52:H52)</f>
        <v>299892</v>
      </c>
      <c r="I52" s="23">
        <f>SUM('NA MO'!$B52:I52)</f>
        <v>337674</v>
      </c>
      <c r="J52" s="23">
        <f>SUM('NA MO'!$B52:J52)</f>
        <v>375456</v>
      </c>
      <c r="K52" s="23">
        <f>SUM('NA MO'!$B52:K52)</f>
        <v>413238</v>
      </c>
      <c r="L52" s="23">
        <f>SUM('NA MO'!$B52:L52)</f>
        <v>451020</v>
      </c>
      <c r="M52" s="23">
        <f>SUM('NA MO'!$B52:M52)</f>
        <v>488800</v>
      </c>
    </row>
    <row r="53" spans="1:13" x14ac:dyDescent="0.2">
      <c r="A53" s="3" t="s">
        <v>3</v>
      </c>
      <c r="B53" s="23">
        <f>SUM('NA MO'!$B53:B53)</f>
        <v>0</v>
      </c>
      <c r="C53" s="23">
        <f>SUM('NA MO'!$B53:C53)</f>
        <v>0</v>
      </c>
      <c r="D53" s="23">
        <f>SUM('NA MO'!$B53:D53)</f>
        <v>0</v>
      </c>
      <c r="E53" s="23">
        <f>SUM('NA MO'!$B53:E53)</f>
        <v>0</v>
      </c>
      <c r="F53" s="23">
        <f>SUM('NA MO'!$B53:F53)</f>
        <v>8333.3333333333339</v>
      </c>
      <c r="G53" s="23">
        <f>SUM('NA MO'!$B53:G53)</f>
        <v>16916.666666666668</v>
      </c>
      <c r="H53" s="23">
        <f>SUM('NA MO'!$B53:H53)</f>
        <v>25500</v>
      </c>
      <c r="I53" s="23">
        <f>SUM('NA MO'!$B53:I53)</f>
        <v>34083.333333333336</v>
      </c>
      <c r="J53" s="23">
        <f>SUM('NA MO'!$B53:J53)</f>
        <v>42666.666666666672</v>
      </c>
      <c r="K53" s="23">
        <f>SUM('NA MO'!$B53:K53)</f>
        <v>51250.000000000007</v>
      </c>
      <c r="L53" s="23">
        <f>SUM('NA MO'!$B53:L53)</f>
        <v>59833.333333333343</v>
      </c>
      <c r="M53" s="23">
        <f>SUM('NA MO'!$B53:M53)</f>
        <v>68416.666666666672</v>
      </c>
    </row>
    <row r="54" spans="1:13" x14ac:dyDescent="0.2">
      <c r="A54" s="3" t="s">
        <v>4</v>
      </c>
      <c r="B54" s="23">
        <f>SUM('NA MO'!$B54:B54)</f>
        <v>0</v>
      </c>
      <c r="C54" s="23">
        <f>SUM('NA MO'!$B54:C54)</f>
        <v>0</v>
      </c>
      <c r="D54" s="23">
        <f>SUM('NA MO'!$B54:D54)</f>
        <v>0</v>
      </c>
      <c r="E54" s="23">
        <f>SUM('NA MO'!$B54:E54)</f>
        <v>0</v>
      </c>
      <c r="F54" s="23">
        <f>SUM('NA MO'!$B54:F54)</f>
        <v>2500</v>
      </c>
      <c r="G54" s="23">
        <f>SUM('NA MO'!$B54:G54)</f>
        <v>5075</v>
      </c>
      <c r="H54" s="23">
        <f>SUM('NA MO'!$B54:H54)</f>
        <v>7650</v>
      </c>
      <c r="I54" s="23">
        <f>SUM('NA MO'!$B54:I54)</f>
        <v>10225</v>
      </c>
      <c r="J54" s="23">
        <f>SUM('NA MO'!$B54:J54)</f>
        <v>12800</v>
      </c>
      <c r="K54" s="23">
        <f>SUM('NA MO'!$B54:K54)</f>
        <v>15375</v>
      </c>
      <c r="L54" s="23">
        <f>SUM('NA MO'!$B54:L54)</f>
        <v>17950</v>
      </c>
      <c r="M54" s="23">
        <f>SUM('NA MO'!$B54:M54)</f>
        <v>20525</v>
      </c>
    </row>
    <row r="55" spans="1:13" x14ac:dyDescent="0.2">
      <c r="A55" s="3" t="s">
        <v>5</v>
      </c>
      <c r="B55" s="23">
        <f>SUM('NA MO'!$B55:B55)</f>
        <v>0</v>
      </c>
      <c r="C55" s="23">
        <f>SUM('NA MO'!$B55:C55)</f>
        <v>2650</v>
      </c>
      <c r="D55" s="23">
        <f>SUM('NA MO'!$B55:D55)</f>
        <v>-48136</v>
      </c>
      <c r="E55" s="23">
        <f>SUM('NA MO'!$B55:E55)</f>
        <v>-48136</v>
      </c>
      <c r="F55" s="23">
        <f>SUM('NA MO'!$B55:F55)</f>
        <v>-41886</v>
      </c>
      <c r="G55" s="23">
        <f>SUM('NA MO'!$B55:G55)</f>
        <v>-35448.5</v>
      </c>
      <c r="H55" s="23">
        <f>SUM('NA MO'!$B55:H55)</f>
        <v>-29011</v>
      </c>
      <c r="I55" s="23">
        <f>SUM('NA MO'!$B55:I55)</f>
        <v>-22573.5</v>
      </c>
      <c r="J55" s="23">
        <f>SUM('NA MO'!$B55:J55)</f>
        <v>-16136</v>
      </c>
      <c r="K55" s="23">
        <f>SUM('NA MO'!$B55:K55)</f>
        <v>-9698.5</v>
      </c>
      <c r="L55" s="23">
        <f>SUM('NA MO'!$B55:L55)</f>
        <v>-3261</v>
      </c>
      <c r="M55" s="23">
        <f>SUM('NA MO'!$B55:M55)</f>
        <v>3176.5</v>
      </c>
    </row>
    <row r="56" spans="1:13" ht="13.5" customHeight="1" x14ac:dyDescent="0.2">
      <c r="A56" s="3" t="s">
        <v>14</v>
      </c>
      <c r="B56" s="23">
        <f>SUM('NA MO'!$B56:B56)</f>
        <v>0</v>
      </c>
      <c r="C56" s="23">
        <f>SUM('NA MO'!$B56:C56)</f>
        <v>0</v>
      </c>
      <c r="D56" s="23">
        <f>SUM('NA MO'!$B56:D56)</f>
        <v>0</v>
      </c>
      <c r="E56" s="23">
        <f>SUM('NA MO'!$B56:E56)</f>
        <v>0</v>
      </c>
      <c r="F56" s="23">
        <f>SUM('NA MO'!$B56:F56)</f>
        <v>0</v>
      </c>
      <c r="G56" s="23">
        <f>SUM('NA MO'!$B56:G56)</f>
        <v>0</v>
      </c>
      <c r="H56" s="23">
        <f>SUM('NA MO'!$B56:H56)</f>
        <v>0</v>
      </c>
      <c r="I56" s="23">
        <f>SUM('NA MO'!$B56:I56)</f>
        <v>0</v>
      </c>
      <c r="J56" s="23">
        <f>SUM('NA MO'!$B56:J56)</f>
        <v>0</v>
      </c>
      <c r="K56" s="23">
        <f>SUM('NA MO'!$B56:K56)</f>
        <v>0</v>
      </c>
      <c r="L56" s="23">
        <f>SUM('NA MO'!$B56:L56)</f>
        <v>0</v>
      </c>
      <c r="M56" s="23">
        <f>SUM('NA MO'!$B56:M56)</f>
        <v>0</v>
      </c>
    </row>
    <row r="57" spans="1:13" x14ac:dyDescent="0.2">
      <c r="A57" s="3"/>
    </row>
    <row r="58" spans="1:13" ht="13.5" thickBot="1" x14ac:dyDescent="0.25">
      <c r="A58" s="4" t="s">
        <v>15</v>
      </c>
      <c r="B58" s="28">
        <f>SUM(B51:B57)</f>
        <v>72518</v>
      </c>
      <c r="C58" s="28">
        <f t="shared" ref="C58:M58" si="2">SUM(C51:C57)</f>
        <v>137868</v>
      </c>
      <c r="D58" s="28">
        <f t="shared" si="2"/>
        <v>169782</v>
      </c>
      <c r="E58" s="28">
        <f t="shared" si="2"/>
        <v>235631</v>
      </c>
      <c r="F58" s="28">
        <f t="shared" si="2"/>
        <v>312163.33333333331</v>
      </c>
      <c r="G58" s="28">
        <f t="shared" si="2"/>
        <v>389207.16666666669</v>
      </c>
      <c r="H58" s="28">
        <f t="shared" si="2"/>
        <v>466252</v>
      </c>
      <c r="I58" s="28">
        <f t="shared" si="2"/>
        <v>543296.83333333337</v>
      </c>
      <c r="J58" s="28">
        <f t="shared" si="2"/>
        <v>620340.66666666663</v>
      </c>
      <c r="K58" s="28">
        <f t="shared" si="2"/>
        <v>697385.5</v>
      </c>
      <c r="L58" s="28">
        <f t="shared" si="2"/>
        <v>774430.33333333337</v>
      </c>
      <c r="M58" s="28">
        <f t="shared" si="2"/>
        <v>851472.16666666663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SUM('NA MO'!$B61:B61)</f>
        <v>0</v>
      </c>
      <c r="C61" s="23">
        <f>SUM('NA MO'!$B61:C61)</f>
        <v>0</v>
      </c>
      <c r="D61" s="23">
        <f>SUM('NA MO'!$B61:D61)</f>
        <v>0</v>
      </c>
      <c r="E61" s="23">
        <f>SUM('NA MO'!$B61:E61)</f>
        <v>0</v>
      </c>
      <c r="F61" s="23">
        <f>SUM('NA MO'!$B61:F61)</f>
        <v>0</v>
      </c>
      <c r="G61" s="23">
        <f>SUM('NA MO'!$B61:G61)</f>
        <v>0</v>
      </c>
      <c r="H61" s="23">
        <f>SUM('NA MO'!$B61:H61)</f>
        <v>0</v>
      </c>
      <c r="I61" s="23">
        <f>SUM('NA MO'!$B61:I61)</f>
        <v>0</v>
      </c>
      <c r="J61" s="23">
        <f>SUM('NA MO'!$B61:J61)</f>
        <v>0</v>
      </c>
      <c r="K61" s="23">
        <f>SUM('NA MO'!$B61:K61)</f>
        <v>0</v>
      </c>
      <c r="L61" s="23">
        <f>SUM('NA MO'!$B61:L61)</f>
        <v>0</v>
      </c>
      <c r="M61" s="23">
        <f>SUM('NA MO'!$B61:M61)</f>
        <v>0</v>
      </c>
    </row>
    <row r="62" spans="1:13" x14ac:dyDescent="0.2">
      <c r="A62" s="3" t="s">
        <v>7</v>
      </c>
      <c r="B62" s="23">
        <f>SUM('NA MO'!$B62:B62)</f>
        <v>777753</v>
      </c>
      <c r="C62" s="23">
        <f>SUM('NA MO'!$B62:C62)</f>
        <v>1303753</v>
      </c>
      <c r="D62" s="23">
        <f>SUM('NA MO'!$B62:D62)</f>
        <v>1816283</v>
      </c>
      <c r="E62" s="23">
        <f>SUM('NA MO'!$B62:E62)</f>
        <v>2434164</v>
      </c>
      <c r="F62" s="23">
        <f>SUM('NA MO'!$B62:F62)</f>
        <v>3055595.3603261672</v>
      </c>
      <c r="G62" s="23">
        <f>SUM('NA MO'!$B62:G62)</f>
        <v>3681165.0469096564</v>
      </c>
      <c r="H62" s="23">
        <f>SUM('NA MO'!$B62:H62)</f>
        <v>4289881.563392695</v>
      </c>
      <c r="I62" s="23">
        <f>SUM('NA MO'!$B62:I62)</f>
        <v>4833586.4251039056</v>
      </c>
      <c r="J62" s="23">
        <f>SUM('NA MO'!$B62:J62)</f>
        <v>5304221.2480799407</v>
      </c>
      <c r="K62" s="23">
        <f>SUM('NA MO'!$B62:K62)</f>
        <v>5775959.4821109856</v>
      </c>
      <c r="L62" s="23">
        <f>SUM('NA MO'!$B62:L62)</f>
        <v>6251815.4123402536</v>
      </c>
      <c r="M62" s="23">
        <f>SUM('NA MO'!$B62:M62)</f>
        <v>6706426.8651125086</v>
      </c>
    </row>
    <row r="63" spans="1:13" x14ac:dyDescent="0.2">
      <c r="A63" s="3" t="s">
        <v>8</v>
      </c>
      <c r="B63" s="23">
        <f>SUM('NA MO'!$B63:B63)</f>
        <v>371072</v>
      </c>
      <c r="C63" s="23">
        <f>SUM('NA MO'!$B63:C63)</f>
        <v>753573</v>
      </c>
      <c r="D63" s="23">
        <f>SUM('NA MO'!$B63:D63)</f>
        <v>1123295</v>
      </c>
      <c r="E63" s="23">
        <f>SUM('NA MO'!$B63:E63)</f>
        <v>1497261</v>
      </c>
      <c r="F63" s="23">
        <f>SUM('NA MO'!$B63:F63)</f>
        <v>1871227</v>
      </c>
      <c r="G63" s="23">
        <f>SUM('NA MO'!$B63:G63)</f>
        <v>2245193</v>
      </c>
      <c r="H63" s="23">
        <f>SUM('NA MO'!$B63:H63)</f>
        <v>2619159</v>
      </c>
      <c r="I63" s="23">
        <f>SUM('NA MO'!$B63:I63)</f>
        <v>2993125</v>
      </c>
      <c r="J63" s="23">
        <f>SUM('NA MO'!$B63:J63)</f>
        <v>3367091</v>
      </c>
      <c r="K63" s="23">
        <f>SUM('NA MO'!$B63:K63)</f>
        <v>3741057</v>
      </c>
      <c r="L63" s="23">
        <f>SUM('NA MO'!$B63:L63)</f>
        <v>4115023</v>
      </c>
      <c r="M63" s="23">
        <f>SUM('NA MO'!$B63:M63)</f>
        <v>4488989</v>
      </c>
    </row>
    <row r="64" spans="1:13" x14ac:dyDescent="0.2">
      <c r="A64" s="3"/>
    </row>
    <row r="65" spans="1:13" ht="13.5" thickBot="1" x14ac:dyDescent="0.25">
      <c r="A65" s="4" t="s">
        <v>17</v>
      </c>
      <c r="B65" s="28">
        <f>SUM(B61:B64)</f>
        <v>1148825</v>
      </c>
      <c r="C65" s="28">
        <f t="shared" ref="C65:M65" si="3">SUM(C61:C64)</f>
        <v>2057326</v>
      </c>
      <c r="D65" s="28">
        <f t="shared" si="3"/>
        <v>2939578</v>
      </c>
      <c r="E65" s="28">
        <f t="shared" si="3"/>
        <v>3931425</v>
      </c>
      <c r="F65" s="28">
        <f t="shared" si="3"/>
        <v>4926822.3603261672</v>
      </c>
      <c r="G65" s="28">
        <f t="shared" si="3"/>
        <v>5926358.0469096564</v>
      </c>
      <c r="H65" s="28">
        <f t="shared" si="3"/>
        <v>6909040.563392695</v>
      </c>
      <c r="I65" s="28">
        <f t="shared" si="3"/>
        <v>7826711.4251039056</v>
      </c>
      <c r="J65" s="28">
        <f t="shared" si="3"/>
        <v>8671312.2480799407</v>
      </c>
      <c r="K65" s="28">
        <f t="shared" si="3"/>
        <v>9517016.4821109846</v>
      </c>
      <c r="L65" s="28">
        <f t="shared" si="3"/>
        <v>10366838.412340254</v>
      </c>
      <c r="M65" s="28">
        <f t="shared" si="3"/>
        <v>11195415.86511251</v>
      </c>
    </row>
    <row r="67" spans="1:13" ht="13.5" thickBot="1" x14ac:dyDescent="0.25">
      <c r="A67" s="1" t="s">
        <v>13</v>
      </c>
      <c r="B67" s="29">
        <f t="shared" ref="B67:M67" si="4">B65+B58+B48</f>
        <v>1477970</v>
      </c>
      <c r="C67" s="29">
        <f t="shared" si="4"/>
        <v>2757742</v>
      </c>
      <c r="D67" s="29">
        <f t="shared" si="4"/>
        <v>3872133</v>
      </c>
      <c r="E67" s="29">
        <f t="shared" si="4"/>
        <v>5294556.74</v>
      </c>
      <c r="F67" s="29">
        <f t="shared" si="4"/>
        <v>6671450.4336595004</v>
      </c>
      <c r="G67" s="29">
        <f t="shared" si="4"/>
        <v>8038507.9535763236</v>
      </c>
      <c r="H67" s="29">
        <f t="shared" si="4"/>
        <v>9388713.3033926953</v>
      </c>
      <c r="I67" s="29">
        <f t="shared" si="4"/>
        <v>10673907.998437239</v>
      </c>
      <c r="J67" s="29">
        <f t="shared" si="4"/>
        <v>11886030.654746607</v>
      </c>
      <c r="K67" s="29">
        <f t="shared" si="4"/>
        <v>13050442.722110985</v>
      </c>
      <c r="L67" s="29">
        <f t="shared" si="4"/>
        <v>14214423.485673588</v>
      </c>
      <c r="M67" s="29">
        <f t="shared" si="4"/>
        <v>15356707.771779176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3" t="str">
        <f>+A1</f>
        <v>GENCO - New Albany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75" x14ac:dyDescent="0.25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75" x14ac:dyDescent="0.25">
      <c r="A74" s="45">
        <f>+A4</f>
        <v>36585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36697.489056018516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SUM('NA MO'!$B76:B76)</f>
        <v>0</v>
      </c>
      <c r="C80" s="24">
        <f>SUM('NA MO'!$B76:C76)</f>
        <v>0</v>
      </c>
      <c r="D80" s="24">
        <f>SUM('NA MO'!$B76:D76)</f>
        <v>0</v>
      </c>
      <c r="E80" s="24">
        <f>SUM('NA MO'!$B76:E76)</f>
        <v>0</v>
      </c>
      <c r="F80" s="24">
        <f>SUM('NA MO'!$B76:F76)</f>
        <v>0</v>
      </c>
      <c r="G80" s="24">
        <f>SUM('NA MO'!$B76:G76)</f>
        <v>0</v>
      </c>
      <c r="H80" s="24">
        <f>SUM('NA MO'!$B76:H76)</f>
        <v>0</v>
      </c>
      <c r="I80" s="24">
        <f>SUM('NA MO'!$B76:I76)</f>
        <v>0</v>
      </c>
      <c r="J80" s="24">
        <f>SUM('NA MO'!$B76:J76)</f>
        <v>0</v>
      </c>
      <c r="K80" s="24">
        <f>SUM('NA MO'!$B76:K76)</f>
        <v>0</v>
      </c>
      <c r="L80" s="24">
        <f>SUM('NA MO'!$B76:L76)</f>
        <v>0</v>
      </c>
      <c r="M80" s="24">
        <f>SUM('NA MO'!$B76:M76)</f>
        <v>0</v>
      </c>
    </row>
    <row r="82" spans="1:13" x14ac:dyDescent="0.2">
      <c r="A82" s="1" t="s">
        <v>10</v>
      </c>
    </row>
    <row r="83" spans="1:13" x14ac:dyDescent="0.2">
      <c r="A83" s="17" t="s">
        <v>49</v>
      </c>
    </row>
    <row r="84" spans="1:13" x14ac:dyDescent="0.2">
      <c r="A84" s="18" t="s">
        <v>87</v>
      </c>
      <c r="B84" s="23">
        <f>SUM('NA MO'!$B84:B84)</f>
        <v>0</v>
      </c>
      <c r="C84" s="23">
        <f>SUM('NA MO'!$B84:C84)</f>
        <v>0</v>
      </c>
      <c r="D84" s="23">
        <f>SUM('NA MO'!$B84:D84)</f>
        <v>0</v>
      </c>
      <c r="E84" s="23">
        <f>SUM('NA MO'!$B84:E84)</f>
        <v>0</v>
      </c>
      <c r="F84" s="23">
        <f>SUM('NA MO'!$B84:F84)</f>
        <v>0</v>
      </c>
      <c r="G84" s="23">
        <f>SUM('NA MO'!$B84:G84)</f>
        <v>0</v>
      </c>
      <c r="H84" s="23">
        <f>SUM('NA MO'!$B84:H84)</f>
        <v>0</v>
      </c>
      <c r="I84" s="23">
        <f>SUM('NA MO'!$B84:I84)</f>
        <v>0</v>
      </c>
      <c r="J84" s="23">
        <f>SUM('NA MO'!$B84:J84)</f>
        <v>0</v>
      </c>
      <c r="K84" s="23">
        <f>SUM('NA MO'!$B84:K84)</f>
        <v>0</v>
      </c>
      <c r="L84" s="23">
        <f>SUM('NA MO'!$B84:L84)</f>
        <v>0</v>
      </c>
      <c r="M84" s="23">
        <f>SUM('NA MO'!$B84:M84)</f>
        <v>0</v>
      </c>
    </row>
    <row r="85" spans="1:13" x14ac:dyDescent="0.2">
      <c r="A85" s="18" t="s">
        <v>63</v>
      </c>
      <c r="B85" s="23">
        <f>SUM('NA MO'!$B85:B85)</f>
        <v>543</v>
      </c>
      <c r="C85" s="23">
        <f>SUM('NA MO'!$B85:C85)</f>
        <v>1086</v>
      </c>
      <c r="D85" s="23">
        <f>SUM('NA MO'!$B85:D85)</f>
        <v>1629</v>
      </c>
      <c r="E85" s="23">
        <f>SUM('NA MO'!$B85:E85)</f>
        <v>2172</v>
      </c>
      <c r="F85" s="23">
        <f>SUM('NA MO'!$B85:F85)</f>
        <v>3312</v>
      </c>
      <c r="G85" s="23">
        <f>SUM('NA MO'!$B85:G85)</f>
        <v>4452</v>
      </c>
      <c r="H85" s="23">
        <f>SUM('NA MO'!$B85:H85)</f>
        <v>5592</v>
      </c>
      <c r="I85" s="23">
        <f>SUM('NA MO'!$B85:I85)</f>
        <v>6732</v>
      </c>
      <c r="J85" s="23">
        <f>SUM('NA MO'!$B85:J85)</f>
        <v>7872</v>
      </c>
      <c r="K85" s="23">
        <f>SUM('NA MO'!$B85:K85)</f>
        <v>8415</v>
      </c>
      <c r="L85" s="23">
        <f>SUM('NA MO'!$B85:L85)</f>
        <v>8958</v>
      </c>
      <c r="M85" s="23">
        <f>SUM('NA MO'!$B85:M85)</f>
        <v>9500</v>
      </c>
    </row>
    <row r="86" spans="1:13" x14ac:dyDescent="0.2">
      <c r="A86" s="18" t="s">
        <v>88</v>
      </c>
      <c r="B86" s="23">
        <f>SUM('NA MO'!$B86:B86)</f>
        <v>0</v>
      </c>
      <c r="C86" s="23">
        <f>SUM('NA MO'!$B86:C86)</f>
        <v>0</v>
      </c>
      <c r="D86" s="23">
        <f>SUM('NA MO'!$B86:D86)</f>
        <v>0</v>
      </c>
      <c r="E86" s="23">
        <f>SUM('NA MO'!$B86:E86)</f>
        <v>0</v>
      </c>
      <c r="F86" s="23">
        <f>SUM('NA MO'!$B86:F86)</f>
        <v>0</v>
      </c>
      <c r="G86" s="23">
        <f>SUM('NA MO'!$B86:G86)</f>
        <v>0</v>
      </c>
      <c r="H86" s="23">
        <f>SUM('NA MO'!$B86:H86)</f>
        <v>0</v>
      </c>
      <c r="I86" s="23">
        <f>SUM('NA MO'!$B86:I86)</f>
        <v>0</v>
      </c>
      <c r="J86" s="23">
        <f>SUM('NA MO'!$B86:J86)</f>
        <v>0</v>
      </c>
      <c r="K86" s="23">
        <f>SUM('NA MO'!$B86:K86)</f>
        <v>0</v>
      </c>
      <c r="L86" s="23">
        <f>SUM('NA MO'!$B86:L86)</f>
        <v>0</v>
      </c>
      <c r="M86" s="23">
        <f>SUM('NA MO'!$B86:M86)</f>
        <v>0</v>
      </c>
    </row>
    <row r="87" spans="1:13" x14ac:dyDescent="0.2">
      <c r="A87" s="18" t="s">
        <v>89</v>
      </c>
      <c r="B87" s="23">
        <f>SUM('NA MO'!$B87:B87)</f>
        <v>0</v>
      </c>
      <c r="C87" s="23">
        <f>SUM('NA MO'!$B87:C87)</f>
        <v>0</v>
      </c>
      <c r="D87" s="23">
        <f>SUM('NA MO'!$B87:D87)</f>
        <v>0</v>
      </c>
      <c r="E87" s="23">
        <f>SUM('NA MO'!$B87:E87)</f>
        <v>0</v>
      </c>
      <c r="F87" s="23">
        <f>SUM('NA MO'!$B87:F87)</f>
        <v>0</v>
      </c>
      <c r="G87" s="23">
        <f>SUM('NA MO'!$B87:G87)</f>
        <v>0</v>
      </c>
      <c r="H87" s="23">
        <f>SUM('NA MO'!$B87:H87)</f>
        <v>0</v>
      </c>
      <c r="I87" s="23">
        <f>SUM('NA MO'!$B87:I87)</f>
        <v>0</v>
      </c>
      <c r="J87" s="23">
        <f>SUM('NA MO'!$B87:J87)</f>
        <v>0</v>
      </c>
      <c r="K87" s="23">
        <f>SUM('NA MO'!$B87:K87)</f>
        <v>0</v>
      </c>
      <c r="L87" s="23">
        <f>SUM('NA MO'!$B87:L87)</f>
        <v>0</v>
      </c>
      <c r="M87" s="23">
        <f>SUM('NA MO'!$B87:M87)</f>
        <v>0</v>
      </c>
    </row>
    <row r="88" spans="1:13" x14ac:dyDescent="0.2">
      <c r="A88" s="18" t="s">
        <v>90</v>
      </c>
      <c r="B88" s="23">
        <f>SUM('NA MO'!$B88:B88)</f>
        <v>0</v>
      </c>
      <c r="C88" s="23">
        <f>SUM('NA MO'!$B88:C88)</f>
        <v>0</v>
      </c>
      <c r="D88" s="23">
        <f>SUM('NA MO'!$B88:D88)</f>
        <v>0</v>
      </c>
      <c r="E88" s="23">
        <f>SUM('NA MO'!$B88:E88)</f>
        <v>0</v>
      </c>
      <c r="F88" s="23">
        <f>SUM('NA MO'!$B88:F88)</f>
        <v>0</v>
      </c>
      <c r="G88" s="23">
        <f>SUM('NA MO'!$B88:G88)</f>
        <v>0</v>
      </c>
      <c r="H88" s="23">
        <f>SUM('NA MO'!$B88:H88)</f>
        <v>0</v>
      </c>
      <c r="I88" s="23">
        <f>SUM('NA MO'!$B88:I88)</f>
        <v>0</v>
      </c>
      <c r="J88" s="23">
        <f>SUM('NA MO'!$B88:J88)</f>
        <v>0</v>
      </c>
      <c r="K88" s="23">
        <f>SUM('NA MO'!$B88:K88)</f>
        <v>0</v>
      </c>
      <c r="L88" s="23">
        <f>SUM('NA MO'!$B88:L88)</f>
        <v>0</v>
      </c>
      <c r="M88" s="23">
        <f>SUM('NA MO'!$B88:M88)</f>
        <v>0</v>
      </c>
    </row>
    <row r="89" spans="1:13" x14ac:dyDescent="0.2">
      <c r="A89" s="18" t="s">
        <v>64</v>
      </c>
      <c r="B89" s="23">
        <f>SUM('NA MO'!$B89:B89)</f>
        <v>0</v>
      </c>
      <c r="C89" s="23">
        <f>SUM('NA MO'!$B89:C89)</f>
        <v>0</v>
      </c>
      <c r="D89" s="23">
        <f>SUM('NA MO'!$B89:D89)</f>
        <v>0</v>
      </c>
      <c r="E89" s="23">
        <f>SUM('NA MO'!$B89:E89)</f>
        <v>0</v>
      </c>
      <c r="F89" s="23">
        <f>SUM('NA MO'!$B89:F89)</f>
        <v>0</v>
      </c>
      <c r="G89" s="23">
        <f>SUM('NA MO'!$B89:G89)</f>
        <v>0</v>
      </c>
      <c r="H89" s="23">
        <f>SUM('NA MO'!$B89:H89)</f>
        <v>0</v>
      </c>
      <c r="I89" s="23">
        <f>SUM('NA MO'!$B89:I89)</f>
        <v>0</v>
      </c>
      <c r="J89" s="23">
        <f>SUM('NA MO'!$B89:J89)</f>
        <v>0</v>
      </c>
      <c r="K89" s="23">
        <f>SUM('NA MO'!$B89:K89)</f>
        <v>0</v>
      </c>
      <c r="L89" s="23">
        <f>SUM('NA MO'!$B89:L89)</f>
        <v>0</v>
      </c>
      <c r="M89" s="23">
        <f>SUM('NA MO'!$B89:M89)</f>
        <v>0</v>
      </c>
    </row>
    <row r="90" spans="1:13" x14ac:dyDescent="0.2">
      <c r="A90" s="18" t="s">
        <v>91</v>
      </c>
      <c r="B90" s="23">
        <f>SUM('NA MO'!$B90:B90)</f>
        <v>0</v>
      </c>
      <c r="C90" s="23">
        <f>SUM('NA MO'!$B90:C90)</f>
        <v>0</v>
      </c>
      <c r="D90" s="23">
        <f>SUM('NA MO'!$B90:D90)</f>
        <v>0</v>
      </c>
      <c r="E90" s="23">
        <f>SUM('NA MO'!$B90:E90)</f>
        <v>0</v>
      </c>
      <c r="F90" s="23">
        <f>SUM('NA MO'!$B90:F90)</f>
        <v>0</v>
      </c>
      <c r="G90" s="23">
        <f>SUM('NA MO'!$B90:G90)</f>
        <v>0</v>
      </c>
      <c r="H90" s="23">
        <f>SUM('NA MO'!$B90:H90)</f>
        <v>0</v>
      </c>
      <c r="I90" s="23">
        <f>SUM('NA MO'!$B90:I90)</f>
        <v>0</v>
      </c>
      <c r="J90" s="23">
        <f>SUM('NA MO'!$B90:J90)</f>
        <v>0</v>
      </c>
      <c r="K90" s="23">
        <f>SUM('NA MO'!$B90:K90)</f>
        <v>0</v>
      </c>
      <c r="L90" s="23">
        <f>SUM('NA MO'!$B90:L90)</f>
        <v>0</v>
      </c>
      <c r="M90" s="23">
        <f>SUM('NA MO'!$B90:M90)</f>
        <v>0</v>
      </c>
    </row>
    <row r="91" spans="1:13" x14ac:dyDescent="0.2">
      <c r="A91" s="18" t="s">
        <v>92</v>
      </c>
      <c r="B91" s="23">
        <f>SUM('NA MO'!$B91:B91)</f>
        <v>0</v>
      </c>
      <c r="C91" s="23">
        <f>SUM('NA MO'!$B91:C91)</f>
        <v>0</v>
      </c>
      <c r="D91" s="23">
        <f>SUM('NA MO'!$B91:D91)</f>
        <v>0</v>
      </c>
      <c r="E91" s="23">
        <f>SUM('NA MO'!$B91:E91)</f>
        <v>0</v>
      </c>
      <c r="F91" s="23">
        <f>SUM('NA MO'!$B91:F91)</f>
        <v>0</v>
      </c>
      <c r="G91" s="23">
        <f>SUM('NA MO'!$B91:G91)</f>
        <v>0</v>
      </c>
      <c r="H91" s="23">
        <f>SUM('NA MO'!$B91:H91)</f>
        <v>0</v>
      </c>
      <c r="I91" s="23">
        <f>SUM('NA MO'!$B91:I91)</f>
        <v>0</v>
      </c>
      <c r="J91" s="23">
        <f>SUM('NA MO'!$B91:J91)</f>
        <v>0</v>
      </c>
      <c r="K91" s="23">
        <f>SUM('NA MO'!$B91:K91)</f>
        <v>0</v>
      </c>
      <c r="L91" s="23">
        <f>SUM('NA MO'!$B91:L91)</f>
        <v>0</v>
      </c>
      <c r="M91" s="23">
        <f>SUM('NA MO'!$B91:M91)</f>
        <v>0</v>
      </c>
    </row>
    <row r="92" spans="1:13" x14ac:dyDescent="0.2">
      <c r="A92" s="18" t="s">
        <v>65</v>
      </c>
      <c r="B92" s="23">
        <f>SUM('NA MO'!$B92:B92)</f>
        <v>458</v>
      </c>
      <c r="C92" s="23">
        <f>SUM('NA MO'!$B92:C92)</f>
        <v>916</v>
      </c>
      <c r="D92" s="23">
        <f>SUM('NA MO'!$B92:D92)</f>
        <v>1374</v>
      </c>
      <c r="E92" s="23">
        <f>SUM('NA MO'!$B92:E92)</f>
        <v>1832</v>
      </c>
      <c r="F92" s="23">
        <f>SUM('NA MO'!$B92:F92)</f>
        <v>2290</v>
      </c>
      <c r="G92" s="23">
        <f>SUM('NA MO'!$B92:G92)</f>
        <v>2748</v>
      </c>
      <c r="H92" s="23">
        <f>SUM('NA MO'!$B92:H92)</f>
        <v>3206</v>
      </c>
      <c r="I92" s="23">
        <f>SUM('NA MO'!$B92:I92)</f>
        <v>3664</v>
      </c>
      <c r="J92" s="23">
        <f>SUM('NA MO'!$B92:J92)</f>
        <v>4122</v>
      </c>
      <c r="K92" s="23">
        <f>SUM('NA MO'!$B92:K92)</f>
        <v>4580</v>
      </c>
      <c r="L92" s="23">
        <f>SUM('NA MO'!$B92:L92)</f>
        <v>5038</v>
      </c>
      <c r="M92" s="23">
        <f>SUM('NA MO'!$B92:M92)</f>
        <v>5500</v>
      </c>
    </row>
    <row r="93" spans="1:13" x14ac:dyDescent="0.2">
      <c r="A93" s="18" t="s">
        <v>45</v>
      </c>
      <c r="B93" s="23">
        <f>SUM('NA MO'!$B93:B93)</f>
        <v>86</v>
      </c>
      <c r="C93" s="23">
        <f>SUM('NA MO'!$B93:C93)</f>
        <v>172</v>
      </c>
      <c r="D93" s="23">
        <f>SUM('NA MO'!$B93:D93)</f>
        <v>258</v>
      </c>
      <c r="E93" s="23">
        <f>SUM('NA MO'!$B93:E93)</f>
        <v>5344</v>
      </c>
      <c r="F93" s="23">
        <f>SUM('NA MO'!$B93:F93)</f>
        <v>17524</v>
      </c>
      <c r="G93" s="23">
        <f>SUM('NA MO'!$B93:G93)</f>
        <v>29704</v>
      </c>
      <c r="H93" s="23">
        <f>SUM('NA MO'!$B93:H93)</f>
        <v>41884</v>
      </c>
      <c r="I93" s="23">
        <f>SUM('NA MO'!$B93:I93)</f>
        <v>54064</v>
      </c>
      <c r="J93" s="23">
        <f>SUM('NA MO'!$B93:J93)</f>
        <v>66244</v>
      </c>
      <c r="K93" s="23">
        <f>SUM('NA MO'!$B93:K93)</f>
        <v>71330</v>
      </c>
      <c r="L93" s="23">
        <f>SUM('NA MO'!$B93:L93)</f>
        <v>71416</v>
      </c>
      <c r="M93" s="23">
        <f>SUM('NA MO'!$B93:M93)</f>
        <v>71500</v>
      </c>
    </row>
    <row r="94" spans="1:13" x14ac:dyDescent="0.2">
      <c r="A94" s="18" t="s">
        <v>66</v>
      </c>
      <c r="B94" s="23">
        <f>SUM('NA MO'!$B94:B94)</f>
        <v>86</v>
      </c>
      <c r="C94" s="23">
        <f>SUM('NA MO'!$B94:C94)</f>
        <v>172</v>
      </c>
      <c r="D94" s="23">
        <f>SUM('NA MO'!$B94:D94)</f>
        <v>258</v>
      </c>
      <c r="E94" s="23">
        <f>SUM('NA MO'!$B94:E94)</f>
        <v>344</v>
      </c>
      <c r="F94" s="23">
        <f>SUM('NA MO'!$B94:F94)</f>
        <v>524</v>
      </c>
      <c r="G94" s="23">
        <f>SUM('NA MO'!$B94:G94)</f>
        <v>704</v>
      </c>
      <c r="H94" s="23">
        <f>SUM('NA MO'!$B94:H94)</f>
        <v>884</v>
      </c>
      <c r="I94" s="23">
        <f>SUM('NA MO'!$B94:I94)</f>
        <v>1064</v>
      </c>
      <c r="J94" s="23">
        <f>SUM('NA MO'!$B94:J94)</f>
        <v>1244</v>
      </c>
      <c r="K94" s="23">
        <f>SUM('NA MO'!$B94:K94)</f>
        <v>1330</v>
      </c>
      <c r="L94" s="23">
        <f>SUM('NA MO'!$B94:L94)</f>
        <v>1416</v>
      </c>
      <c r="M94" s="23">
        <f>SUM('NA MO'!$B94:M94)</f>
        <v>1500</v>
      </c>
    </row>
    <row r="95" spans="1:13" x14ac:dyDescent="0.2">
      <c r="A95" s="18" t="s">
        <v>67</v>
      </c>
      <c r="B95" s="23">
        <f>SUM('NA MO'!$B95:B95)</f>
        <v>857</v>
      </c>
      <c r="C95" s="23">
        <f>SUM('NA MO'!$B95:C95)</f>
        <v>1714</v>
      </c>
      <c r="D95" s="23">
        <f>SUM('NA MO'!$B95:D95)</f>
        <v>2571</v>
      </c>
      <c r="E95" s="23">
        <f>SUM('NA MO'!$B95:E95)</f>
        <v>3428</v>
      </c>
      <c r="F95" s="23">
        <f>SUM('NA MO'!$B95:F95)</f>
        <v>5228</v>
      </c>
      <c r="G95" s="23">
        <f>SUM('NA MO'!$B95:G95)</f>
        <v>7028</v>
      </c>
      <c r="H95" s="23">
        <f>SUM('NA MO'!$B95:H95)</f>
        <v>8828</v>
      </c>
      <c r="I95" s="23">
        <f>SUM('NA MO'!$B95:I95)</f>
        <v>10628</v>
      </c>
      <c r="J95" s="23">
        <f>SUM('NA MO'!$B95:J95)</f>
        <v>12428</v>
      </c>
      <c r="K95" s="23">
        <f>SUM('NA MO'!$B95:K95)</f>
        <v>13285</v>
      </c>
      <c r="L95" s="23">
        <f>SUM('NA MO'!$B95:L95)</f>
        <v>14142</v>
      </c>
      <c r="M95" s="23">
        <f>SUM('NA MO'!$B95:M95)</f>
        <v>15000</v>
      </c>
    </row>
    <row r="96" spans="1:13" x14ac:dyDescent="0.2">
      <c r="A96" s="18" t="s">
        <v>93</v>
      </c>
      <c r="B96" s="23">
        <f>SUM('NA MO'!$B96:B96)</f>
        <v>0</v>
      </c>
      <c r="C96" s="23">
        <f>SUM('NA MO'!$B96:C96)</f>
        <v>0</v>
      </c>
      <c r="D96" s="23">
        <f>SUM('NA MO'!$B96:D96)</f>
        <v>0</v>
      </c>
      <c r="E96" s="23">
        <f>SUM('NA MO'!$B96:E96)</f>
        <v>0</v>
      </c>
      <c r="F96" s="23">
        <f>SUM('NA MO'!$B96:F96)</f>
        <v>0</v>
      </c>
      <c r="G96" s="23">
        <f>SUM('NA MO'!$B96:G96)</f>
        <v>0</v>
      </c>
      <c r="H96" s="23">
        <f>SUM('NA MO'!$B96:H96)</f>
        <v>0</v>
      </c>
      <c r="I96" s="23">
        <f>SUM('NA MO'!$B96:I96)</f>
        <v>0</v>
      </c>
      <c r="J96" s="23">
        <f>SUM('NA MO'!$B96:J96)</f>
        <v>0</v>
      </c>
      <c r="K96" s="23">
        <f>SUM('NA MO'!$B96:K96)</f>
        <v>0</v>
      </c>
      <c r="L96" s="23">
        <f>SUM('NA MO'!$B96:L96)</f>
        <v>0</v>
      </c>
      <c r="M96" s="23">
        <f>SUM('NA MO'!$B96:M96)</f>
        <v>0</v>
      </c>
    </row>
    <row r="97" spans="1:13" x14ac:dyDescent="0.2">
      <c r="A97" s="18" t="s">
        <v>69</v>
      </c>
      <c r="B97" s="23">
        <f>SUM('NA MO'!$B97:B97)</f>
        <v>333</v>
      </c>
      <c r="C97" s="23">
        <f>SUM('NA MO'!$B97:C97)</f>
        <v>666</v>
      </c>
      <c r="D97" s="23">
        <f>SUM('NA MO'!$B97:D97)</f>
        <v>999</v>
      </c>
      <c r="E97" s="23">
        <f>SUM('NA MO'!$B97:E97)</f>
        <v>1332</v>
      </c>
      <c r="F97" s="23">
        <f>SUM('NA MO'!$B97:F97)</f>
        <v>1665</v>
      </c>
      <c r="G97" s="23">
        <f>SUM('NA MO'!$B97:G97)</f>
        <v>1998</v>
      </c>
      <c r="H97" s="23">
        <f>SUM('NA MO'!$B97:H97)</f>
        <v>2331</v>
      </c>
      <c r="I97" s="23">
        <f>SUM('NA MO'!$B97:I97)</f>
        <v>2664</v>
      </c>
      <c r="J97" s="23">
        <f>SUM('NA MO'!$B97:J97)</f>
        <v>2997</v>
      </c>
      <c r="K97" s="23">
        <f>SUM('NA MO'!$B97:K97)</f>
        <v>3330</v>
      </c>
      <c r="L97" s="23">
        <f>SUM('NA MO'!$B97:L97)</f>
        <v>3663</v>
      </c>
      <c r="M97" s="23">
        <f>SUM('NA MO'!$B97:M97)</f>
        <v>4000</v>
      </c>
    </row>
    <row r="98" spans="1:13" x14ac:dyDescent="0.2">
      <c r="A98" s="18" t="s">
        <v>68</v>
      </c>
      <c r="B98" s="23">
        <f>SUM('NA MO'!$B98:B98)</f>
        <v>833</v>
      </c>
      <c r="C98" s="23">
        <f>SUM('NA MO'!$B98:C98)</f>
        <v>1666</v>
      </c>
      <c r="D98" s="23">
        <f>SUM('NA MO'!$B98:D98)</f>
        <v>17499</v>
      </c>
      <c r="E98" s="23">
        <f>SUM('NA MO'!$B98:E98)</f>
        <v>18332</v>
      </c>
      <c r="F98" s="23">
        <f>SUM('NA MO'!$B98:F98)</f>
        <v>19165</v>
      </c>
      <c r="G98" s="23">
        <f>SUM('NA MO'!$B98:G98)</f>
        <v>19998</v>
      </c>
      <c r="H98" s="23">
        <f>SUM('NA MO'!$B98:H98)</f>
        <v>20831</v>
      </c>
      <c r="I98" s="23">
        <f>SUM('NA MO'!$B98:I98)</f>
        <v>21664</v>
      </c>
      <c r="J98" s="23">
        <f>SUM('NA MO'!$B98:J98)</f>
        <v>22497</v>
      </c>
      <c r="K98" s="23">
        <f>SUM('NA MO'!$B98:K98)</f>
        <v>23330</v>
      </c>
      <c r="L98" s="23">
        <f>SUM('NA MO'!$B98:L98)</f>
        <v>24163</v>
      </c>
      <c r="M98" s="23">
        <f>SUM('NA MO'!$B98:M98)</f>
        <v>25000</v>
      </c>
    </row>
    <row r="99" spans="1:13" x14ac:dyDescent="0.2">
      <c r="A99" s="18" t="s">
        <v>94</v>
      </c>
      <c r="B99" s="23">
        <f>SUM('NA MO'!$B99:B99)</f>
        <v>0</v>
      </c>
      <c r="C99" s="23">
        <f>SUM('NA MO'!$B99:C99)</f>
        <v>0</v>
      </c>
      <c r="D99" s="23">
        <f>SUM('NA MO'!$B99:D99)</f>
        <v>0</v>
      </c>
      <c r="E99" s="23">
        <f>SUM('NA MO'!$B99:E99)</f>
        <v>0</v>
      </c>
      <c r="F99" s="23">
        <f>SUM('NA MO'!$B99:F99)</f>
        <v>0</v>
      </c>
      <c r="G99" s="23">
        <f>SUM('NA MO'!$B99:G99)</f>
        <v>0</v>
      </c>
      <c r="H99" s="23">
        <f>SUM('NA MO'!$B99:H99)</f>
        <v>0</v>
      </c>
      <c r="I99" s="23">
        <f>SUM('NA MO'!$B99:I99)</f>
        <v>0</v>
      </c>
      <c r="J99" s="23">
        <f>SUM('NA MO'!$B99:J99)</f>
        <v>0</v>
      </c>
      <c r="K99" s="23">
        <f>SUM('NA MO'!$B99:K99)</f>
        <v>0</v>
      </c>
      <c r="L99" s="23">
        <f>SUM('NA MO'!$B99:L99)</f>
        <v>0</v>
      </c>
      <c r="M99" s="23">
        <f>SUM('NA MO'!$B99:M99)</f>
        <v>0</v>
      </c>
    </row>
    <row r="100" spans="1:13" x14ac:dyDescent="0.2">
      <c r="A100" s="18" t="s">
        <v>46</v>
      </c>
      <c r="B100" s="23">
        <f>SUM('NA MO'!$B100:B100)</f>
        <v>600</v>
      </c>
      <c r="C100" s="23">
        <f>SUM('NA MO'!$B100:C100)</f>
        <v>1200</v>
      </c>
      <c r="D100" s="23">
        <f>SUM('NA MO'!$B100:D100)</f>
        <v>1800</v>
      </c>
      <c r="E100" s="23">
        <f>SUM('NA MO'!$B100:E100)</f>
        <v>2400</v>
      </c>
      <c r="F100" s="23">
        <f>SUM('NA MO'!$B100:F100)</f>
        <v>12060</v>
      </c>
      <c r="G100" s="23">
        <f>SUM('NA MO'!$B100:G100)</f>
        <v>21720</v>
      </c>
      <c r="H100" s="23">
        <f>SUM('NA MO'!$B100:H100)</f>
        <v>31380</v>
      </c>
      <c r="I100" s="23">
        <f>SUM('NA MO'!$B100:I100)</f>
        <v>41040</v>
      </c>
      <c r="J100" s="23">
        <f>SUM('NA MO'!$B100:J100)</f>
        <v>50700</v>
      </c>
      <c r="K100" s="23">
        <f>SUM('NA MO'!$B100:K100)</f>
        <v>51300</v>
      </c>
      <c r="L100" s="23">
        <f>SUM('NA MO'!$B100:L100)</f>
        <v>51900</v>
      </c>
      <c r="M100" s="23">
        <f>SUM('NA MO'!$B100:M100)</f>
        <v>52500</v>
      </c>
    </row>
    <row r="101" spans="1:13" x14ac:dyDescent="0.2">
      <c r="A101" s="18" t="s">
        <v>70</v>
      </c>
      <c r="B101" s="23">
        <f>SUM('NA MO'!$B101:B101)</f>
        <v>3208</v>
      </c>
      <c r="C101" s="23">
        <f>SUM('NA MO'!$B101:C101)</f>
        <v>6416</v>
      </c>
      <c r="D101" s="23">
        <f>SUM('NA MO'!$B101:D101)</f>
        <v>9624</v>
      </c>
      <c r="E101" s="23">
        <f>SUM('NA MO'!$B101:E101)</f>
        <v>12832</v>
      </c>
      <c r="F101" s="23">
        <f>SUM('NA MO'!$B101:F101)</f>
        <v>17580</v>
      </c>
      <c r="G101" s="23">
        <f>SUM('NA MO'!$B101:G101)</f>
        <v>22328</v>
      </c>
      <c r="H101" s="23">
        <f>SUM('NA MO'!$B101:H101)</f>
        <v>27076</v>
      </c>
      <c r="I101" s="23">
        <f>SUM('NA MO'!$B101:I101)</f>
        <v>31824</v>
      </c>
      <c r="J101" s="23">
        <f>SUM('NA MO'!$B101:J101)</f>
        <v>36572</v>
      </c>
      <c r="K101" s="23">
        <f>SUM('NA MO'!$B101:K101)</f>
        <v>39780</v>
      </c>
      <c r="L101" s="23">
        <f>SUM('NA MO'!$B101:L101)</f>
        <v>42988</v>
      </c>
      <c r="M101" s="23">
        <f>SUM('NA MO'!$B101:M101)</f>
        <v>46200</v>
      </c>
    </row>
    <row r="102" spans="1:13" x14ac:dyDescent="0.2">
      <c r="A102" s="18" t="s">
        <v>71</v>
      </c>
      <c r="B102" s="23">
        <f>SUM('NA MO'!$B102:B102)</f>
        <v>8953</v>
      </c>
      <c r="C102" s="23">
        <f>SUM('NA MO'!$B102:C102)</f>
        <v>17906</v>
      </c>
      <c r="D102" s="23">
        <f>SUM('NA MO'!$B102:D102)</f>
        <v>26859</v>
      </c>
      <c r="E102" s="23">
        <f>SUM('NA MO'!$B102:E102)</f>
        <v>35812</v>
      </c>
      <c r="F102" s="23">
        <f>SUM('NA MO'!$B102:F102)</f>
        <v>60080</v>
      </c>
      <c r="G102" s="23">
        <f>SUM('NA MO'!$B102:G102)</f>
        <v>69348</v>
      </c>
      <c r="H102" s="23">
        <f>SUM('NA MO'!$B102:H102)</f>
        <v>78616</v>
      </c>
      <c r="I102" s="23">
        <f>SUM('NA MO'!$B102:I102)</f>
        <v>87884</v>
      </c>
      <c r="J102" s="23">
        <f>SUM('NA MO'!$B102:J102)</f>
        <v>97152</v>
      </c>
      <c r="K102" s="23">
        <f>SUM('NA MO'!$B102:K102)</f>
        <v>106105</v>
      </c>
      <c r="L102" s="23">
        <f>SUM('NA MO'!$B102:L102)</f>
        <v>115058</v>
      </c>
      <c r="M102" s="23">
        <f>SUM('NA MO'!$B102:M102)</f>
        <v>124000</v>
      </c>
    </row>
    <row r="103" spans="1:13" x14ac:dyDescent="0.2">
      <c r="A103" s="18" t="s">
        <v>44</v>
      </c>
      <c r="B103" s="23">
        <f>SUM('NA MO'!$B103:B103)</f>
        <v>83297</v>
      </c>
      <c r="C103" s="23">
        <f>SUM('NA MO'!$B103:C103)</f>
        <v>166594</v>
      </c>
      <c r="D103" s="23">
        <f>SUM('NA MO'!$B103:D103)</f>
        <v>249891</v>
      </c>
      <c r="E103" s="23">
        <f>SUM('NA MO'!$B103:E103)</f>
        <v>333188</v>
      </c>
      <c r="F103" s="23">
        <f>SUM('NA MO'!$B103:F103)</f>
        <v>433400</v>
      </c>
      <c r="G103" s="23">
        <f>SUM('NA MO'!$B103:G103)</f>
        <v>533612</v>
      </c>
      <c r="H103" s="23">
        <f>SUM('NA MO'!$B103:H103)</f>
        <v>633824</v>
      </c>
      <c r="I103" s="23">
        <f>SUM('NA MO'!$B103:I103)</f>
        <v>734036</v>
      </c>
      <c r="J103" s="23">
        <f>SUM('NA MO'!$B103:J103)</f>
        <v>834248</v>
      </c>
      <c r="K103" s="23">
        <f>SUM('NA MO'!$B103:K103)</f>
        <v>917545</v>
      </c>
      <c r="L103" s="23">
        <f>SUM('NA MO'!$B103:L103)</f>
        <v>1000842</v>
      </c>
      <c r="M103" s="23">
        <f>SUM('NA MO'!$B103:M103)</f>
        <v>1084143</v>
      </c>
    </row>
    <row r="104" spans="1:13" x14ac:dyDescent="0.2">
      <c r="A104" s="18" t="s">
        <v>47</v>
      </c>
      <c r="B104" s="23">
        <f>SUM('NA MO'!$B104:B104)</f>
        <v>4075</v>
      </c>
      <c r="C104" s="23">
        <f>SUM('NA MO'!$B104:C104)</f>
        <v>8150</v>
      </c>
      <c r="D104" s="23">
        <f>SUM('NA MO'!$B104:D104)</f>
        <v>12225</v>
      </c>
      <c r="E104" s="23">
        <f>SUM('NA MO'!$B104:E104)</f>
        <v>16300</v>
      </c>
      <c r="F104" s="23">
        <f>SUM('NA MO'!$B104:F104)</f>
        <v>20375</v>
      </c>
      <c r="G104" s="23">
        <f>SUM('NA MO'!$B104:G104)</f>
        <v>24450</v>
      </c>
      <c r="H104" s="23">
        <f>SUM('NA MO'!$B104:H104)</f>
        <v>28525</v>
      </c>
      <c r="I104" s="23">
        <f>SUM('NA MO'!$B104:I104)</f>
        <v>32600</v>
      </c>
      <c r="J104" s="23">
        <f>SUM('NA MO'!$B104:J104)</f>
        <v>36675</v>
      </c>
      <c r="K104" s="23">
        <f>SUM('NA MO'!$B104:K104)</f>
        <v>40750</v>
      </c>
      <c r="L104" s="23">
        <f>SUM('NA MO'!$B104:L104)</f>
        <v>44825</v>
      </c>
      <c r="M104" s="23">
        <f>SUM('NA MO'!$B104:M104)</f>
        <v>48900</v>
      </c>
    </row>
    <row r="105" spans="1:13" x14ac:dyDescent="0.2">
      <c r="A105" s="18" t="s">
        <v>2</v>
      </c>
      <c r="B105" s="23">
        <f>SUM('NA MO'!$B105:B105)</f>
        <v>21030</v>
      </c>
      <c r="C105" s="23">
        <f>SUM('NA MO'!$B105:C105)</f>
        <v>42060</v>
      </c>
      <c r="D105" s="23">
        <f>SUM('NA MO'!$B105:D105)</f>
        <v>63090</v>
      </c>
      <c r="E105" s="23">
        <f>SUM('NA MO'!$B105:E105)</f>
        <v>84870</v>
      </c>
      <c r="F105" s="23">
        <f>SUM('NA MO'!$B105:F105)</f>
        <v>105900</v>
      </c>
      <c r="G105" s="23">
        <f>SUM('NA MO'!$B105:G105)</f>
        <v>127445</v>
      </c>
      <c r="H105" s="23">
        <f>SUM('NA MO'!$B105:H105)</f>
        <v>148990</v>
      </c>
      <c r="I105" s="23">
        <f>SUM('NA MO'!$B105:I105)</f>
        <v>170535</v>
      </c>
      <c r="J105" s="23">
        <f>SUM('NA MO'!$B105:J105)</f>
        <v>192080</v>
      </c>
      <c r="K105" s="23">
        <f>SUM('NA MO'!$B105:K105)</f>
        <v>213625</v>
      </c>
      <c r="L105" s="23">
        <f>SUM('NA MO'!$B105:L105)</f>
        <v>235620</v>
      </c>
      <c r="M105" s="23">
        <f>SUM('NA MO'!$B105:M105)</f>
        <v>257165</v>
      </c>
    </row>
    <row r="106" spans="1:13" x14ac:dyDescent="0.2">
      <c r="A106" s="18" t="s">
        <v>95</v>
      </c>
      <c r="B106" s="23">
        <f>SUM('NA MO'!$B106:B106)</f>
        <v>0</v>
      </c>
      <c r="C106" s="23">
        <f>SUM('NA MO'!$B106:C106)</f>
        <v>0</v>
      </c>
      <c r="D106" s="23">
        <f>SUM('NA MO'!$B106:D106)</f>
        <v>0</v>
      </c>
      <c r="E106" s="23">
        <f>SUM('NA MO'!$B106:E106)</f>
        <v>0</v>
      </c>
      <c r="F106" s="23">
        <f>SUM('NA MO'!$B106:F106)</f>
        <v>0</v>
      </c>
      <c r="G106" s="23">
        <f>SUM('NA MO'!$B106:G106)</f>
        <v>0</v>
      </c>
      <c r="H106" s="23">
        <f>SUM('NA MO'!$B106:H106)</f>
        <v>0</v>
      </c>
      <c r="I106" s="23">
        <f>SUM('NA MO'!$B106:I106)</f>
        <v>0</v>
      </c>
      <c r="J106" s="23">
        <f>SUM('NA MO'!$B106:J106)</f>
        <v>0</v>
      </c>
      <c r="K106" s="23">
        <f>SUM('NA MO'!$B106:K106)</f>
        <v>0</v>
      </c>
      <c r="L106" s="23">
        <f>SUM('NA MO'!$B106:L106)</f>
        <v>0</v>
      </c>
      <c r="M106" s="23">
        <f>SUM('NA MO'!$B106:M106)</f>
        <v>0</v>
      </c>
    </row>
    <row r="107" spans="1:13" x14ac:dyDescent="0.2">
      <c r="A107" s="18" t="s">
        <v>72</v>
      </c>
      <c r="B107" s="23">
        <f>SUM('NA MO'!$B107:B107)</f>
        <v>146</v>
      </c>
      <c r="C107" s="23">
        <f>SUM('NA MO'!$B107:C107)</f>
        <v>292</v>
      </c>
      <c r="D107" s="23">
        <f>SUM('NA MO'!$B107:D107)</f>
        <v>438</v>
      </c>
      <c r="E107" s="23">
        <f>SUM('NA MO'!$B107:E107)</f>
        <v>584</v>
      </c>
      <c r="F107" s="23">
        <f>SUM('NA MO'!$B107:F107)</f>
        <v>730</v>
      </c>
      <c r="G107" s="23">
        <f>SUM('NA MO'!$B107:G107)</f>
        <v>876</v>
      </c>
      <c r="H107" s="23">
        <f>SUM('NA MO'!$B107:H107)</f>
        <v>1022</v>
      </c>
      <c r="I107" s="23">
        <f>SUM('NA MO'!$B107:I107)</f>
        <v>1168</v>
      </c>
      <c r="J107" s="23">
        <f>SUM('NA MO'!$B107:J107)</f>
        <v>1314</v>
      </c>
      <c r="K107" s="23">
        <f>SUM('NA MO'!$B107:K107)</f>
        <v>1460</v>
      </c>
      <c r="L107" s="23">
        <f>SUM('NA MO'!$B107:L107)</f>
        <v>1606</v>
      </c>
      <c r="M107" s="23">
        <f>SUM('NA MO'!$B107:M107)</f>
        <v>1750</v>
      </c>
    </row>
    <row r="108" spans="1:13" x14ac:dyDescent="0.2">
      <c r="A108" s="18" t="s">
        <v>48</v>
      </c>
      <c r="B108" s="23">
        <f>SUM('NA MO'!$B108:B108)</f>
        <v>11143</v>
      </c>
      <c r="C108" s="23">
        <f>SUM('NA MO'!$B108:C108)</f>
        <v>22286</v>
      </c>
      <c r="D108" s="23">
        <f>SUM('NA MO'!$B108:D108)</f>
        <v>33429</v>
      </c>
      <c r="E108" s="23">
        <f>SUM('NA MO'!$B108:E108)</f>
        <v>44572</v>
      </c>
      <c r="F108" s="23">
        <f>SUM('NA MO'!$B108:F108)</f>
        <v>67972</v>
      </c>
      <c r="G108" s="23">
        <f>SUM('NA MO'!$B108:G108)</f>
        <v>91372</v>
      </c>
      <c r="H108" s="23">
        <f>SUM('NA MO'!$B108:H108)</f>
        <v>114772</v>
      </c>
      <c r="I108" s="23">
        <f>SUM('NA MO'!$B108:I108)</f>
        <v>138172</v>
      </c>
      <c r="J108" s="23">
        <f>SUM('NA MO'!$B108:J108)</f>
        <v>161572</v>
      </c>
      <c r="K108" s="23">
        <f>SUM('NA MO'!$B108:K108)</f>
        <v>172715</v>
      </c>
      <c r="L108" s="23">
        <f>SUM('NA MO'!$B108:L108)</f>
        <v>183858</v>
      </c>
      <c r="M108" s="23">
        <f>SUM('NA MO'!$B108:M108)</f>
        <v>195000</v>
      </c>
    </row>
    <row r="109" spans="1:13" x14ac:dyDescent="0.2">
      <c r="A109" s="18" t="s">
        <v>74</v>
      </c>
      <c r="B109" s="23">
        <f>SUM('NA MO'!$B109:B109)</f>
        <v>0</v>
      </c>
      <c r="C109" s="23">
        <f>SUM('NA MO'!$B109:C109)</f>
        <v>0</v>
      </c>
      <c r="D109" s="23">
        <f>SUM('NA MO'!$B109:D109)</f>
        <v>0</v>
      </c>
      <c r="E109" s="23">
        <f>SUM('NA MO'!$B109:E109)</f>
        <v>0</v>
      </c>
      <c r="F109" s="23">
        <f>SUM('NA MO'!$B109:F109)</f>
        <v>0</v>
      </c>
      <c r="G109" s="23">
        <f>SUM('NA MO'!$B109:G109)</f>
        <v>0</v>
      </c>
      <c r="H109" s="23">
        <f>SUM('NA MO'!$B109:H109)</f>
        <v>0</v>
      </c>
      <c r="I109" s="23">
        <f>SUM('NA MO'!$B109:I109)</f>
        <v>0</v>
      </c>
      <c r="J109" s="23">
        <f>SUM('NA MO'!$B109:J109)</f>
        <v>0</v>
      </c>
      <c r="K109" s="23">
        <f>SUM('NA MO'!$B109:K109)</f>
        <v>0</v>
      </c>
      <c r="L109" s="23">
        <f>SUM('NA MO'!$B109:L109)</f>
        <v>0</v>
      </c>
      <c r="M109" s="23">
        <f>SUM('NA MO'!$B109:M109)</f>
        <v>0</v>
      </c>
    </row>
    <row r="110" spans="1:13" x14ac:dyDescent="0.2">
      <c r="A110" s="18" t="s">
        <v>96</v>
      </c>
      <c r="B110" s="23">
        <f>SUM('NA MO'!$B110:B110)</f>
        <v>0</v>
      </c>
      <c r="C110" s="23">
        <f>SUM('NA MO'!$B110:C110)</f>
        <v>0</v>
      </c>
      <c r="D110" s="23">
        <f>SUM('NA MO'!$B110:D110)</f>
        <v>0</v>
      </c>
      <c r="E110" s="23">
        <f>SUM('NA MO'!$B110:E110)</f>
        <v>0</v>
      </c>
      <c r="F110" s="23">
        <f>SUM('NA MO'!$B110:F110)</f>
        <v>0</v>
      </c>
      <c r="G110" s="23">
        <f>SUM('NA MO'!$B110:G110)</f>
        <v>0</v>
      </c>
      <c r="H110" s="23">
        <f>SUM('NA MO'!$B110:H110)</f>
        <v>0</v>
      </c>
      <c r="I110" s="23">
        <f>SUM('NA MO'!$B110:I110)</f>
        <v>0</v>
      </c>
      <c r="J110" s="23">
        <f>SUM('NA MO'!$B110:J110)</f>
        <v>0</v>
      </c>
      <c r="K110" s="23">
        <f>SUM('NA MO'!$B110:K110)</f>
        <v>0</v>
      </c>
      <c r="L110" s="23">
        <f>SUM('NA MO'!$B110:L110)</f>
        <v>0</v>
      </c>
      <c r="M110" s="23">
        <f>SUM('NA MO'!$B110:M110)</f>
        <v>0</v>
      </c>
    </row>
    <row r="111" spans="1:13" x14ac:dyDescent="0.2">
      <c r="A111" s="18"/>
    </row>
    <row r="112" spans="1:13" x14ac:dyDescent="0.2">
      <c r="A112" s="19" t="s">
        <v>28</v>
      </c>
      <c r="B112" s="27">
        <f t="shared" ref="B112:M112" si="5">SUM(B84:B110)</f>
        <v>135648</v>
      </c>
      <c r="C112" s="27">
        <f t="shared" si="5"/>
        <v>271296</v>
      </c>
      <c r="D112" s="27">
        <f t="shared" si="5"/>
        <v>421944</v>
      </c>
      <c r="E112" s="27">
        <f t="shared" si="5"/>
        <v>563342</v>
      </c>
      <c r="F112" s="27">
        <f t="shared" si="5"/>
        <v>767805</v>
      </c>
      <c r="G112" s="27">
        <f t="shared" si="5"/>
        <v>957783</v>
      </c>
      <c r="H112" s="27">
        <f t="shared" si="5"/>
        <v>1147761</v>
      </c>
      <c r="I112" s="27">
        <f t="shared" si="5"/>
        <v>1337739</v>
      </c>
      <c r="J112" s="27">
        <f t="shared" si="5"/>
        <v>1527717</v>
      </c>
      <c r="K112" s="27">
        <f t="shared" si="5"/>
        <v>1668880</v>
      </c>
      <c r="L112" s="27">
        <f t="shared" si="5"/>
        <v>1805493</v>
      </c>
      <c r="M112" s="27">
        <f t="shared" si="5"/>
        <v>1941658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SUM('NA MO'!$B114:B114)</f>
        <v>16666.666666666668</v>
      </c>
      <c r="C114" s="25">
        <f>SUM('NA MO'!$B114:C114)</f>
        <v>33333.333333333336</v>
      </c>
      <c r="D114" s="25">
        <f>SUM('NA MO'!$B114:D114)</f>
        <v>50000</v>
      </c>
      <c r="E114" s="25">
        <f>SUM('NA MO'!$B114:E114)</f>
        <v>66666.666666666672</v>
      </c>
      <c r="F114" s="25">
        <f>SUM('NA MO'!$B114:F114)</f>
        <v>83333.333333333343</v>
      </c>
      <c r="G114" s="25">
        <f>SUM('NA MO'!$B114:G114)</f>
        <v>100500.00000000001</v>
      </c>
      <c r="H114" s="25">
        <f>SUM('NA MO'!$B114:H114)</f>
        <v>117666.66666666669</v>
      </c>
      <c r="I114" s="25">
        <f>SUM('NA MO'!$B114:I114)</f>
        <v>134833.33333333334</v>
      </c>
      <c r="J114" s="25">
        <f>SUM('NA MO'!$B114:J114)</f>
        <v>152000</v>
      </c>
      <c r="K114" s="25">
        <f>SUM('NA MO'!$B114:K114)</f>
        <v>169166.66666666666</v>
      </c>
      <c r="L114" s="25">
        <f>SUM('NA MO'!$B114:L114)</f>
        <v>186333.33333333331</v>
      </c>
      <c r="M114" s="25">
        <f>SUM('NA MO'!$B114:M114)</f>
        <v>203499.99999999997</v>
      </c>
    </row>
    <row r="115" spans="1:13" x14ac:dyDescent="0.2">
      <c r="A115" s="17"/>
    </row>
    <row r="116" spans="1:13" x14ac:dyDescent="0.2">
      <c r="A116" s="17" t="s">
        <v>30</v>
      </c>
      <c r="B116" s="25">
        <f>SUM('NA MO'!$B116:B116)</f>
        <v>50000</v>
      </c>
      <c r="C116" s="25">
        <f>SUM('NA MO'!$B116:C116)</f>
        <v>100000</v>
      </c>
      <c r="D116" s="25">
        <f>SUM('NA MO'!$B116:D116)</f>
        <v>150000</v>
      </c>
      <c r="E116" s="25">
        <f>SUM('NA MO'!$B116:E116)</f>
        <v>200000</v>
      </c>
      <c r="F116" s="25">
        <f>SUM('NA MO'!$B116:F116)</f>
        <v>250000</v>
      </c>
      <c r="G116" s="25">
        <f>SUM('NA MO'!$B116:G116)</f>
        <v>300000</v>
      </c>
      <c r="H116" s="25">
        <f>SUM('NA MO'!$B116:H116)</f>
        <v>350000</v>
      </c>
      <c r="I116" s="25">
        <f>SUM('NA MO'!$B116:I116)</f>
        <v>400000</v>
      </c>
      <c r="J116" s="25">
        <f>SUM('NA MO'!$B116:J116)</f>
        <v>450000</v>
      </c>
      <c r="K116" s="25">
        <f>SUM('NA MO'!$B116:K116)</f>
        <v>500000</v>
      </c>
      <c r="L116" s="25">
        <f>SUM('NA MO'!$B116:L116)</f>
        <v>550000</v>
      </c>
      <c r="M116" s="25">
        <f>SUM('NA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SUM(B112:B117)</f>
        <v>202314.66666666666</v>
      </c>
      <c r="C118" s="24">
        <f t="shared" ref="C118:M118" si="6">SUM(C112:C117)</f>
        <v>404629.33333333331</v>
      </c>
      <c r="D118" s="24">
        <f t="shared" si="6"/>
        <v>621944</v>
      </c>
      <c r="E118" s="24">
        <f t="shared" si="6"/>
        <v>830008.66666666663</v>
      </c>
      <c r="F118" s="24">
        <f t="shared" si="6"/>
        <v>1101138.3333333335</v>
      </c>
      <c r="G118" s="24">
        <f t="shared" si="6"/>
        <v>1358283</v>
      </c>
      <c r="H118" s="24">
        <f t="shared" si="6"/>
        <v>1615427.6666666667</v>
      </c>
      <c r="I118" s="24">
        <f t="shared" si="6"/>
        <v>1872572.3333333333</v>
      </c>
      <c r="J118" s="24">
        <f t="shared" si="6"/>
        <v>2129717</v>
      </c>
      <c r="K118" s="24">
        <f t="shared" si="6"/>
        <v>2338046.666666667</v>
      </c>
      <c r="L118" s="24">
        <f t="shared" si="6"/>
        <v>2541826.333333333</v>
      </c>
      <c r="M118" s="24">
        <f t="shared" si="6"/>
        <v>2745158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SUM('NA MO'!$B121:B121)</f>
        <v>20887.5</v>
      </c>
      <c r="C121" s="23">
        <f>SUM('NA MO'!$B121:C121)</f>
        <v>41775</v>
      </c>
      <c r="D121" s="23">
        <f>SUM('NA MO'!$B121:D121)</f>
        <v>62662.5</v>
      </c>
      <c r="E121" s="23">
        <f>SUM('NA MO'!$B121:E121)</f>
        <v>83550</v>
      </c>
      <c r="F121" s="23">
        <f>SUM('NA MO'!$B121:F121)</f>
        <v>104437.5</v>
      </c>
      <c r="G121" s="23">
        <f>SUM('NA MO'!$B121:G121)</f>
        <v>125950.75</v>
      </c>
      <c r="H121" s="23">
        <f>SUM('NA MO'!$B121:H121)</f>
        <v>147464</v>
      </c>
      <c r="I121" s="23">
        <f>SUM('NA MO'!$B121:I121)</f>
        <v>168977.25</v>
      </c>
      <c r="J121" s="23">
        <f>SUM('NA MO'!$B121:J121)</f>
        <v>190490.5</v>
      </c>
      <c r="K121" s="23">
        <f>SUM('NA MO'!$B121:K121)</f>
        <v>212003.75</v>
      </c>
      <c r="L121" s="23">
        <f>SUM('NA MO'!$B121:L121)</f>
        <v>233517</v>
      </c>
      <c r="M121" s="23">
        <f>SUM('NA MO'!$B121:M121)</f>
        <v>255030.25</v>
      </c>
    </row>
    <row r="122" spans="1:13" x14ac:dyDescent="0.2">
      <c r="A122" s="3" t="s">
        <v>1</v>
      </c>
      <c r="B122" s="23">
        <f>SUM('NA MO'!$B122:B122)</f>
        <v>0</v>
      </c>
      <c r="C122" s="23">
        <f>SUM('NA MO'!$B122:C122)</f>
        <v>0</v>
      </c>
      <c r="D122" s="23">
        <f>SUM('NA MO'!$B122:D122)</f>
        <v>0</v>
      </c>
      <c r="E122" s="23">
        <f>SUM('NA MO'!$B122:E122)</f>
        <v>0</v>
      </c>
      <c r="F122" s="23">
        <f>SUM('NA MO'!$B122:F122)</f>
        <v>0</v>
      </c>
      <c r="G122" s="23">
        <f>SUM('NA MO'!$B122:G122)</f>
        <v>61291.25</v>
      </c>
      <c r="H122" s="23">
        <f>SUM('NA MO'!$B122:H122)</f>
        <v>122582.5</v>
      </c>
      <c r="I122" s="23">
        <f>SUM('NA MO'!$B122:I122)</f>
        <v>183873.75</v>
      </c>
      <c r="J122" s="23">
        <f>SUM('NA MO'!$B122:J122)</f>
        <v>245165</v>
      </c>
      <c r="K122" s="23">
        <f>SUM('NA MO'!$B122:K122)</f>
        <v>306456.25</v>
      </c>
      <c r="L122" s="23">
        <f>SUM('NA MO'!$B122:L122)</f>
        <v>367747.5</v>
      </c>
      <c r="M122" s="23">
        <f>SUM('NA MO'!$B122:M122)</f>
        <v>429038.75</v>
      </c>
    </row>
    <row r="123" spans="1:13" x14ac:dyDescent="0.2">
      <c r="A123" s="3" t="s">
        <v>3</v>
      </c>
      <c r="B123" s="23">
        <f>SUM('NA MO'!$B123:B123)</f>
        <v>8333.3333333333339</v>
      </c>
      <c r="C123" s="23">
        <f>SUM('NA MO'!$B123:C123)</f>
        <v>16666.666666666668</v>
      </c>
      <c r="D123" s="23">
        <f>SUM('NA MO'!$B123:D123)</f>
        <v>25000</v>
      </c>
      <c r="E123" s="23">
        <f>SUM('NA MO'!$B123:E123)</f>
        <v>33333.333333333336</v>
      </c>
      <c r="F123" s="23">
        <f>SUM('NA MO'!$B123:F123)</f>
        <v>41666.666666666672</v>
      </c>
      <c r="G123" s="23">
        <f>SUM('NA MO'!$B123:G123)</f>
        <v>50250.000000000007</v>
      </c>
      <c r="H123" s="23">
        <f>SUM('NA MO'!$B123:H123)</f>
        <v>58833.333333333343</v>
      </c>
      <c r="I123" s="23">
        <f>SUM('NA MO'!$B123:I123)</f>
        <v>67416.666666666672</v>
      </c>
      <c r="J123" s="23">
        <f>SUM('NA MO'!$B123:J123)</f>
        <v>76000</v>
      </c>
      <c r="K123" s="23">
        <f>SUM('NA MO'!$B123:K123)</f>
        <v>84583.333333333328</v>
      </c>
      <c r="L123" s="23">
        <f>SUM('NA MO'!$B123:L123)</f>
        <v>93166.666666666657</v>
      </c>
      <c r="M123" s="23">
        <f>SUM('NA MO'!$B123:M123)</f>
        <v>101749.99999999999</v>
      </c>
    </row>
    <row r="124" spans="1:13" x14ac:dyDescent="0.2">
      <c r="A124" s="3" t="s">
        <v>4</v>
      </c>
      <c r="B124" s="23">
        <f>SUM('NA MO'!$B124:B124)</f>
        <v>2500</v>
      </c>
      <c r="C124" s="23">
        <f>SUM('NA MO'!$B124:C124)</f>
        <v>5000</v>
      </c>
      <c r="D124" s="23">
        <f>SUM('NA MO'!$B124:D124)</f>
        <v>7500</v>
      </c>
      <c r="E124" s="23">
        <f>SUM('NA MO'!$B124:E124)</f>
        <v>10000</v>
      </c>
      <c r="F124" s="23">
        <f>SUM('NA MO'!$B124:F124)</f>
        <v>12500</v>
      </c>
      <c r="G124" s="23">
        <f>SUM('NA MO'!$B124:G124)</f>
        <v>15075</v>
      </c>
      <c r="H124" s="23">
        <f>SUM('NA MO'!$B124:H124)</f>
        <v>17650</v>
      </c>
      <c r="I124" s="23">
        <f>SUM('NA MO'!$B124:I124)</f>
        <v>20225</v>
      </c>
      <c r="J124" s="23">
        <f>SUM('NA MO'!$B124:J124)</f>
        <v>22800</v>
      </c>
      <c r="K124" s="23">
        <f>SUM('NA MO'!$B124:K124)</f>
        <v>25375</v>
      </c>
      <c r="L124" s="23">
        <f>SUM('NA MO'!$B124:L124)</f>
        <v>27950</v>
      </c>
      <c r="M124" s="23">
        <f>SUM('NA MO'!$B124:M124)</f>
        <v>30525</v>
      </c>
    </row>
    <row r="125" spans="1:13" x14ac:dyDescent="0.2">
      <c r="A125" s="3" t="s">
        <v>5</v>
      </c>
      <c r="B125" s="23">
        <f>SUM('NA MO'!$B125:B125)</f>
        <v>6250</v>
      </c>
      <c r="C125" s="23">
        <f>SUM('NA MO'!$B125:C125)</f>
        <v>12500</v>
      </c>
      <c r="D125" s="23">
        <f>SUM('NA MO'!$B125:D125)</f>
        <v>18750</v>
      </c>
      <c r="E125" s="23">
        <f>SUM('NA MO'!$B125:E125)</f>
        <v>25000</v>
      </c>
      <c r="F125" s="23">
        <f>SUM('NA MO'!$B125:F125)</f>
        <v>31250</v>
      </c>
      <c r="G125" s="23">
        <f>SUM('NA MO'!$B125:G125)</f>
        <v>37687.5</v>
      </c>
      <c r="H125" s="23">
        <f>SUM('NA MO'!$B125:H125)</f>
        <v>44125</v>
      </c>
      <c r="I125" s="23">
        <f>SUM('NA MO'!$B125:I125)</f>
        <v>50562.5</v>
      </c>
      <c r="J125" s="23">
        <f>SUM('NA MO'!$B125:J125)</f>
        <v>57000</v>
      </c>
      <c r="K125" s="23">
        <f>SUM('NA MO'!$B125:K125)</f>
        <v>63437.5</v>
      </c>
      <c r="L125" s="23">
        <f>SUM('NA MO'!$B125:L125)</f>
        <v>69875</v>
      </c>
      <c r="M125" s="23">
        <f>SUM('NA MO'!$B125:M125)</f>
        <v>76312.5</v>
      </c>
    </row>
    <row r="126" spans="1:13" x14ac:dyDescent="0.2">
      <c r="A126" s="3" t="s">
        <v>14</v>
      </c>
      <c r="B126" s="23">
        <f>SUM('NA MO'!$B126:B126)</f>
        <v>0</v>
      </c>
      <c r="C126" s="23">
        <f>SUM('NA MO'!$B126:C126)</f>
        <v>0</v>
      </c>
      <c r="D126" s="23">
        <f>SUM('NA MO'!$B126:D126)</f>
        <v>0</v>
      </c>
      <c r="E126" s="23">
        <f>SUM('NA MO'!$B126:E126)</f>
        <v>0</v>
      </c>
      <c r="F126" s="23">
        <f>SUM('NA MO'!$B126:F126)</f>
        <v>0</v>
      </c>
      <c r="G126" s="23">
        <f>SUM('NA MO'!$B126:G126)</f>
        <v>0</v>
      </c>
      <c r="H126" s="23">
        <f>SUM('NA MO'!$B126:H126)</f>
        <v>0</v>
      </c>
      <c r="I126" s="23">
        <f>SUM('NA MO'!$B126:I126)</f>
        <v>0</v>
      </c>
      <c r="J126" s="23">
        <f>SUM('NA MO'!$B126:J126)</f>
        <v>0</v>
      </c>
      <c r="K126" s="23">
        <f>SUM('NA MO'!$B126:K126)</f>
        <v>0</v>
      </c>
      <c r="L126" s="23">
        <f>SUM('NA MO'!$B126:L126)</f>
        <v>0</v>
      </c>
      <c r="M126" s="23">
        <f>SUM('NA MO'!$B126:M126)</f>
        <v>0</v>
      </c>
    </row>
    <row r="127" spans="1:13" x14ac:dyDescent="0.2">
      <c r="A127" s="3"/>
    </row>
    <row r="128" spans="1:13" ht="13.5" thickBot="1" x14ac:dyDescent="0.25">
      <c r="A128" s="4" t="s">
        <v>15</v>
      </c>
      <c r="B128" s="28">
        <f>SUM(B121:B127)</f>
        <v>37970.833333333336</v>
      </c>
      <c r="C128" s="28">
        <f t="shared" ref="C128:M128" si="7">SUM(C121:C127)</f>
        <v>75941.666666666672</v>
      </c>
      <c r="D128" s="28">
        <f t="shared" si="7"/>
        <v>113912.5</v>
      </c>
      <c r="E128" s="28">
        <f t="shared" si="7"/>
        <v>151883.33333333334</v>
      </c>
      <c r="F128" s="28">
        <f t="shared" si="7"/>
        <v>189854.16666666669</v>
      </c>
      <c r="G128" s="28">
        <f t="shared" si="7"/>
        <v>290254.5</v>
      </c>
      <c r="H128" s="28">
        <f t="shared" si="7"/>
        <v>390654.83333333337</v>
      </c>
      <c r="I128" s="28">
        <f t="shared" si="7"/>
        <v>491055.16666666669</v>
      </c>
      <c r="J128" s="28">
        <f t="shared" si="7"/>
        <v>591455.5</v>
      </c>
      <c r="K128" s="28">
        <f t="shared" si="7"/>
        <v>691855.83333333337</v>
      </c>
      <c r="L128" s="28">
        <f t="shared" si="7"/>
        <v>792256.16666666663</v>
      </c>
      <c r="M128" s="28">
        <f t="shared" si="7"/>
        <v>892656.5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SUM('NA MO'!$B131:B131)</f>
        <v>0</v>
      </c>
      <c r="C131" s="23">
        <f>SUM('NA MO'!$B131:C131)</f>
        <v>0</v>
      </c>
      <c r="D131" s="23">
        <f>SUM('NA MO'!$B131:D131)</f>
        <v>0</v>
      </c>
      <c r="E131" s="23">
        <f>SUM('NA MO'!$B131:E131)</f>
        <v>0</v>
      </c>
      <c r="F131" s="23">
        <f>SUM('NA MO'!$B131:F131)</f>
        <v>0</v>
      </c>
      <c r="G131" s="23">
        <f>SUM('NA MO'!$B131:G131)</f>
        <v>0</v>
      </c>
      <c r="H131" s="23">
        <f>SUM('NA MO'!$B131:H131)</f>
        <v>0</v>
      </c>
      <c r="I131" s="23">
        <f>SUM('NA MO'!$B131:I131)</f>
        <v>0</v>
      </c>
      <c r="J131" s="23">
        <f>SUM('NA MO'!$B131:J131)</f>
        <v>0</v>
      </c>
      <c r="K131" s="23">
        <f>SUM('NA MO'!$B131:K131)</f>
        <v>0</v>
      </c>
      <c r="L131" s="23">
        <f>SUM('NA MO'!$B131:L131)</f>
        <v>0</v>
      </c>
      <c r="M131" s="23">
        <f>SUM('NA MO'!$B131:M131)</f>
        <v>0</v>
      </c>
    </row>
    <row r="132" spans="1:13" x14ac:dyDescent="0.2">
      <c r="A132" s="3" t="s">
        <v>7</v>
      </c>
      <c r="B132" s="23">
        <f>SUM('NA MO'!$B132:B132)</f>
        <v>650000</v>
      </c>
      <c r="C132" s="23">
        <f>SUM('NA MO'!$B132:C132)</f>
        <v>1304000</v>
      </c>
      <c r="D132" s="23">
        <f>SUM('NA MO'!$B132:D132)</f>
        <v>1970000</v>
      </c>
      <c r="E132" s="23">
        <f>SUM('NA MO'!$B132:E132)</f>
        <v>2632000</v>
      </c>
      <c r="F132" s="23">
        <f>SUM('NA MO'!$B132:F132)</f>
        <v>3297000</v>
      </c>
      <c r="G132" s="23">
        <f>SUM('NA MO'!$B132:G132)</f>
        <v>3956000</v>
      </c>
      <c r="H132" s="23">
        <f>SUM('NA MO'!$B132:H132)</f>
        <v>4616000</v>
      </c>
      <c r="I132" s="23">
        <f>SUM('NA MO'!$B132:I132)</f>
        <v>5279000</v>
      </c>
      <c r="J132" s="23">
        <f>SUM('NA MO'!$B132:J132)</f>
        <v>5937000</v>
      </c>
      <c r="K132" s="23">
        <f>SUM('NA MO'!$B132:K132)</f>
        <v>6599000</v>
      </c>
      <c r="L132" s="23">
        <f>SUM('NA MO'!$B132:L132)</f>
        <v>7266000</v>
      </c>
      <c r="M132" s="23">
        <f>SUM('NA MO'!$B132:M132)</f>
        <v>7938000</v>
      </c>
    </row>
    <row r="133" spans="1:13" x14ac:dyDescent="0.2">
      <c r="A133" s="3" t="s">
        <v>8</v>
      </c>
      <c r="B133" s="23">
        <f>SUM('NA MO'!$B133:B133)</f>
        <v>364000</v>
      </c>
      <c r="C133" s="23">
        <f>SUM('NA MO'!$B133:C133)</f>
        <v>728000</v>
      </c>
      <c r="D133" s="23">
        <f>SUM('NA MO'!$B133:D133)</f>
        <v>1092000</v>
      </c>
      <c r="E133" s="23">
        <f>SUM('NA MO'!$B133:E133)</f>
        <v>1456000</v>
      </c>
      <c r="F133" s="23">
        <f>SUM('NA MO'!$B133:F133)</f>
        <v>1820000</v>
      </c>
      <c r="G133" s="23">
        <f>SUM('NA MO'!$B133:G133)</f>
        <v>2184000</v>
      </c>
      <c r="H133" s="23">
        <f>SUM('NA MO'!$B133:H133)</f>
        <v>2548000</v>
      </c>
      <c r="I133" s="23">
        <f>SUM('NA MO'!$B133:I133)</f>
        <v>2912000</v>
      </c>
      <c r="J133" s="23">
        <f>SUM('NA MO'!$B133:J133)</f>
        <v>3276000</v>
      </c>
      <c r="K133" s="23">
        <f>SUM('NA MO'!$B133:K133)</f>
        <v>3640000</v>
      </c>
      <c r="L133" s="23">
        <f>SUM('NA MO'!$B133:L133)</f>
        <v>4004000</v>
      </c>
      <c r="M133" s="23">
        <f>SUM('NA MO'!$B133:M133)</f>
        <v>4365000</v>
      </c>
    </row>
    <row r="134" spans="1:13" x14ac:dyDescent="0.2">
      <c r="A134" s="3"/>
    </row>
    <row r="135" spans="1:13" ht="13.5" thickBot="1" x14ac:dyDescent="0.25">
      <c r="A135" s="4" t="s">
        <v>17</v>
      </c>
      <c r="B135" s="28">
        <f>SUM(B131:B134)</f>
        <v>1014000</v>
      </c>
      <c r="C135" s="28">
        <f t="shared" ref="C135:M135" si="8">SUM(C131:C134)</f>
        <v>2032000</v>
      </c>
      <c r="D135" s="28">
        <f t="shared" si="8"/>
        <v>3062000</v>
      </c>
      <c r="E135" s="28">
        <f t="shared" si="8"/>
        <v>4088000</v>
      </c>
      <c r="F135" s="28">
        <f t="shared" si="8"/>
        <v>5117000</v>
      </c>
      <c r="G135" s="28">
        <f t="shared" si="8"/>
        <v>6140000</v>
      </c>
      <c r="H135" s="28">
        <f t="shared" si="8"/>
        <v>7164000</v>
      </c>
      <c r="I135" s="28">
        <f t="shared" si="8"/>
        <v>8191000</v>
      </c>
      <c r="J135" s="28">
        <f t="shared" si="8"/>
        <v>9213000</v>
      </c>
      <c r="K135" s="28">
        <f t="shared" si="8"/>
        <v>10239000</v>
      </c>
      <c r="L135" s="28">
        <f t="shared" si="8"/>
        <v>11270000</v>
      </c>
      <c r="M135" s="28">
        <f t="shared" si="8"/>
        <v>12303000</v>
      </c>
    </row>
    <row r="137" spans="1:13" ht="13.5" thickBot="1" x14ac:dyDescent="0.25">
      <c r="A137" s="1" t="s">
        <v>13</v>
      </c>
      <c r="B137" s="29">
        <f t="shared" ref="B137:M137" si="9">B118+B128+B135</f>
        <v>1254285.5</v>
      </c>
      <c r="C137" s="29">
        <f t="shared" si="9"/>
        <v>2512571</v>
      </c>
      <c r="D137" s="29">
        <f t="shared" si="9"/>
        <v>3797856.5</v>
      </c>
      <c r="E137" s="29">
        <f t="shared" si="9"/>
        <v>5069892</v>
      </c>
      <c r="F137" s="29">
        <f t="shared" si="9"/>
        <v>6407992.5</v>
      </c>
      <c r="G137" s="29">
        <f t="shared" si="9"/>
        <v>7788537.5</v>
      </c>
      <c r="H137" s="29">
        <f t="shared" si="9"/>
        <v>9170082.5</v>
      </c>
      <c r="I137" s="29">
        <f t="shared" si="9"/>
        <v>10554627.5</v>
      </c>
      <c r="J137" s="29">
        <f t="shared" si="9"/>
        <v>11934172.5</v>
      </c>
      <c r="K137" s="29">
        <f t="shared" si="9"/>
        <v>13268902.5</v>
      </c>
      <c r="L137" s="29">
        <f t="shared" si="9"/>
        <v>14604082.5</v>
      </c>
      <c r="M137" s="29">
        <f t="shared" si="9"/>
        <v>15940814.5</v>
      </c>
    </row>
    <row r="138" spans="1:13" ht="13.5" thickTop="1" x14ac:dyDescent="0.2"/>
    <row r="141" spans="1:13" ht="15.75" x14ac:dyDescent="0.25">
      <c r="A141" s="43" t="str">
        <f>+A1</f>
        <v>GENCO - New Albany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75" x14ac:dyDescent="0.25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75" x14ac:dyDescent="0.25">
      <c r="A144" s="45">
        <f>+A4</f>
        <v>36585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36697.489056018516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10">+B80-B10</f>
        <v>0</v>
      </c>
      <c r="C150" s="24">
        <f t="shared" si="10"/>
        <v>0</v>
      </c>
      <c r="D150" s="24">
        <f t="shared" si="10"/>
        <v>0</v>
      </c>
      <c r="E150" s="24">
        <f t="shared" si="10"/>
        <v>0</v>
      </c>
      <c r="F150" s="24">
        <f t="shared" si="10"/>
        <v>0</v>
      </c>
      <c r="G150" s="24">
        <f t="shared" si="10"/>
        <v>0</v>
      </c>
      <c r="H150" s="24">
        <f t="shared" si="10"/>
        <v>0</v>
      </c>
      <c r="I150" s="24">
        <f t="shared" si="10"/>
        <v>0</v>
      </c>
      <c r="J150" s="24">
        <f t="shared" si="10"/>
        <v>0</v>
      </c>
      <c r="K150" s="24">
        <f t="shared" si="10"/>
        <v>0</v>
      </c>
      <c r="L150" s="24">
        <f t="shared" si="10"/>
        <v>0</v>
      </c>
      <c r="M150" s="24">
        <f t="shared" si="10"/>
        <v>0</v>
      </c>
    </row>
    <row r="152" spans="1:13" x14ac:dyDescent="0.2">
      <c r="A152" s="1" t="s">
        <v>10</v>
      </c>
    </row>
    <row r="153" spans="1:13" x14ac:dyDescent="0.2">
      <c r="A153" s="17" t="s">
        <v>49</v>
      </c>
    </row>
    <row r="154" spans="1:13" x14ac:dyDescent="0.2">
      <c r="A154" s="18" t="s">
        <v>87</v>
      </c>
      <c r="B154" s="23">
        <f>SUM('NA MO'!$B154:B154)</f>
        <v>0</v>
      </c>
      <c r="C154" s="23">
        <f>SUM('NA MO'!$B154:C154)</f>
        <v>0</v>
      </c>
      <c r="D154" s="23">
        <f>SUM('NA MO'!$B154:D154)</f>
        <v>0</v>
      </c>
      <c r="E154" s="23">
        <f>SUM('NA MO'!$B154:E154)</f>
        <v>0</v>
      </c>
      <c r="F154" s="23">
        <f>SUM('NA MO'!$B154:F154)</f>
        <v>0</v>
      </c>
      <c r="G154" s="23">
        <f>SUM('NA MO'!$B154:G154)</f>
        <v>0</v>
      </c>
      <c r="H154" s="23">
        <f>SUM('NA MO'!$B154:H154)</f>
        <v>0</v>
      </c>
      <c r="I154" s="23">
        <f>SUM('NA MO'!$B154:I154)</f>
        <v>0</v>
      </c>
      <c r="J154" s="23">
        <f>SUM('NA MO'!$B154:J154)</f>
        <v>0</v>
      </c>
      <c r="K154" s="23">
        <f>SUM('NA MO'!$B154:K154)</f>
        <v>0</v>
      </c>
      <c r="L154" s="23">
        <f>SUM('NA MO'!$B154:L154)</f>
        <v>0</v>
      </c>
      <c r="M154" s="23">
        <f>SUM('NA MO'!$B154:M154)</f>
        <v>0</v>
      </c>
    </row>
    <row r="155" spans="1:13" x14ac:dyDescent="0.2">
      <c r="A155" s="18" t="s">
        <v>63</v>
      </c>
      <c r="B155" s="23">
        <f>SUM('NA MO'!$B155:B155)</f>
        <v>543</v>
      </c>
      <c r="C155" s="23">
        <f>SUM('NA MO'!$B155:C155)</f>
        <v>1086</v>
      </c>
      <c r="D155" s="23">
        <f>SUM('NA MO'!$B155:D155)</f>
        <v>1629</v>
      </c>
      <c r="E155" s="23">
        <f>SUM('NA MO'!$B155:E155)</f>
        <v>2172</v>
      </c>
      <c r="F155" s="23">
        <f>SUM('NA MO'!$B155:F155)</f>
        <v>2172</v>
      </c>
      <c r="G155" s="23">
        <f>SUM('NA MO'!$B155:G155)</f>
        <v>2172</v>
      </c>
      <c r="H155" s="23">
        <f>SUM('NA MO'!$B155:H155)</f>
        <v>2172</v>
      </c>
      <c r="I155" s="23">
        <f>SUM('NA MO'!$B155:I155)</f>
        <v>2172</v>
      </c>
      <c r="J155" s="23">
        <f>SUM('NA MO'!$B155:J155)</f>
        <v>2172</v>
      </c>
      <c r="K155" s="23">
        <f>SUM('NA MO'!$B155:K155)</f>
        <v>2172</v>
      </c>
      <c r="L155" s="23">
        <f>SUM('NA MO'!$B155:L155)</f>
        <v>2172</v>
      </c>
      <c r="M155" s="23">
        <f>SUM('NA MO'!$B155:M155)</f>
        <v>2172</v>
      </c>
    </row>
    <row r="156" spans="1:13" x14ac:dyDescent="0.2">
      <c r="A156" s="18" t="s">
        <v>88</v>
      </c>
      <c r="B156" s="23">
        <f>SUM('NA MO'!$B156:B156)</f>
        <v>0</v>
      </c>
      <c r="C156" s="23">
        <f>SUM('NA MO'!$B156:C156)</f>
        <v>0</v>
      </c>
      <c r="D156" s="23">
        <f>SUM('NA MO'!$B156:D156)</f>
        <v>0</v>
      </c>
      <c r="E156" s="23">
        <f>SUM('NA MO'!$B156:E156)</f>
        <v>0</v>
      </c>
      <c r="F156" s="23">
        <f>SUM('NA MO'!$B156:F156)</f>
        <v>0</v>
      </c>
      <c r="G156" s="23">
        <f>SUM('NA MO'!$B156:G156)</f>
        <v>0</v>
      </c>
      <c r="H156" s="23">
        <f>SUM('NA MO'!$B156:H156)</f>
        <v>0</v>
      </c>
      <c r="I156" s="23">
        <f>SUM('NA MO'!$B156:I156)</f>
        <v>0</v>
      </c>
      <c r="J156" s="23">
        <f>SUM('NA MO'!$B156:J156)</f>
        <v>0</v>
      </c>
      <c r="K156" s="23">
        <f>SUM('NA MO'!$B156:K156)</f>
        <v>0</v>
      </c>
      <c r="L156" s="23">
        <f>SUM('NA MO'!$B156:L156)</f>
        <v>0</v>
      </c>
      <c r="M156" s="23">
        <f>SUM('NA MO'!$B156:M156)</f>
        <v>0</v>
      </c>
    </row>
    <row r="157" spans="1:13" x14ac:dyDescent="0.2">
      <c r="A157" s="18" t="s">
        <v>89</v>
      </c>
      <c r="B157" s="23">
        <f>SUM('NA MO'!$B157:B157)</f>
        <v>0</v>
      </c>
      <c r="C157" s="23">
        <f>SUM('NA MO'!$B157:C157)</f>
        <v>0</v>
      </c>
      <c r="D157" s="23">
        <f>SUM('NA MO'!$B157:D157)</f>
        <v>0</v>
      </c>
      <c r="E157" s="23">
        <f>SUM('NA MO'!$B157:E157)</f>
        <v>0</v>
      </c>
      <c r="F157" s="23">
        <f>SUM('NA MO'!$B157:F157)</f>
        <v>0</v>
      </c>
      <c r="G157" s="23">
        <f>SUM('NA MO'!$B157:G157)</f>
        <v>0</v>
      </c>
      <c r="H157" s="23">
        <f>SUM('NA MO'!$B157:H157)</f>
        <v>0</v>
      </c>
      <c r="I157" s="23">
        <f>SUM('NA MO'!$B157:I157)</f>
        <v>0</v>
      </c>
      <c r="J157" s="23">
        <f>SUM('NA MO'!$B157:J157)</f>
        <v>0</v>
      </c>
      <c r="K157" s="23">
        <f>SUM('NA MO'!$B157:K157)</f>
        <v>0</v>
      </c>
      <c r="L157" s="23">
        <f>SUM('NA MO'!$B157:L157)</f>
        <v>0</v>
      </c>
      <c r="M157" s="23">
        <f>SUM('NA MO'!$B157:M157)</f>
        <v>0</v>
      </c>
    </row>
    <row r="158" spans="1:13" x14ac:dyDescent="0.2">
      <c r="A158" s="18" t="s">
        <v>90</v>
      </c>
      <c r="B158" s="23">
        <f>SUM('NA MO'!$B158:B158)</f>
        <v>0</v>
      </c>
      <c r="C158" s="23">
        <f>SUM('NA MO'!$B158:C158)</f>
        <v>0</v>
      </c>
      <c r="D158" s="23">
        <f>SUM('NA MO'!$B158:D158)</f>
        <v>0</v>
      </c>
      <c r="E158" s="23">
        <f>SUM('NA MO'!$B158:E158)</f>
        <v>0</v>
      </c>
      <c r="F158" s="23">
        <f>SUM('NA MO'!$B158:F158)</f>
        <v>0</v>
      </c>
      <c r="G158" s="23">
        <f>SUM('NA MO'!$B158:G158)</f>
        <v>0</v>
      </c>
      <c r="H158" s="23">
        <f>SUM('NA MO'!$B158:H158)</f>
        <v>0</v>
      </c>
      <c r="I158" s="23">
        <f>SUM('NA MO'!$B158:I158)</f>
        <v>0</v>
      </c>
      <c r="J158" s="23">
        <f>SUM('NA MO'!$B158:J158)</f>
        <v>0</v>
      </c>
      <c r="K158" s="23">
        <f>SUM('NA MO'!$B158:K158)</f>
        <v>0</v>
      </c>
      <c r="L158" s="23">
        <f>SUM('NA MO'!$B158:L158)</f>
        <v>0</v>
      </c>
      <c r="M158" s="23">
        <f>SUM('NA MO'!$B158:M158)</f>
        <v>0</v>
      </c>
    </row>
    <row r="159" spans="1:13" x14ac:dyDescent="0.2">
      <c r="A159" s="18" t="s">
        <v>64</v>
      </c>
      <c r="B159" s="23">
        <f>SUM('NA MO'!$B159:B159)</f>
        <v>0</v>
      </c>
      <c r="C159" s="23">
        <f>SUM('NA MO'!$B159:C159)</f>
        <v>0</v>
      </c>
      <c r="D159" s="23">
        <f>SUM('NA MO'!$B159:D159)</f>
        <v>0</v>
      </c>
      <c r="E159" s="23">
        <f>SUM('NA MO'!$B159:E159)</f>
        <v>0</v>
      </c>
      <c r="F159" s="23">
        <f>SUM('NA MO'!$B159:F159)</f>
        <v>0</v>
      </c>
      <c r="G159" s="23">
        <f>SUM('NA MO'!$B159:G159)</f>
        <v>0</v>
      </c>
      <c r="H159" s="23">
        <f>SUM('NA MO'!$B159:H159)</f>
        <v>0</v>
      </c>
      <c r="I159" s="23">
        <f>SUM('NA MO'!$B159:I159)</f>
        <v>0</v>
      </c>
      <c r="J159" s="23">
        <f>SUM('NA MO'!$B159:J159)</f>
        <v>0</v>
      </c>
      <c r="K159" s="23">
        <f>SUM('NA MO'!$B159:K159)</f>
        <v>0</v>
      </c>
      <c r="L159" s="23">
        <f>SUM('NA MO'!$B159:L159)</f>
        <v>0</v>
      </c>
      <c r="M159" s="23">
        <f>SUM('NA MO'!$B159:M159)</f>
        <v>0</v>
      </c>
    </row>
    <row r="160" spans="1:13" x14ac:dyDescent="0.2">
      <c r="A160" s="18" t="s">
        <v>91</v>
      </c>
      <c r="B160" s="23">
        <f>SUM('NA MO'!$B160:B160)</f>
        <v>0</v>
      </c>
      <c r="C160" s="23">
        <f>SUM('NA MO'!$B160:C160)</f>
        <v>0</v>
      </c>
      <c r="D160" s="23">
        <f>SUM('NA MO'!$B160:D160)</f>
        <v>-15137</v>
      </c>
      <c r="E160" s="23">
        <f>SUM('NA MO'!$B160:E160)</f>
        <v>-15773.9</v>
      </c>
      <c r="F160" s="23">
        <f>SUM('NA MO'!$B160:F160)</f>
        <v>-15773.9</v>
      </c>
      <c r="G160" s="23">
        <f>SUM('NA MO'!$B160:G160)</f>
        <v>-15773.9</v>
      </c>
      <c r="H160" s="23">
        <f>SUM('NA MO'!$B160:H160)</f>
        <v>-15773.9</v>
      </c>
      <c r="I160" s="23">
        <f>SUM('NA MO'!$B160:I160)</f>
        <v>-15773.9</v>
      </c>
      <c r="J160" s="23">
        <f>SUM('NA MO'!$B160:J160)</f>
        <v>-15773.9</v>
      </c>
      <c r="K160" s="23">
        <f>SUM('NA MO'!$B160:K160)</f>
        <v>-15773.9</v>
      </c>
      <c r="L160" s="23">
        <f>SUM('NA MO'!$B160:L160)</f>
        <v>-15773.9</v>
      </c>
      <c r="M160" s="23">
        <f>SUM('NA MO'!$B160:M160)</f>
        <v>-15773.9</v>
      </c>
    </row>
    <row r="161" spans="1:13" x14ac:dyDescent="0.2">
      <c r="A161" s="18" t="s">
        <v>92</v>
      </c>
      <c r="B161" s="23">
        <f>SUM('NA MO'!$B161:B161)</f>
        <v>0</v>
      </c>
      <c r="C161" s="23">
        <f>SUM('NA MO'!$B161:C161)</f>
        <v>0</v>
      </c>
      <c r="D161" s="23">
        <f>SUM('NA MO'!$B161:D161)</f>
        <v>0</v>
      </c>
      <c r="E161" s="23">
        <f>SUM('NA MO'!$B161:E161)</f>
        <v>0</v>
      </c>
      <c r="F161" s="23">
        <f>SUM('NA MO'!$B161:F161)</f>
        <v>0</v>
      </c>
      <c r="G161" s="23">
        <f>SUM('NA MO'!$B161:G161)</f>
        <v>0</v>
      </c>
      <c r="H161" s="23">
        <f>SUM('NA MO'!$B161:H161)</f>
        <v>0</v>
      </c>
      <c r="I161" s="23">
        <f>SUM('NA MO'!$B161:I161)</f>
        <v>0</v>
      </c>
      <c r="J161" s="23">
        <f>SUM('NA MO'!$B161:J161)</f>
        <v>0</v>
      </c>
      <c r="K161" s="23">
        <f>SUM('NA MO'!$B161:K161)</f>
        <v>0</v>
      </c>
      <c r="L161" s="23">
        <f>SUM('NA MO'!$B161:L161)</f>
        <v>0</v>
      </c>
      <c r="M161" s="23">
        <f>SUM('NA MO'!$B161:M161)</f>
        <v>0</v>
      </c>
    </row>
    <row r="162" spans="1:13" x14ac:dyDescent="0.2">
      <c r="A162" s="18" t="s">
        <v>65</v>
      </c>
      <c r="B162" s="23">
        <f>SUM('NA MO'!$B162:B162)</f>
        <v>458</v>
      </c>
      <c r="C162" s="23">
        <f>SUM('NA MO'!$B162:C162)</f>
        <v>-2928</v>
      </c>
      <c r="D162" s="23">
        <f>SUM('NA MO'!$B162:D162)</f>
        <v>-2576</v>
      </c>
      <c r="E162" s="23">
        <f>SUM('NA MO'!$B162:E162)</f>
        <v>-2118</v>
      </c>
      <c r="F162" s="23">
        <f>SUM('NA MO'!$B162:F162)</f>
        <v>-2118</v>
      </c>
      <c r="G162" s="23">
        <f>SUM('NA MO'!$B162:G162)</f>
        <v>-2118</v>
      </c>
      <c r="H162" s="23">
        <f>SUM('NA MO'!$B162:H162)</f>
        <v>-2118</v>
      </c>
      <c r="I162" s="23">
        <f>SUM('NA MO'!$B162:I162)</f>
        <v>-2118</v>
      </c>
      <c r="J162" s="23">
        <f>SUM('NA MO'!$B162:J162)</f>
        <v>-2118</v>
      </c>
      <c r="K162" s="23">
        <f>SUM('NA MO'!$B162:K162)</f>
        <v>-2118</v>
      </c>
      <c r="L162" s="23">
        <f>SUM('NA MO'!$B162:L162)</f>
        <v>-2118</v>
      </c>
      <c r="M162" s="23">
        <f>SUM('NA MO'!$B162:M162)</f>
        <v>-2118</v>
      </c>
    </row>
    <row r="163" spans="1:13" x14ac:dyDescent="0.2">
      <c r="A163" s="18" t="s">
        <v>45</v>
      </c>
      <c r="B163" s="23">
        <f>SUM('NA MO'!$B163:B163)</f>
        <v>86</v>
      </c>
      <c r="C163" s="23">
        <f>SUM('NA MO'!$B163:C163)</f>
        <v>172</v>
      </c>
      <c r="D163" s="23">
        <f>SUM('NA MO'!$B163:D163)</f>
        <v>258</v>
      </c>
      <c r="E163" s="23">
        <f>SUM('NA MO'!$B163:E163)</f>
        <v>5344</v>
      </c>
      <c r="F163" s="23">
        <f>SUM('NA MO'!$B163:F163)</f>
        <v>5344</v>
      </c>
      <c r="G163" s="23">
        <f>SUM('NA MO'!$B163:G163)</f>
        <v>5344</v>
      </c>
      <c r="H163" s="23">
        <f>SUM('NA MO'!$B163:H163)</f>
        <v>5344</v>
      </c>
      <c r="I163" s="23">
        <f>SUM('NA MO'!$B163:I163)</f>
        <v>5344</v>
      </c>
      <c r="J163" s="23">
        <f>SUM('NA MO'!$B163:J163)</f>
        <v>5344</v>
      </c>
      <c r="K163" s="23">
        <f>SUM('NA MO'!$B163:K163)</f>
        <v>5344</v>
      </c>
      <c r="L163" s="23">
        <f>SUM('NA MO'!$B163:L163)</f>
        <v>5344</v>
      </c>
      <c r="M163" s="23">
        <f>SUM('NA MO'!$B163:M163)</f>
        <v>5344</v>
      </c>
    </row>
    <row r="164" spans="1:13" x14ac:dyDescent="0.2">
      <c r="A164" s="18" t="s">
        <v>66</v>
      </c>
      <c r="B164" s="23">
        <f>SUM('NA MO'!$B164:B164)</f>
        <v>86</v>
      </c>
      <c r="C164" s="23">
        <f>SUM('NA MO'!$B164:C164)</f>
        <v>172</v>
      </c>
      <c r="D164" s="23">
        <f>SUM('NA MO'!$B164:D164)</f>
        <v>258</v>
      </c>
      <c r="E164" s="23">
        <f>SUM('NA MO'!$B164:E164)</f>
        <v>344</v>
      </c>
      <c r="F164" s="23">
        <f>SUM('NA MO'!$B164:F164)</f>
        <v>344</v>
      </c>
      <c r="G164" s="23">
        <f>SUM('NA MO'!$B164:G164)</f>
        <v>344</v>
      </c>
      <c r="H164" s="23">
        <f>SUM('NA MO'!$B164:H164)</f>
        <v>344</v>
      </c>
      <c r="I164" s="23">
        <f>SUM('NA MO'!$B164:I164)</f>
        <v>344</v>
      </c>
      <c r="J164" s="23">
        <f>SUM('NA MO'!$B164:J164)</f>
        <v>344</v>
      </c>
      <c r="K164" s="23">
        <f>SUM('NA MO'!$B164:K164)</f>
        <v>344</v>
      </c>
      <c r="L164" s="23">
        <f>SUM('NA MO'!$B164:L164)</f>
        <v>344</v>
      </c>
      <c r="M164" s="23">
        <f>SUM('NA MO'!$B164:M164)</f>
        <v>344</v>
      </c>
    </row>
    <row r="165" spans="1:13" x14ac:dyDescent="0.2">
      <c r="A165" s="18" t="s">
        <v>67</v>
      </c>
      <c r="B165" s="23">
        <f>SUM('NA MO'!$B165:B165)</f>
        <v>857</v>
      </c>
      <c r="C165" s="23">
        <f>SUM('NA MO'!$B165:C165)</f>
        <v>1714</v>
      </c>
      <c r="D165" s="23">
        <f>SUM('NA MO'!$B165:D165)</f>
        <v>2571</v>
      </c>
      <c r="E165" s="23">
        <f>SUM('NA MO'!$B165:E165)</f>
        <v>3428</v>
      </c>
      <c r="F165" s="23">
        <f>SUM('NA MO'!$B165:F165)</f>
        <v>3428</v>
      </c>
      <c r="G165" s="23">
        <f>SUM('NA MO'!$B165:G165)</f>
        <v>3428</v>
      </c>
      <c r="H165" s="23">
        <f>SUM('NA MO'!$B165:H165)</f>
        <v>3428</v>
      </c>
      <c r="I165" s="23">
        <f>SUM('NA MO'!$B165:I165)</f>
        <v>3428</v>
      </c>
      <c r="J165" s="23">
        <f>SUM('NA MO'!$B165:J165)</f>
        <v>3428</v>
      </c>
      <c r="K165" s="23">
        <f>SUM('NA MO'!$B165:K165)</f>
        <v>3428</v>
      </c>
      <c r="L165" s="23">
        <f>SUM('NA MO'!$B165:L165)</f>
        <v>3428</v>
      </c>
      <c r="M165" s="23">
        <f>SUM('NA MO'!$B165:M165)</f>
        <v>3428</v>
      </c>
    </row>
    <row r="166" spans="1:13" x14ac:dyDescent="0.2">
      <c r="A166" s="18" t="s">
        <v>93</v>
      </c>
      <c r="B166" s="23">
        <f>SUM('NA MO'!$B166:B166)</f>
        <v>0</v>
      </c>
      <c r="C166" s="23">
        <f>SUM('NA MO'!$B166:C166)</f>
        <v>0</v>
      </c>
      <c r="D166" s="23">
        <f>SUM('NA MO'!$B166:D166)</f>
        <v>0</v>
      </c>
      <c r="E166" s="23">
        <f>SUM('NA MO'!$B166:E166)</f>
        <v>0</v>
      </c>
      <c r="F166" s="23">
        <f>SUM('NA MO'!$B166:F166)</f>
        <v>0</v>
      </c>
      <c r="G166" s="23">
        <f>SUM('NA MO'!$B166:G166)</f>
        <v>0</v>
      </c>
      <c r="H166" s="23">
        <f>SUM('NA MO'!$B166:H166)</f>
        <v>0</v>
      </c>
      <c r="I166" s="23">
        <f>SUM('NA MO'!$B166:I166)</f>
        <v>0</v>
      </c>
      <c r="J166" s="23">
        <f>SUM('NA MO'!$B166:J166)</f>
        <v>0</v>
      </c>
      <c r="K166" s="23">
        <f>SUM('NA MO'!$B166:K166)</f>
        <v>0</v>
      </c>
      <c r="L166" s="23">
        <f>SUM('NA MO'!$B166:L166)</f>
        <v>0</v>
      </c>
      <c r="M166" s="23">
        <f>SUM('NA MO'!$B166:M166)</f>
        <v>0</v>
      </c>
    </row>
    <row r="167" spans="1:13" x14ac:dyDescent="0.2">
      <c r="A167" s="18" t="s">
        <v>69</v>
      </c>
      <c r="B167" s="23">
        <f>SUM('NA MO'!$B167:B167)</f>
        <v>333</v>
      </c>
      <c r="C167" s="23">
        <f>SUM('NA MO'!$B167:C167)</f>
        <v>666</v>
      </c>
      <c r="D167" s="23">
        <f>SUM('NA MO'!$B167:D167)</f>
        <v>785</v>
      </c>
      <c r="E167" s="23">
        <f>SUM('NA MO'!$B167:E167)</f>
        <v>-3917.6000000000004</v>
      </c>
      <c r="F167" s="23">
        <f>SUM('NA MO'!$B167:F167)</f>
        <v>-3917.6000000000004</v>
      </c>
      <c r="G167" s="23">
        <f>SUM('NA MO'!$B167:G167)</f>
        <v>-3917.6000000000004</v>
      </c>
      <c r="H167" s="23">
        <f>SUM('NA MO'!$B167:H167)</f>
        <v>-3917.6000000000004</v>
      </c>
      <c r="I167" s="23">
        <f>SUM('NA MO'!$B167:I167)</f>
        <v>-3917.6000000000004</v>
      </c>
      <c r="J167" s="23">
        <f>SUM('NA MO'!$B167:J167)</f>
        <v>-3917.6000000000004</v>
      </c>
      <c r="K167" s="23">
        <f>SUM('NA MO'!$B167:K167)</f>
        <v>-3917.6000000000004</v>
      </c>
      <c r="L167" s="23">
        <f>SUM('NA MO'!$B167:L167)</f>
        <v>-3917.6000000000004</v>
      </c>
      <c r="M167" s="23">
        <f>SUM('NA MO'!$B167:M167)</f>
        <v>-3917.6000000000004</v>
      </c>
    </row>
    <row r="168" spans="1:13" x14ac:dyDescent="0.2">
      <c r="A168" s="18" t="s">
        <v>68</v>
      </c>
      <c r="B168" s="23">
        <f>SUM('NA MO'!$B168:B168)</f>
        <v>833</v>
      </c>
      <c r="C168" s="23">
        <f>SUM('NA MO'!$B168:C168)</f>
        <v>-5738</v>
      </c>
      <c r="D168" s="23">
        <f>SUM('NA MO'!$B168:D168)</f>
        <v>9520</v>
      </c>
      <c r="E168" s="23">
        <f>SUM('NA MO'!$B168:E168)</f>
        <v>-3748.49</v>
      </c>
      <c r="F168" s="23">
        <f>SUM('NA MO'!$B168:F168)</f>
        <v>-3748.49</v>
      </c>
      <c r="G168" s="23">
        <f>SUM('NA MO'!$B168:G168)</f>
        <v>-3748.49</v>
      </c>
      <c r="H168" s="23">
        <f>SUM('NA MO'!$B168:H168)</f>
        <v>-3748.49</v>
      </c>
      <c r="I168" s="23">
        <f>SUM('NA MO'!$B168:I168)</f>
        <v>-3748.49</v>
      </c>
      <c r="J168" s="23">
        <f>SUM('NA MO'!$B168:J168)</f>
        <v>-3748.49</v>
      </c>
      <c r="K168" s="23">
        <f>SUM('NA MO'!$B168:K168)</f>
        <v>-3748.49</v>
      </c>
      <c r="L168" s="23">
        <f>SUM('NA MO'!$B168:L168)</f>
        <v>-3748.49</v>
      </c>
      <c r="M168" s="23">
        <f>SUM('NA MO'!$B168:M168)</f>
        <v>-3748.49</v>
      </c>
    </row>
    <row r="169" spans="1:13" x14ac:dyDescent="0.2">
      <c r="A169" s="18" t="s">
        <v>94</v>
      </c>
      <c r="B169" s="23">
        <f>SUM('NA MO'!$B169:B169)</f>
        <v>0</v>
      </c>
      <c r="C169" s="23">
        <f>SUM('NA MO'!$B169:C169)</f>
        <v>0</v>
      </c>
      <c r="D169" s="23">
        <f>SUM('NA MO'!$B169:D169)</f>
        <v>0</v>
      </c>
      <c r="E169" s="23">
        <f>SUM('NA MO'!$B169:E169)</f>
        <v>0</v>
      </c>
      <c r="F169" s="23">
        <f>SUM('NA MO'!$B169:F169)</f>
        <v>0</v>
      </c>
      <c r="G169" s="23">
        <f>SUM('NA MO'!$B169:G169)</f>
        <v>0</v>
      </c>
      <c r="H169" s="23">
        <f>SUM('NA MO'!$B169:H169)</f>
        <v>0</v>
      </c>
      <c r="I169" s="23">
        <f>SUM('NA MO'!$B169:I169)</f>
        <v>0</v>
      </c>
      <c r="J169" s="23">
        <f>SUM('NA MO'!$B169:J169)</f>
        <v>0</v>
      </c>
      <c r="K169" s="23">
        <f>SUM('NA MO'!$B169:K169)</f>
        <v>0</v>
      </c>
      <c r="L169" s="23">
        <f>SUM('NA MO'!$B169:L169)</f>
        <v>0</v>
      </c>
      <c r="M169" s="23">
        <f>SUM('NA MO'!$B169:M169)</f>
        <v>0</v>
      </c>
    </row>
    <row r="170" spans="1:13" x14ac:dyDescent="0.2">
      <c r="A170" s="18" t="s">
        <v>46</v>
      </c>
      <c r="B170" s="23">
        <f>SUM('NA MO'!$B170:B170)</f>
        <v>600</v>
      </c>
      <c r="C170" s="23">
        <f>SUM('NA MO'!$B170:C170)</f>
        <v>1153</v>
      </c>
      <c r="D170" s="23">
        <f>SUM('NA MO'!$B170:D170)</f>
        <v>1753</v>
      </c>
      <c r="E170" s="23">
        <f>SUM('NA MO'!$B170:E170)</f>
        <v>2353</v>
      </c>
      <c r="F170" s="23">
        <f>SUM('NA MO'!$B170:F170)</f>
        <v>2353</v>
      </c>
      <c r="G170" s="23">
        <f>SUM('NA MO'!$B170:G170)</f>
        <v>2353</v>
      </c>
      <c r="H170" s="23">
        <f>SUM('NA MO'!$B170:H170)</f>
        <v>2353</v>
      </c>
      <c r="I170" s="23">
        <f>SUM('NA MO'!$B170:I170)</f>
        <v>2353</v>
      </c>
      <c r="J170" s="23">
        <f>SUM('NA MO'!$B170:J170)</f>
        <v>2353</v>
      </c>
      <c r="K170" s="23">
        <f>SUM('NA MO'!$B170:K170)</f>
        <v>2353</v>
      </c>
      <c r="L170" s="23">
        <f>SUM('NA MO'!$B170:L170)</f>
        <v>2353</v>
      </c>
      <c r="M170" s="23">
        <f>SUM('NA MO'!$B170:M170)</f>
        <v>2353</v>
      </c>
    </row>
    <row r="171" spans="1:13" x14ac:dyDescent="0.2">
      <c r="A171" s="18" t="s">
        <v>70</v>
      </c>
      <c r="B171" s="23">
        <f>SUM('NA MO'!$B171:B171)</f>
        <v>3208</v>
      </c>
      <c r="C171" s="23">
        <f>SUM('NA MO'!$B171:C171)</f>
        <v>4952</v>
      </c>
      <c r="D171" s="23">
        <f>SUM('NA MO'!$B171:D171)</f>
        <v>-7752</v>
      </c>
      <c r="E171" s="23">
        <f>SUM('NA MO'!$B171:E171)</f>
        <v>-8628.14</v>
      </c>
      <c r="F171" s="23">
        <f>SUM('NA MO'!$B171:F171)</f>
        <v>-8628.14</v>
      </c>
      <c r="G171" s="23">
        <f>SUM('NA MO'!$B171:G171)</f>
        <v>-8628.14</v>
      </c>
      <c r="H171" s="23">
        <f>SUM('NA MO'!$B171:H171)</f>
        <v>-8628.14</v>
      </c>
      <c r="I171" s="23">
        <f>SUM('NA MO'!$B171:I171)</f>
        <v>-8628.14</v>
      </c>
      <c r="J171" s="23">
        <f>SUM('NA MO'!$B171:J171)</f>
        <v>-8628.14</v>
      </c>
      <c r="K171" s="23">
        <f>SUM('NA MO'!$B171:K171)</f>
        <v>-8628.14</v>
      </c>
      <c r="L171" s="23">
        <f>SUM('NA MO'!$B171:L171)</f>
        <v>-8628.14</v>
      </c>
      <c r="M171" s="23">
        <f>SUM('NA MO'!$B171:M171)</f>
        <v>-8628.14</v>
      </c>
    </row>
    <row r="172" spans="1:13" x14ac:dyDescent="0.2">
      <c r="A172" s="18" t="s">
        <v>71</v>
      </c>
      <c r="B172" s="23">
        <f>SUM('NA MO'!$B172:B172)</f>
        <v>-14711</v>
      </c>
      <c r="C172" s="23">
        <f>SUM('NA MO'!$B172:C172)</f>
        <v>-28923</v>
      </c>
      <c r="D172" s="23">
        <f>SUM('NA MO'!$B172:D172)</f>
        <v>-62934</v>
      </c>
      <c r="E172" s="23">
        <f>SUM('NA MO'!$B172:E172)</f>
        <v>-159341.74</v>
      </c>
      <c r="F172" s="23">
        <f>SUM('NA MO'!$B172:F172)</f>
        <v>-159341.74</v>
      </c>
      <c r="G172" s="23">
        <f>SUM('NA MO'!$B172:G172)</f>
        <v>-159341.74</v>
      </c>
      <c r="H172" s="23">
        <f>SUM('NA MO'!$B172:H172)</f>
        <v>-159341.74</v>
      </c>
      <c r="I172" s="23">
        <f>SUM('NA MO'!$B172:I172)</f>
        <v>-159341.74</v>
      </c>
      <c r="J172" s="23">
        <f>SUM('NA MO'!$B172:J172)</f>
        <v>-159341.74</v>
      </c>
      <c r="K172" s="23">
        <f>SUM('NA MO'!$B172:K172)</f>
        <v>-159341.74</v>
      </c>
      <c r="L172" s="23">
        <f>SUM('NA MO'!$B172:L172)</f>
        <v>-159341.74</v>
      </c>
      <c r="M172" s="23">
        <f>SUM('NA MO'!$B172:M172)</f>
        <v>-159341.74</v>
      </c>
    </row>
    <row r="173" spans="1:13" x14ac:dyDescent="0.2">
      <c r="A173" s="18" t="s">
        <v>44</v>
      </c>
      <c r="B173" s="23">
        <f>SUM('NA MO'!$B173:B173)</f>
        <v>29838</v>
      </c>
      <c r="C173" s="23">
        <f>SUM('NA MO'!$B173:C173)</f>
        <v>35214</v>
      </c>
      <c r="D173" s="23">
        <f>SUM('NA MO'!$B173:D173)</f>
        <v>52930</v>
      </c>
      <c r="E173" s="23">
        <f>SUM('NA MO'!$B173:E173)</f>
        <v>67832.289999999994</v>
      </c>
      <c r="F173" s="23">
        <f>SUM('NA MO'!$B173:F173)</f>
        <v>67832.289999999994</v>
      </c>
      <c r="G173" s="23">
        <f>SUM('NA MO'!$B173:G173)</f>
        <v>67832.289999999994</v>
      </c>
      <c r="H173" s="23">
        <f>SUM('NA MO'!$B173:H173)</f>
        <v>67832.289999999994</v>
      </c>
      <c r="I173" s="23">
        <f>SUM('NA MO'!$B173:I173)</f>
        <v>67832.289999999994</v>
      </c>
      <c r="J173" s="23">
        <f>SUM('NA MO'!$B173:J173)</f>
        <v>67832.289999999994</v>
      </c>
      <c r="K173" s="23">
        <f>SUM('NA MO'!$B173:K173)</f>
        <v>67832.289999999994</v>
      </c>
      <c r="L173" s="23">
        <f>SUM('NA MO'!$B173:L173)</f>
        <v>67832.289999999994</v>
      </c>
      <c r="M173" s="23">
        <f>SUM('NA MO'!$B173:M173)</f>
        <v>67832.289999999994</v>
      </c>
    </row>
    <row r="174" spans="1:13" x14ac:dyDescent="0.2">
      <c r="A174" s="18" t="s">
        <v>47</v>
      </c>
      <c r="B174" s="23">
        <f>SUM('NA MO'!$B174:B174)</f>
        <v>4075</v>
      </c>
      <c r="C174" s="23">
        <f>SUM('NA MO'!$B174:C174)</f>
        <v>-2465</v>
      </c>
      <c r="D174" s="23">
        <f>SUM('NA MO'!$B174:D174)</f>
        <v>-5759</v>
      </c>
      <c r="E174" s="23">
        <f>SUM('NA MO'!$B174:E174)</f>
        <v>-8329.7200000000012</v>
      </c>
      <c r="F174" s="23">
        <f>SUM('NA MO'!$B174:F174)</f>
        <v>-8329.7200000000012</v>
      </c>
      <c r="G174" s="23">
        <f>SUM('NA MO'!$B174:G174)</f>
        <v>-8329.7200000000012</v>
      </c>
      <c r="H174" s="23">
        <f>SUM('NA MO'!$B174:H174)</f>
        <v>-8329.7200000000012</v>
      </c>
      <c r="I174" s="23">
        <f>SUM('NA MO'!$B174:I174)</f>
        <v>-8329.7200000000012</v>
      </c>
      <c r="J174" s="23">
        <f>SUM('NA MO'!$B174:J174)</f>
        <v>-8329.7200000000012</v>
      </c>
      <c r="K174" s="23">
        <f>SUM('NA MO'!$B174:K174)</f>
        <v>-8329.7200000000012</v>
      </c>
      <c r="L174" s="23">
        <f>SUM('NA MO'!$B174:L174)</f>
        <v>-8329.7200000000012</v>
      </c>
      <c r="M174" s="23">
        <f>SUM('NA MO'!$B174:M174)</f>
        <v>-8329.7200000000012</v>
      </c>
    </row>
    <row r="175" spans="1:13" x14ac:dyDescent="0.2">
      <c r="A175" s="18" t="s">
        <v>2</v>
      </c>
      <c r="B175" s="23">
        <f>SUM('NA MO'!$B175:B175)</f>
        <v>5263</v>
      </c>
      <c r="C175" s="23">
        <f>SUM('NA MO'!$B175:C175)</f>
        <v>-590</v>
      </c>
      <c r="D175" s="23">
        <f>SUM('NA MO'!$B175:D175)</f>
        <v>-11172</v>
      </c>
      <c r="E175" s="23">
        <f>SUM('NA MO'!$B175:E175)</f>
        <v>-29622.9</v>
      </c>
      <c r="F175" s="23">
        <f>SUM('NA MO'!$B175:F175)</f>
        <v>-29622.9</v>
      </c>
      <c r="G175" s="23">
        <f>SUM('NA MO'!$B175:G175)</f>
        <v>-29622.9</v>
      </c>
      <c r="H175" s="23">
        <f>SUM('NA MO'!$B175:H175)</f>
        <v>-29622.9</v>
      </c>
      <c r="I175" s="23">
        <f>SUM('NA MO'!$B175:I175)</f>
        <v>-29622.9</v>
      </c>
      <c r="J175" s="23">
        <f>SUM('NA MO'!$B175:J175)</f>
        <v>-29622.9</v>
      </c>
      <c r="K175" s="23">
        <f>SUM('NA MO'!$B175:K175)</f>
        <v>-29622.9</v>
      </c>
      <c r="L175" s="23">
        <f>SUM('NA MO'!$B175:L175)</f>
        <v>-29622.9</v>
      </c>
      <c r="M175" s="23">
        <f>SUM('NA MO'!$B175:M175)</f>
        <v>-29622.9</v>
      </c>
    </row>
    <row r="176" spans="1:13" x14ac:dyDescent="0.2">
      <c r="A176" s="18" t="s">
        <v>95</v>
      </c>
      <c r="B176" s="23">
        <f>SUM('NA MO'!$B176:B176)</f>
        <v>0</v>
      </c>
      <c r="C176" s="23">
        <f>SUM('NA MO'!$B176:C176)</f>
        <v>0</v>
      </c>
      <c r="D176" s="23">
        <f>SUM('NA MO'!$B176:D176)</f>
        <v>0</v>
      </c>
      <c r="E176" s="23">
        <f>SUM('NA MO'!$B176:E176)</f>
        <v>0</v>
      </c>
      <c r="F176" s="23">
        <f>SUM('NA MO'!$B176:F176)</f>
        <v>0</v>
      </c>
      <c r="G176" s="23">
        <f>SUM('NA MO'!$B176:G176)</f>
        <v>0</v>
      </c>
      <c r="H176" s="23">
        <f>SUM('NA MO'!$B176:H176)</f>
        <v>0</v>
      </c>
      <c r="I176" s="23">
        <f>SUM('NA MO'!$B176:I176)</f>
        <v>0</v>
      </c>
      <c r="J176" s="23">
        <f>SUM('NA MO'!$B176:J176)</f>
        <v>0</v>
      </c>
      <c r="K176" s="23">
        <f>SUM('NA MO'!$B176:K176)</f>
        <v>0</v>
      </c>
      <c r="L176" s="23">
        <f>SUM('NA MO'!$B176:L176)</f>
        <v>0</v>
      </c>
      <c r="M176" s="23">
        <f>SUM('NA MO'!$B176:M176)</f>
        <v>0</v>
      </c>
    </row>
    <row r="177" spans="1:13" x14ac:dyDescent="0.2">
      <c r="A177" s="18" t="s">
        <v>72</v>
      </c>
      <c r="B177" s="23">
        <f>SUM('NA MO'!$B177:B177)</f>
        <v>146</v>
      </c>
      <c r="C177" s="23">
        <f>SUM('NA MO'!$B177:C177)</f>
        <v>292</v>
      </c>
      <c r="D177" s="23">
        <f>SUM('NA MO'!$B177:D177)</f>
        <v>396</v>
      </c>
      <c r="E177" s="23">
        <f>SUM('NA MO'!$B177:E177)</f>
        <v>542</v>
      </c>
      <c r="F177" s="23">
        <f>SUM('NA MO'!$B177:F177)</f>
        <v>542</v>
      </c>
      <c r="G177" s="23">
        <f>SUM('NA MO'!$B177:G177)</f>
        <v>542</v>
      </c>
      <c r="H177" s="23">
        <f>SUM('NA MO'!$B177:H177)</f>
        <v>542</v>
      </c>
      <c r="I177" s="23">
        <f>SUM('NA MO'!$B177:I177)</f>
        <v>542</v>
      </c>
      <c r="J177" s="23">
        <f>SUM('NA MO'!$B177:J177)</f>
        <v>542</v>
      </c>
      <c r="K177" s="23">
        <f>SUM('NA MO'!$B177:K177)</f>
        <v>542</v>
      </c>
      <c r="L177" s="23">
        <f>SUM('NA MO'!$B177:L177)</f>
        <v>542</v>
      </c>
      <c r="M177" s="23">
        <f>SUM('NA MO'!$B177:M177)</f>
        <v>542</v>
      </c>
    </row>
    <row r="178" spans="1:13" x14ac:dyDescent="0.2">
      <c r="A178" s="18" t="s">
        <v>48</v>
      </c>
      <c r="B178" s="23">
        <f>SUM('NA MO'!$B178:B178)</f>
        <v>11143</v>
      </c>
      <c r="C178" s="23">
        <f>SUM('NA MO'!$B178:C178)</f>
        <v>20456</v>
      </c>
      <c r="D178" s="23">
        <f>SUM('NA MO'!$B178:D178)</f>
        <v>27038</v>
      </c>
      <c r="E178" s="23">
        <f>SUM('NA MO'!$B178:E178)</f>
        <v>36417.85</v>
      </c>
      <c r="F178" s="23">
        <f>SUM('NA MO'!$B178:F178)</f>
        <v>36417.85</v>
      </c>
      <c r="G178" s="23">
        <f>SUM('NA MO'!$B178:G178)</f>
        <v>36417.85</v>
      </c>
      <c r="H178" s="23">
        <f>SUM('NA MO'!$B178:H178)</f>
        <v>36417.85</v>
      </c>
      <c r="I178" s="23">
        <f>SUM('NA MO'!$B178:I178)</f>
        <v>36417.85</v>
      </c>
      <c r="J178" s="23">
        <f>SUM('NA MO'!$B178:J178)</f>
        <v>36417.85</v>
      </c>
      <c r="K178" s="23">
        <f>SUM('NA MO'!$B178:K178)</f>
        <v>36417.85</v>
      </c>
      <c r="L178" s="23">
        <f>SUM('NA MO'!$B178:L178)</f>
        <v>36417.85</v>
      </c>
      <c r="M178" s="23">
        <f>SUM('NA MO'!$B178:M178)</f>
        <v>36417.85</v>
      </c>
    </row>
    <row r="179" spans="1:13" x14ac:dyDescent="0.2">
      <c r="A179" s="18" t="s">
        <v>74</v>
      </c>
      <c r="B179" s="23">
        <f>SUM('NA MO'!$B179:B179)</f>
        <v>0</v>
      </c>
      <c r="C179" s="23">
        <f>SUM('NA MO'!$B179:C179)</f>
        <v>0</v>
      </c>
      <c r="D179" s="23">
        <f>SUM('NA MO'!$B179:D179)</f>
        <v>0</v>
      </c>
      <c r="E179" s="23">
        <f>SUM('NA MO'!$B179:E179)</f>
        <v>0</v>
      </c>
      <c r="F179" s="23">
        <f>SUM('NA MO'!$B179:F179)</f>
        <v>0</v>
      </c>
      <c r="G179" s="23">
        <f>SUM('NA MO'!$B179:G179)</f>
        <v>0</v>
      </c>
      <c r="H179" s="23">
        <f>SUM('NA MO'!$B179:H179)</f>
        <v>0</v>
      </c>
      <c r="I179" s="23">
        <f>SUM('NA MO'!$B179:I179)</f>
        <v>0</v>
      </c>
      <c r="J179" s="23">
        <f>SUM('NA MO'!$B179:J179)</f>
        <v>0</v>
      </c>
      <c r="K179" s="23">
        <f>SUM('NA MO'!$B179:K179)</f>
        <v>0</v>
      </c>
      <c r="L179" s="23">
        <f>SUM('NA MO'!$B179:L179)</f>
        <v>0</v>
      </c>
      <c r="M179" s="23">
        <f>SUM('NA MO'!$B179:M179)</f>
        <v>0</v>
      </c>
    </row>
    <row r="180" spans="1:13" x14ac:dyDescent="0.2">
      <c r="A180" s="18" t="s">
        <v>96</v>
      </c>
      <c r="B180" s="23">
        <f>SUM('NA MO'!$B180:B180)</f>
        <v>-12222</v>
      </c>
      <c r="C180" s="23">
        <f>SUM('NA MO'!$B180:C180)</f>
        <v>-13454</v>
      </c>
      <c r="D180" s="23">
        <f>SUM('NA MO'!$B180:D180)</f>
        <v>-13454</v>
      </c>
      <c r="E180" s="23">
        <f>SUM('NA MO'!$B180:E180)</f>
        <v>-48095.39</v>
      </c>
      <c r="F180" s="23">
        <f>SUM('NA MO'!$B180:F180)</f>
        <v>-48095.39</v>
      </c>
      <c r="G180" s="23">
        <f>SUM('NA MO'!$B180:G180)</f>
        <v>-48095.39</v>
      </c>
      <c r="H180" s="23">
        <f>SUM('NA MO'!$B180:H180)</f>
        <v>-48095.39</v>
      </c>
      <c r="I180" s="23">
        <f>SUM('NA MO'!$B180:I180)</f>
        <v>-48095.39</v>
      </c>
      <c r="J180" s="23">
        <f>SUM('NA MO'!$B180:J180)</f>
        <v>-48095.39</v>
      </c>
      <c r="K180" s="23">
        <f>SUM('NA MO'!$B180:K180)</f>
        <v>-48095.39</v>
      </c>
      <c r="L180" s="23">
        <f>SUM('NA MO'!$B180:L180)</f>
        <v>-48095.39</v>
      </c>
      <c r="M180" s="23">
        <f>SUM('NA MO'!$B180:M180)</f>
        <v>-48095.39</v>
      </c>
    </row>
    <row r="181" spans="1:13" x14ac:dyDescent="0.2">
      <c r="A181" s="18"/>
    </row>
    <row r="182" spans="1:13" x14ac:dyDescent="0.2">
      <c r="A182" s="19" t="s">
        <v>28</v>
      </c>
      <c r="B182" s="27">
        <f t="shared" ref="B182:M182" si="11">SUM(B154:B180)</f>
        <v>30536</v>
      </c>
      <c r="C182" s="27">
        <f t="shared" si="11"/>
        <v>11779</v>
      </c>
      <c r="D182" s="27">
        <f t="shared" si="11"/>
        <v>-21646</v>
      </c>
      <c r="E182" s="27">
        <f t="shared" si="11"/>
        <v>-161142.74</v>
      </c>
      <c r="F182" s="27">
        <f t="shared" si="11"/>
        <v>-161142.74</v>
      </c>
      <c r="G182" s="27">
        <f t="shared" si="11"/>
        <v>-161142.74</v>
      </c>
      <c r="H182" s="27">
        <f t="shared" si="11"/>
        <v>-161142.74</v>
      </c>
      <c r="I182" s="27">
        <f t="shared" si="11"/>
        <v>-161142.74</v>
      </c>
      <c r="J182" s="27">
        <f t="shared" si="11"/>
        <v>-161142.74</v>
      </c>
      <c r="K182" s="27">
        <f t="shared" si="11"/>
        <v>-161142.74</v>
      </c>
      <c r="L182" s="27">
        <f t="shared" si="11"/>
        <v>-161142.74</v>
      </c>
      <c r="M182" s="27">
        <f t="shared" si="11"/>
        <v>-161142.74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12">+B114-B44</f>
        <v>-1515.3333333333321</v>
      </c>
      <c r="C184" s="25">
        <f t="shared" si="12"/>
        <v>-3030.6666666666642</v>
      </c>
      <c r="D184" s="25">
        <f t="shared" si="12"/>
        <v>-2516</v>
      </c>
      <c r="E184" s="25">
        <f t="shared" si="12"/>
        <v>-3016.3333333333285</v>
      </c>
      <c r="F184" s="25">
        <f t="shared" si="12"/>
        <v>-3516.666666666657</v>
      </c>
      <c r="G184" s="25">
        <f t="shared" si="12"/>
        <v>-3516.9999999999854</v>
      </c>
      <c r="H184" s="25">
        <f t="shared" si="12"/>
        <v>-3517.3333333333139</v>
      </c>
      <c r="I184" s="25">
        <f t="shared" si="12"/>
        <v>-3517.666666666657</v>
      </c>
      <c r="J184" s="25">
        <f t="shared" si="12"/>
        <v>-3518</v>
      </c>
      <c r="K184" s="25">
        <f t="shared" si="12"/>
        <v>-3518.333333333343</v>
      </c>
      <c r="L184" s="25">
        <f t="shared" si="12"/>
        <v>-3518.6666666666861</v>
      </c>
      <c r="M184" s="25">
        <f t="shared" si="12"/>
        <v>-3519.0000000000291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13">+B116-B46</f>
        <v>-83333</v>
      </c>
      <c r="C186" s="25">
        <f t="shared" si="13"/>
        <v>-166667</v>
      </c>
      <c r="D186" s="25">
        <f t="shared" si="13"/>
        <v>-116667</v>
      </c>
      <c r="E186" s="25">
        <f t="shared" si="13"/>
        <v>-133333</v>
      </c>
      <c r="F186" s="25">
        <f t="shared" si="13"/>
        <v>-166667</v>
      </c>
      <c r="G186" s="25">
        <f t="shared" si="13"/>
        <v>-200000</v>
      </c>
      <c r="H186" s="25">
        <f t="shared" si="13"/>
        <v>-233333</v>
      </c>
      <c r="I186" s="25">
        <f t="shared" si="13"/>
        <v>-266667</v>
      </c>
      <c r="J186" s="25">
        <f t="shared" si="13"/>
        <v>-300000</v>
      </c>
      <c r="K186" s="25">
        <f t="shared" si="13"/>
        <v>-333333</v>
      </c>
      <c r="L186" s="25">
        <f t="shared" si="13"/>
        <v>-366667</v>
      </c>
      <c r="M186" s="25">
        <f t="shared" si="13"/>
        <v>-400000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14">+B182+B184+B186</f>
        <v>-54312.333333333328</v>
      </c>
      <c r="C188" s="24">
        <f t="shared" si="14"/>
        <v>-157918.66666666666</v>
      </c>
      <c r="D188" s="24">
        <f t="shared" si="14"/>
        <v>-140829</v>
      </c>
      <c r="E188" s="24">
        <f t="shared" si="14"/>
        <v>-297492.0733333333</v>
      </c>
      <c r="F188" s="24">
        <f t="shared" si="14"/>
        <v>-331326.40666666662</v>
      </c>
      <c r="G188" s="24">
        <f t="shared" si="14"/>
        <v>-364659.74</v>
      </c>
      <c r="H188" s="24">
        <f t="shared" si="14"/>
        <v>-397993.0733333333</v>
      </c>
      <c r="I188" s="24">
        <f t="shared" si="14"/>
        <v>-431327.40666666662</v>
      </c>
      <c r="J188" s="24">
        <f t="shared" si="14"/>
        <v>-464660.74</v>
      </c>
      <c r="K188" s="24">
        <f t="shared" si="14"/>
        <v>-497994.07333333336</v>
      </c>
      <c r="L188" s="24">
        <f t="shared" si="14"/>
        <v>-531328.40666666673</v>
      </c>
      <c r="M188" s="24">
        <f t="shared" si="14"/>
        <v>-564661.74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15">+B121-B51</f>
        <v>2369.5</v>
      </c>
      <c r="C191" s="23">
        <f t="shared" si="15"/>
        <v>4739</v>
      </c>
      <c r="D191" s="23">
        <f t="shared" si="15"/>
        <v>-12891.5</v>
      </c>
      <c r="E191" s="23">
        <f t="shared" si="15"/>
        <v>-13671</v>
      </c>
      <c r="F191" s="23">
        <f t="shared" si="15"/>
        <v>-14450.5</v>
      </c>
      <c r="G191" s="23">
        <f t="shared" si="15"/>
        <v>-14603.25</v>
      </c>
      <c r="H191" s="23">
        <f t="shared" si="15"/>
        <v>-14757</v>
      </c>
      <c r="I191" s="23">
        <f t="shared" si="15"/>
        <v>-14910.75</v>
      </c>
      <c r="J191" s="23">
        <f t="shared" si="15"/>
        <v>-15063.5</v>
      </c>
      <c r="K191" s="23">
        <f t="shared" si="15"/>
        <v>-15217.25</v>
      </c>
      <c r="L191" s="23">
        <f t="shared" si="15"/>
        <v>-15371</v>
      </c>
      <c r="M191" s="23">
        <f t="shared" si="15"/>
        <v>-15523.75</v>
      </c>
    </row>
    <row r="192" spans="1:13" x14ac:dyDescent="0.2">
      <c r="A192" s="3" t="s">
        <v>1</v>
      </c>
      <c r="B192" s="23">
        <f t="shared" ref="B192:M192" si="16">+B122-B52</f>
        <v>-54000</v>
      </c>
      <c r="C192" s="23">
        <f t="shared" si="16"/>
        <v>-98182</v>
      </c>
      <c r="D192" s="23">
        <f t="shared" si="16"/>
        <v>-142364</v>
      </c>
      <c r="E192" s="23">
        <f t="shared" si="16"/>
        <v>-186546</v>
      </c>
      <c r="F192" s="23">
        <f t="shared" si="16"/>
        <v>-224328</v>
      </c>
      <c r="G192" s="23">
        <f t="shared" si="16"/>
        <v>-200818.75</v>
      </c>
      <c r="H192" s="23">
        <f t="shared" si="16"/>
        <v>-177309.5</v>
      </c>
      <c r="I192" s="23">
        <f t="shared" si="16"/>
        <v>-153800.25</v>
      </c>
      <c r="J192" s="23">
        <f t="shared" si="16"/>
        <v>-130291</v>
      </c>
      <c r="K192" s="23">
        <f t="shared" si="16"/>
        <v>-106781.75</v>
      </c>
      <c r="L192" s="23">
        <f t="shared" si="16"/>
        <v>-83272.5</v>
      </c>
      <c r="M192" s="23">
        <f t="shared" si="16"/>
        <v>-59761.25</v>
      </c>
    </row>
    <row r="193" spans="1:13" x14ac:dyDescent="0.2">
      <c r="A193" s="3" t="s">
        <v>3</v>
      </c>
      <c r="B193" s="23">
        <f t="shared" ref="B193:M193" si="17">+B123-B53</f>
        <v>8333.3333333333339</v>
      </c>
      <c r="C193" s="23">
        <f t="shared" si="17"/>
        <v>16666.666666666668</v>
      </c>
      <c r="D193" s="23">
        <f t="shared" si="17"/>
        <v>25000</v>
      </c>
      <c r="E193" s="23">
        <f t="shared" si="17"/>
        <v>33333.333333333336</v>
      </c>
      <c r="F193" s="23">
        <f t="shared" si="17"/>
        <v>33333.333333333336</v>
      </c>
      <c r="G193" s="23">
        <f t="shared" si="17"/>
        <v>33333.333333333343</v>
      </c>
      <c r="H193" s="23">
        <f t="shared" si="17"/>
        <v>33333.333333333343</v>
      </c>
      <c r="I193" s="23">
        <f t="shared" si="17"/>
        <v>33333.333333333336</v>
      </c>
      <c r="J193" s="23">
        <f t="shared" si="17"/>
        <v>33333.333333333328</v>
      </c>
      <c r="K193" s="23">
        <f t="shared" si="17"/>
        <v>33333.333333333321</v>
      </c>
      <c r="L193" s="23">
        <f t="shared" si="17"/>
        <v>33333.333333333314</v>
      </c>
      <c r="M193" s="23">
        <f t="shared" si="17"/>
        <v>33333.333333333314</v>
      </c>
    </row>
    <row r="194" spans="1:13" x14ac:dyDescent="0.2">
      <c r="A194" s="3" t="s">
        <v>4</v>
      </c>
      <c r="B194" s="23">
        <f t="shared" ref="B194:M194" si="18">+B124-B54</f>
        <v>2500</v>
      </c>
      <c r="C194" s="23">
        <f t="shared" si="18"/>
        <v>5000</v>
      </c>
      <c r="D194" s="23">
        <f t="shared" si="18"/>
        <v>7500</v>
      </c>
      <c r="E194" s="23">
        <f t="shared" si="18"/>
        <v>10000</v>
      </c>
      <c r="F194" s="23">
        <f t="shared" si="18"/>
        <v>10000</v>
      </c>
      <c r="G194" s="23">
        <f t="shared" si="18"/>
        <v>10000</v>
      </c>
      <c r="H194" s="23">
        <f t="shared" si="18"/>
        <v>10000</v>
      </c>
      <c r="I194" s="23">
        <f t="shared" si="18"/>
        <v>10000</v>
      </c>
      <c r="J194" s="23">
        <f t="shared" si="18"/>
        <v>10000</v>
      </c>
      <c r="K194" s="23">
        <f t="shared" si="18"/>
        <v>10000</v>
      </c>
      <c r="L194" s="23">
        <f t="shared" si="18"/>
        <v>10000</v>
      </c>
      <c r="M194" s="23">
        <f t="shared" si="18"/>
        <v>10000</v>
      </c>
    </row>
    <row r="195" spans="1:13" x14ac:dyDescent="0.2">
      <c r="A195" s="3" t="s">
        <v>5</v>
      </c>
      <c r="B195" s="23">
        <f t="shared" ref="B195:M195" si="19">+B125-B55</f>
        <v>6250</v>
      </c>
      <c r="C195" s="23">
        <f t="shared" si="19"/>
        <v>9850</v>
      </c>
      <c r="D195" s="23">
        <f t="shared" si="19"/>
        <v>66886</v>
      </c>
      <c r="E195" s="23">
        <f t="shared" si="19"/>
        <v>73136</v>
      </c>
      <c r="F195" s="23">
        <f t="shared" si="19"/>
        <v>73136</v>
      </c>
      <c r="G195" s="23">
        <f t="shared" si="19"/>
        <v>73136</v>
      </c>
      <c r="H195" s="23">
        <f t="shared" si="19"/>
        <v>73136</v>
      </c>
      <c r="I195" s="23">
        <f t="shared" si="19"/>
        <v>73136</v>
      </c>
      <c r="J195" s="23">
        <f t="shared" si="19"/>
        <v>73136</v>
      </c>
      <c r="K195" s="23">
        <f t="shared" si="19"/>
        <v>73136</v>
      </c>
      <c r="L195" s="23">
        <f t="shared" si="19"/>
        <v>73136</v>
      </c>
      <c r="M195" s="23">
        <f t="shared" si="19"/>
        <v>73136</v>
      </c>
    </row>
    <row r="196" spans="1:13" x14ac:dyDescent="0.2">
      <c r="A196" s="3" t="s">
        <v>14</v>
      </c>
      <c r="B196" s="23">
        <f t="shared" ref="B196:M196" si="20">+B126-B56</f>
        <v>0</v>
      </c>
      <c r="C196" s="23">
        <f t="shared" si="20"/>
        <v>0</v>
      </c>
      <c r="D196" s="23">
        <f t="shared" si="20"/>
        <v>0</v>
      </c>
      <c r="E196" s="23">
        <f t="shared" si="20"/>
        <v>0</v>
      </c>
      <c r="F196" s="23">
        <f t="shared" si="20"/>
        <v>0</v>
      </c>
      <c r="G196" s="23">
        <f t="shared" si="20"/>
        <v>0</v>
      </c>
      <c r="H196" s="23">
        <f t="shared" si="20"/>
        <v>0</v>
      </c>
      <c r="I196" s="23">
        <f t="shared" si="20"/>
        <v>0</v>
      </c>
      <c r="J196" s="23">
        <f t="shared" si="20"/>
        <v>0</v>
      </c>
      <c r="K196" s="23">
        <f t="shared" si="20"/>
        <v>0</v>
      </c>
      <c r="L196" s="23">
        <f t="shared" si="20"/>
        <v>0</v>
      </c>
      <c r="M196" s="23">
        <f t="shared" si="20"/>
        <v>0</v>
      </c>
    </row>
    <row r="197" spans="1:13" x14ac:dyDescent="0.2">
      <c r="A197" s="3"/>
    </row>
    <row r="198" spans="1:13" ht="13.5" thickBot="1" x14ac:dyDescent="0.25">
      <c r="A198" s="4" t="s">
        <v>15</v>
      </c>
      <c r="B198" s="28">
        <f t="shared" ref="B198:M198" si="21">SUM(B190:B197)</f>
        <v>-34547.166666666664</v>
      </c>
      <c r="C198" s="28">
        <f t="shared" si="21"/>
        <v>-61926.333333333328</v>
      </c>
      <c r="D198" s="28">
        <f t="shared" si="21"/>
        <v>-55869.5</v>
      </c>
      <c r="E198" s="28">
        <f t="shared" si="21"/>
        <v>-83747.666666666657</v>
      </c>
      <c r="F198" s="28">
        <f t="shared" si="21"/>
        <v>-122309.16666666666</v>
      </c>
      <c r="G198" s="28">
        <f t="shared" si="21"/>
        <v>-98952.666666666657</v>
      </c>
      <c r="H198" s="28">
        <f t="shared" si="21"/>
        <v>-75597.166666666657</v>
      </c>
      <c r="I198" s="28">
        <f t="shared" si="21"/>
        <v>-52241.666666666657</v>
      </c>
      <c r="J198" s="28">
        <f t="shared" si="21"/>
        <v>-28885.166666666672</v>
      </c>
      <c r="K198" s="28">
        <f t="shared" si="21"/>
        <v>-5529.6666666666861</v>
      </c>
      <c r="L198" s="28">
        <f t="shared" si="21"/>
        <v>17825.833333333314</v>
      </c>
      <c r="M198" s="28">
        <f t="shared" si="21"/>
        <v>41184.333333333314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22">+B131-B61</f>
        <v>0</v>
      </c>
      <c r="C201" s="23">
        <f t="shared" si="22"/>
        <v>0</v>
      </c>
      <c r="D201" s="23">
        <f t="shared" si="22"/>
        <v>0</v>
      </c>
      <c r="E201" s="23">
        <f t="shared" si="22"/>
        <v>0</v>
      </c>
      <c r="F201" s="23">
        <f t="shared" si="22"/>
        <v>0</v>
      </c>
      <c r="G201" s="23">
        <f t="shared" si="22"/>
        <v>0</v>
      </c>
      <c r="H201" s="23">
        <f t="shared" si="22"/>
        <v>0</v>
      </c>
      <c r="I201" s="23">
        <f t="shared" si="22"/>
        <v>0</v>
      </c>
      <c r="J201" s="23">
        <f t="shared" si="22"/>
        <v>0</v>
      </c>
      <c r="K201" s="23">
        <f t="shared" si="22"/>
        <v>0</v>
      </c>
      <c r="L201" s="23">
        <f t="shared" si="22"/>
        <v>0</v>
      </c>
      <c r="M201" s="23">
        <f t="shared" si="22"/>
        <v>0</v>
      </c>
    </row>
    <row r="202" spans="1:13" x14ac:dyDescent="0.2">
      <c r="A202" s="3" t="s">
        <v>7</v>
      </c>
      <c r="B202" s="23">
        <f t="shared" ref="B202:M202" si="23">+B132-B62</f>
        <v>-127753</v>
      </c>
      <c r="C202" s="23">
        <f t="shared" si="23"/>
        <v>247</v>
      </c>
      <c r="D202" s="23">
        <f t="shared" si="23"/>
        <v>153717</v>
      </c>
      <c r="E202" s="23">
        <f t="shared" si="23"/>
        <v>197836</v>
      </c>
      <c r="F202" s="23">
        <f t="shared" si="23"/>
        <v>241404.6396738328</v>
      </c>
      <c r="G202" s="23">
        <f t="shared" si="23"/>
        <v>274834.95309034362</v>
      </c>
      <c r="H202" s="23">
        <f t="shared" si="23"/>
        <v>326118.43660730496</v>
      </c>
      <c r="I202" s="23">
        <f t="shared" si="23"/>
        <v>445413.57489609439</v>
      </c>
      <c r="J202" s="23">
        <f t="shared" si="23"/>
        <v>632778.75192005932</v>
      </c>
      <c r="K202" s="23">
        <f t="shared" si="23"/>
        <v>823040.51788901445</v>
      </c>
      <c r="L202" s="23">
        <f t="shared" si="23"/>
        <v>1014184.5876597464</v>
      </c>
      <c r="M202" s="23">
        <f t="shared" si="23"/>
        <v>1231573.1348874914</v>
      </c>
    </row>
    <row r="203" spans="1:13" x14ac:dyDescent="0.2">
      <c r="A203" s="3" t="s">
        <v>8</v>
      </c>
      <c r="B203" s="23">
        <f t="shared" ref="B203:M203" si="24">+B133-B63</f>
        <v>-7072</v>
      </c>
      <c r="C203" s="23">
        <f t="shared" si="24"/>
        <v>-25573</v>
      </c>
      <c r="D203" s="23">
        <f t="shared" si="24"/>
        <v>-31295</v>
      </c>
      <c r="E203" s="23">
        <f t="shared" si="24"/>
        <v>-41261</v>
      </c>
      <c r="F203" s="23">
        <f t="shared" si="24"/>
        <v>-51227</v>
      </c>
      <c r="G203" s="23">
        <f t="shared" si="24"/>
        <v>-61193</v>
      </c>
      <c r="H203" s="23">
        <f t="shared" si="24"/>
        <v>-71159</v>
      </c>
      <c r="I203" s="23">
        <f t="shared" si="24"/>
        <v>-81125</v>
      </c>
      <c r="J203" s="23">
        <f t="shared" si="24"/>
        <v>-91091</v>
      </c>
      <c r="K203" s="23">
        <f t="shared" si="24"/>
        <v>-101057</v>
      </c>
      <c r="L203" s="23">
        <f t="shared" si="24"/>
        <v>-111023</v>
      </c>
      <c r="M203" s="23">
        <f t="shared" si="24"/>
        <v>-123989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25">SUM(B200:B204)</f>
        <v>-134825</v>
      </c>
      <c r="C205" s="28">
        <f t="shared" si="25"/>
        <v>-25326</v>
      </c>
      <c r="D205" s="28">
        <f t="shared" si="25"/>
        <v>122422</v>
      </c>
      <c r="E205" s="28">
        <f t="shared" si="25"/>
        <v>156575</v>
      </c>
      <c r="F205" s="28">
        <f t="shared" si="25"/>
        <v>190177.6396738328</v>
      </c>
      <c r="G205" s="28">
        <f t="shared" si="25"/>
        <v>213641.95309034362</v>
      </c>
      <c r="H205" s="28">
        <f t="shared" si="25"/>
        <v>254959.43660730496</v>
      </c>
      <c r="I205" s="28">
        <f t="shared" si="25"/>
        <v>364288.57489609439</v>
      </c>
      <c r="J205" s="28">
        <f t="shared" si="25"/>
        <v>541687.75192005932</v>
      </c>
      <c r="K205" s="28">
        <f t="shared" si="25"/>
        <v>721983.51788901445</v>
      </c>
      <c r="L205" s="28">
        <f t="shared" si="25"/>
        <v>903161.58765974641</v>
      </c>
      <c r="M205" s="28">
        <f t="shared" si="25"/>
        <v>1107584.1348874914</v>
      </c>
    </row>
    <row r="207" spans="1:13" ht="13.5" thickBot="1" x14ac:dyDescent="0.25">
      <c r="A207" s="1" t="s">
        <v>13</v>
      </c>
      <c r="B207" s="29">
        <f t="shared" ref="B207:M207" si="26">+B150+B188+B198+B205</f>
        <v>-223684.5</v>
      </c>
      <c r="C207" s="29">
        <f t="shared" si="26"/>
        <v>-245171</v>
      </c>
      <c r="D207" s="29">
        <f t="shared" si="26"/>
        <v>-74276.5</v>
      </c>
      <c r="E207" s="29">
        <f t="shared" si="26"/>
        <v>-224664.74</v>
      </c>
      <c r="F207" s="29">
        <f t="shared" si="26"/>
        <v>-263457.93365950044</v>
      </c>
      <c r="G207" s="29">
        <f t="shared" si="26"/>
        <v>-249970.45357632299</v>
      </c>
      <c r="H207" s="29">
        <f t="shared" si="26"/>
        <v>-218630.80339269503</v>
      </c>
      <c r="I207" s="29">
        <f t="shared" si="26"/>
        <v>-119280.49843723886</v>
      </c>
      <c r="J207" s="29">
        <f t="shared" si="26"/>
        <v>48141.845253392647</v>
      </c>
      <c r="K207" s="29">
        <f t="shared" si="26"/>
        <v>218459.7778890144</v>
      </c>
      <c r="L207" s="29">
        <f t="shared" si="26"/>
        <v>389659.01432641299</v>
      </c>
      <c r="M207" s="29">
        <f t="shared" si="26"/>
        <v>584106.72822082462</v>
      </c>
    </row>
    <row r="208" spans="1:13" ht="13.5" thickTop="1" x14ac:dyDescent="0.2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2"/>
  <sheetViews>
    <sheetView tabSelected="1" zoomScale="75" zoomScaleNormal="100" workbookViewId="0">
      <pane xSplit="1" ySplit="9" topLeftCell="B42" activePane="bottomRight" state="frozen"/>
      <selection activeCell="B7" sqref="B7"/>
      <selection pane="topRight" activeCell="B7" sqref="B7"/>
      <selection pane="bottomLeft" activeCell="B7" sqref="B7"/>
      <selection pane="bottomRight" activeCell="A6" sqref="A6"/>
    </sheetView>
  </sheetViews>
  <sheetFormatPr defaultColWidth="8.85546875" defaultRowHeight="12.75" x14ac:dyDescent="0.2"/>
  <cols>
    <col min="1" max="1" width="41.140625" customWidth="1"/>
    <col min="2" max="2" width="10.5703125" style="23" bestFit="1" customWidth="1"/>
    <col min="3" max="3" width="10.28515625" style="23" bestFit="1" customWidth="1"/>
    <col min="4" max="4" width="10.7109375" style="23" customWidth="1"/>
    <col min="5" max="5" width="2.7109375" style="23" customWidth="1"/>
    <col min="6" max="7" width="11.28515625" style="23" bestFit="1" customWidth="1"/>
    <col min="8" max="8" width="10.7109375" style="23" customWidth="1"/>
    <col min="9" max="9" width="2.7109375" style="23" customWidth="1"/>
    <col min="10" max="10" width="13" style="23" customWidth="1"/>
    <col min="11" max="11" width="11.7109375" style="23" customWidth="1"/>
    <col min="12" max="12" width="11.5703125" style="23" bestFit="1" customWidth="1"/>
    <col min="13" max="13" width="2.7109375" style="23" customWidth="1"/>
    <col min="14" max="14" width="82.28515625" style="23" customWidth="1"/>
    <col min="15" max="70" width="8.85546875" style="23" customWidth="1"/>
  </cols>
  <sheetData>
    <row r="1" spans="1:70" s="2" customFormat="1" ht="15.75" x14ac:dyDescent="0.2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3" t="str">
        <f>+'NA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5"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36697.489055787039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  <c r="N8" s="31"/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3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">
      <c r="N10" s="31"/>
    </row>
    <row r="11" spans="1:70" ht="13.5" thickBot="1" x14ac:dyDescent="0.25">
      <c r="A11" s="1" t="s">
        <v>9</v>
      </c>
      <c r="B11" s="24">
        <f>+'BRN Summ'!B11+'CAL Summ'!B11+'NA Summ'!B11</f>
        <v>0</v>
      </c>
      <c r="C11" s="24">
        <f>+'BRN Summ'!C11+'CAL Summ'!C11+'NA Summ'!C11</f>
        <v>0</v>
      </c>
      <c r="D11" s="24">
        <f>+C11-B11</f>
        <v>0</v>
      </c>
      <c r="F11" s="24">
        <f>+'BRN Summ'!F11+'CAL Summ'!F11+'NA Summ'!F11</f>
        <v>0</v>
      </c>
      <c r="G11" s="24">
        <f>+'BRN Summ'!G11+'CAL Summ'!G11+'NA Summ'!G11</f>
        <v>0</v>
      </c>
      <c r="H11" s="24">
        <f>+G11-F11</f>
        <v>0</v>
      </c>
      <c r="I11" s="26"/>
      <c r="J11" s="24">
        <f>+'BRN Summ'!J11+'CAL Summ'!J11+'NA Summ'!J11</f>
        <v>0</v>
      </c>
      <c r="K11" s="24">
        <f>+'BRN Summ'!K11+'CAL Summ'!K11+'NA Summ'!K11</f>
        <v>0</v>
      </c>
      <c r="L11" s="24">
        <f>+K11-J11</f>
        <v>0</v>
      </c>
      <c r="N11" s="31"/>
    </row>
    <row r="12" spans="1:70" x14ac:dyDescent="0.2">
      <c r="N12" s="31"/>
    </row>
    <row r="13" spans="1:70" x14ac:dyDescent="0.2">
      <c r="A13" s="1" t="s">
        <v>10</v>
      </c>
      <c r="N13" s="31"/>
    </row>
    <row r="14" spans="1:70" x14ac:dyDescent="0.2">
      <c r="A14" s="17" t="s">
        <v>49</v>
      </c>
      <c r="I14" s="26"/>
      <c r="N14" s="31"/>
    </row>
    <row r="15" spans="1:70" x14ac:dyDescent="0.2">
      <c r="A15" s="18" t="s">
        <v>87</v>
      </c>
      <c r="B15" s="23">
        <f>'BRN MO'!D14+'CAL MO'!D14+'NA MO'!D14</f>
        <v>0</v>
      </c>
      <c r="C15" s="23">
        <f>'BRN MO'!D84+'CAL MO'!D84+'NA MO'!D84</f>
        <v>0</v>
      </c>
      <c r="D15" s="23">
        <f>+C15-B15</f>
        <v>0</v>
      </c>
      <c r="F15" s="23">
        <f>'BRN YTD'!D14+'CAL YTD'!D14+'NA YTD'!D14</f>
        <v>0</v>
      </c>
      <c r="G15" s="23">
        <f>'BRN YTD'!D84+'CAL YTD'!D84+'NA YTD'!D84</f>
        <v>0</v>
      </c>
      <c r="H15" s="23">
        <f>+G15-F15</f>
        <v>0</v>
      </c>
      <c r="I15" s="26"/>
      <c r="J15" s="23">
        <f>+'BRN Summ'!J15+'CAL Summ'!J15+'NA Summ'!J15</f>
        <v>0</v>
      </c>
      <c r="K15" s="23">
        <f>+'BRN Summ'!K15+'CAL Summ'!K15+'NA Summ'!K15</f>
        <v>0</v>
      </c>
      <c r="L15" s="23">
        <f>+K15-J15</f>
        <v>0</v>
      </c>
      <c r="N15" s="31"/>
    </row>
    <row r="16" spans="1:70" x14ac:dyDescent="0.2">
      <c r="A16" s="18" t="s">
        <v>63</v>
      </c>
      <c r="B16" s="23">
        <f>'BRN MO'!D15+'CAL MO'!D15+'NA MO'!D15</f>
        <v>0</v>
      </c>
      <c r="C16" s="23">
        <f>'BRN MO'!D85+'CAL MO'!D85+'NA MO'!D85</f>
        <v>1629</v>
      </c>
      <c r="D16" s="23">
        <f t="shared" ref="D16:D41" si="0">+C16-B16</f>
        <v>1629</v>
      </c>
      <c r="F16" s="23">
        <f>'BRN YTD'!D15+'CAL YTD'!D15+'NA YTD'!D15</f>
        <v>0</v>
      </c>
      <c r="G16" s="23">
        <f>'BRN YTD'!D85+'CAL YTD'!D85+'NA YTD'!D85</f>
        <v>4887</v>
      </c>
      <c r="H16" s="23">
        <f t="shared" ref="H16:H41" si="1">+G16-F16</f>
        <v>4887</v>
      </c>
      <c r="I16" s="26"/>
      <c r="J16" s="23">
        <f>+'BRN Summ'!J16+'CAL Summ'!J16+'NA Summ'!J16</f>
        <v>28160.04</v>
      </c>
      <c r="K16" s="23">
        <f>+'BRN Summ'!K16+'CAL Summ'!K16+'NA Summ'!K16</f>
        <v>28500</v>
      </c>
      <c r="L16" s="23">
        <f t="shared" ref="L16:L41" si="2">+K16-J16</f>
        <v>339.95999999999913</v>
      </c>
      <c r="N16" s="31"/>
    </row>
    <row r="17" spans="1:14" x14ac:dyDescent="0.2">
      <c r="A17" s="18" t="s">
        <v>88</v>
      </c>
      <c r="B17" s="23">
        <f>'BRN MO'!D16+'CAL MO'!D16+'NA MO'!D16</f>
        <v>0</v>
      </c>
      <c r="C17" s="23">
        <f>'BRN MO'!D86+'CAL MO'!D86+'NA MO'!D86</f>
        <v>0</v>
      </c>
      <c r="D17" s="23">
        <f t="shared" si="0"/>
        <v>0</v>
      </c>
      <c r="F17" s="23">
        <f>'BRN YTD'!D16+'CAL YTD'!D16+'NA YTD'!D16</f>
        <v>0</v>
      </c>
      <c r="G17" s="23">
        <f>'BRN YTD'!D86+'CAL YTD'!D86+'NA YTD'!D86</f>
        <v>0</v>
      </c>
      <c r="H17" s="23">
        <f t="shared" si="1"/>
        <v>0</v>
      </c>
      <c r="I17" s="26"/>
      <c r="J17" s="23">
        <f>+'BRN Summ'!J17+'CAL Summ'!J17+'NA Summ'!J17</f>
        <v>0</v>
      </c>
      <c r="K17" s="23">
        <f>+'BRN Summ'!K17+'CAL Summ'!K17+'NA Summ'!K17</f>
        <v>0</v>
      </c>
      <c r="L17" s="23">
        <f t="shared" si="2"/>
        <v>0</v>
      </c>
      <c r="N17" s="31"/>
    </row>
    <row r="18" spans="1:14" x14ac:dyDescent="0.2">
      <c r="A18" s="18" t="s">
        <v>89</v>
      </c>
      <c r="B18" s="23">
        <f>'BRN MO'!D17+'CAL MO'!D17+'NA MO'!D17</f>
        <v>0</v>
      </c>
      <c r="C18" s="23">
        <f>'BRN MO'!D87+'CAL MO'!D87+'NA MO'!D87</f>
        <v>0</v>
      </c>
      <c r="D18" s="23">
        <f t="shared" si="0"/>
        <v>0</v>
      </c>
      <c r="F18" s="23">
        <f>'BRN YTD'!D17+'CAL YTD'!D17+'NA YTD'!D17</f>
        <v>0</v>
      </c>
      <c r="G18" s="23">
        <f>'BRN YTD'!D87+'CAL YTD'!D87+'NA YTD'!D87</f>
        <v>0</v>
      </c>
      <c r="H18" s="23">
        <f t="shared" si="1"/>
        <v>0</v>
      </c>
      <c r="I18" s="26"/>
      <c r="J18" s="23">
        <f>+'BRN Summ'!J18+'CAL Summ'!J18+'NA Summ'!J18</f>
        <v>0</v>
      </c>
      <c r="K18" s="23">
        <f>+'BRN Summ'!K18+'CAL Summ'!K18+'NA Summ'!K18</f>
        <v>0</v>
      </c>
      <c r="L18" s="23">
        <f t="shared" si="2"/>
        <v>0</v>
      </c>
      <c r="N18" s="31"/>
    </row>
    <row r="19" spans="1:14" x14ac:dyDescent="0.2">
      <c r="A19" s="18" t="s">
        <v>90</v>
      </c>
      <c r="B19" s="23">
        <f>'BRN MO'!D18+'CAL MO'!D18+'NA MO'!D18</f>
        <v>0</v>
      </c>
      <c r="C19" s="23">
        <f>'BRN MO'!D88+'CAL MO'!D88+'NA MO'!D88</f>
        <v>0</v>
      </c>
      <c r="D19" s="23">
        <f t="shared" si="0"/>
        <v>0</v>
      </c>
      <c r="F19" s="23">
        <f>'BRN YTD'!D18+'CAL YTD'!D18+'NA YTD'!D18</f>
        <v>0</v>
      </c>
      <c r="G19" s="23">
        <f>'BRN YTD'!D88+'CAL YTD'!D88+'NA YTD'!D88</f>
        <v>0</v>
      </c>
      <c r="H19" s="23">
        <f t="shared" si="1"/>
        <v>0</v>
      </c>
      <c r="I19" s="26"/>
      <c r="J19" s="23">
        <f>+'BRN Summ'!J19+'CAL Summ'!J19+'NA Summ'!J19</f>
        <v>0</v>
      </c>
      <c r="K19" s="23">
        <f>+'BRN Summ'!K19+'CAL Summ'!K19+'NA Summ'!K19</f>
        <v>0</v>
      </c>
      <c r="L19" s="23">
        <f t="shared" si="2"/>
        <v>0</v>
      </c>
      <c r="N19" s="31"/>
    </row>
    <row r="20" spans="1:14" x14ac:dyDescent="0.2">
      <c r="A20" s="18" t="s">
        <v>64</v>
      </c>
      <c r="B20" s="23">
        <f>'BRN MO'!D19+'CAL MO'!D19+'NA MO'!D19</f>
        <v>0</v>
      </c>
      <c r="C20" s="23">
        <f>'BRN MO'!D89+'CAL MO'!D89+'NA MO'!D89</f>
        <v>0</v>
      </c>
      <c r="D20" s="23">
        <f t="shared" si="0"/>
        <v>0</v>
      </c>
      <c r="F20" s="23">
        <f>'BRN YTD'!D19+'CAL YTD'!D19+'NA YTD'!D19</f>
        <v>0</v>
      </c>
      <c r="G20" s="23">
        <f>'BRN YTD'!D89+'CAL YTD'!D89+'NA YTD'!D89</f>
        <v>0</v>
      </c>
      <c r="H20" s="23">
        <f t="shared" si="1"/>
        <v>0</v>
      </c>
      <c r="I20" s="26"/>
      <c r="J20" s="23">
        <f>+'BRN Summ'!J20+'CAL Summ'!J20+'NA Summ'!J20</f>
        <v>0</v>
      </c>
      <c r="K20" s="23">
        <f>+'BRN Summ'!K20+'CAL Summ'!K20+'NA Summ'!K20</f>
        <v>0</v>
      </c>
      <c r="L20" s="23">
        <f t="shared" si="2"/>
        <v>0</v>
      </c>
      <c r="N20" s="31"/>
    </row>
    <row r="21" spans="1:14" x14ac:dyDescent="0.2">
      <c r="A21" s="18" t="s">
        <v>91</v>
      </c>
      <c r="B21" s="23">
        <f>'BRN MO'!D20+'CAL MO'!D20+'NA MO'!D20</f>
        <v>15137</v>
      </c>
      <c r="C21" s="23">
        <f>'BRN MO'!D90+'CAL MO'!D90+'NA MO'!D90</f>
        <v>0</v>
      </c>
      <c r="D21" s="23">
        <f t="shared" si="0"/>
        <v>-15137</v>
      </c>
      <c r="F21" s="23">
        <f>'BRN YTD'!D20+'CAL YTD'!D20+'NA YTD'!D20</f>
        <v>16550</v>
      </c>
      <c r="G21" s="23">
        <f>'BRN YTD'!D90+'CAL YTD'!D90+'NA YTD'!D90</f>
        <v>0</v>
      </c>
      <c r="H21" s="23">
        <f t="shared" si="1"/>
        <v>-16550</v>
      </c>
      <c r="I21" s="26"/>
      <c r="J21" s="23">
        <f>+'BRN Summ'!J21+'CAL Summ'!J21+'NA Summ'!J21</f>
        <v>17186.900000000001</v>
      </c>
      <c r="K21" s="23">
        <f>+'BRN Summ'!K21+'CAL Summ'!K21+'NA Summ'!K21</f>
        <v>0</v>
      </c>
      <c r="L21" s="23">
        <f t="shared" si="2"/>
        <v>-17186.900000000001</v>
      </c>
      <c r="N21" s="33" t="s">
        <v>119</v>
      </c>
    </row>
    <row r="22" spans="1:14" x14ac:dyDescent="0.2">
      <c r="A22" s="18" t="s">
        <v>92</v>
      </c>
      <c r="B22" s="23">
        <f>'BRN MO'!D21+'CAL MO'!D21+'NA MO'!D21</f>
        <v>0</v>
      </c>
      <c r="C22" s="23">
        <f>'BRN MO'!D91+'CAL MO'!D91+'NA MO'!D91</f>
        <v>743</v>
      </c>
      <c r="D22" s="23">
        <f t="shared" si="0"/>
        <v>743</v>
      </c>
      <c r="F22" s="23">
        <f>'BRN YTD'!D21+'CAL YTD'!D21+'NA YTD'!D21</f>
        <v>0</v>
      </c>
      <c r="G22" s="23">
        <f>'BRN YTD'!D91+'CAL YTD'!D91+'NA YTD'!D91</f>
        <v>2229</v>
      </c>
      <c r="H22" s="23">
        <f t="shared" si="1"/>
        <v>2229</v>
      </c>
      <c r="I22" s="26"/>
      <c r="J22" s="23">
        <f>+'BRN Summ'!J22+'CAL Summ'!J22+'NA Summ'!J22</f>
        <v>10028</v>
      </c>
      <c r="K22" s="23">
        <f>+'BRN Summ'!K22+'CAL Summ'!K22+'NA Summ'!K22</f>
        <v>13000</v>
      </c>
      <c r="L22" s="23">
        <f t="shared" si="2"/>
        <v>2972</v>
      </c>
      <c r="N22" s="31"/>
    </row>
    <row r="23" spans="1:14" x14ac:dyDescent="0.2">
      <c r="A23" s="18" t="s">
        <v>65</v>
      </c>
      <c r="B23" s="23">
        <f>'BRN MO'!D22+'CAL MO'!D22+'NA MO'!D22</f>
        <v>249</v>
      </c>
      <c r="C23" s="23">
        <f>'BRN MO'!D92+'CAL MO'!D92+'NA MO'!D92</f>
        <v>1374</v>
      </c>
      <c r="D23" s="23">
        <f t="shared" si="0"/>
        <v>1125</v>
      </c>
      <c r="F23" s="23">
        <f>'BRN YTD'!D22+'CAL YTD'!D22+'NA YTD'!D22</f>
        <v>4093</v>
      </c>
      <c r="G23" s="23">
        <f>'BRN YTD'!D92+'CAL YTD'!D92+'NA YTD'!D92</f>
        <v>4122</v>
      </c>
      <c r="H23" s="23">
        <f t="shared" si="1"/>
        <v>29</v>
      </c>
      <c r="I23" s="26"/>
      <c r="J23" s="23">
        <f>+'BRN Summ'!J23+'CAL Summ'!J23+'NA Summ'!J23</f>
        <v>15097</v>
      </c>
      <c r="K23" s="23">
        <f>+'BRN Summ'!K23+'CAL Summ'!K23+'NA Summ'!K23</f>
        <v>16500</v>
      </c>
      <c r="L23" s="23">
        <f t="shared" si="2"/>
        <v>1403</v>
      </c>
      <c r="N23" s="31"/>
    </row>
    <row r="24" spans="1:14" x14ac:dyDescent="0.2">
      <c r="A24" s="18" t="s">
        <v>45</v>
      </c>
      <c r="B24" s="23">
        <f>'BRN MO'!D23+'CAL MO'!D23+'NA MO'!D23</f>
        <v>8477</v>
      </c>
      <c r="C24" s="23">
        <f>'BRN MO'!D93+'CAL MO'!D93+'NA MO'!D93</f>
        <v>629</v>
      </c>
      <c r="D24" s="23">
        <f t="shared" si="0"/>
        <v>-7848</v>
      </c>
      <c r="F24" s="23">
        <f>'BRN YTD'!D23+'CAL YTD'!D23+'NA YTD'!D23</f>
        <v>13927</v>
      </c>
      <c r="G24" s="23">
        <f>'BRN YTD'!D93+'CAL YTD'!D93+'NA YTD'!D93</f>
        <v>1887</v>
      </c>
      <c r="H24" s="23">
        <f t="shared" si="1"/>
        <v>-12040</v>
      </c>
      <c r="I24" s="26"/>
      <c r="J24" s="23">
        <f>+'BRN Summ'!J24+'CAL Summ'!J24+'NA Summ'!J24</f>
        <v>263051</v>
      </c>
      <c r="K24" s="23">
        <f>+'BRN Summ'!K24+'CAL Summ'!K24+'NA Summ'!K24</f>
        <v>267640</v>
      </c>
      <c r="L24" s="23">
        <f t="shared" si="2"/>
        <v>4589</v>
      </c>
      <c r="N24" s="31"/>
    </row>
    <row r="25" spans="1:14" x14ac:dyDescent="0.2">
      <c r="A25" s="18" t="s">
        <v>66</v>
      </c>
      <c r="B25" s="23">
        <f>'BRN MO'!D24+'CAL MO'!D24+'NA MO'!D24</f>
        <v>0</v>
      </c>
      <c r="C25" s="23">
        <f>'BRN MO'!D94+'CAL MO'!D94+'NA MO'!D94</f>
        <v>258</v>
      </c>
      <c r="D25" s="23">
        <f t="shared" si="0"/>
        <v>258</v>
      </c>
      <c r="F25" s="23">
        <f>'BRN YTD'!D24+'CAL YTD'!D24+'NA YTD'!D24</f>
        <v>802</v>
      </c>
      <c r="G25" s="23">
        <f>'BRN YTD'!D94+'CAL YTD'!D94+'NA YTD'!D94</f>
        <v>774</v>
      </c>
      <c r="H25" s="23">
        <f t="shared" si="1"/>
        <v>-28</v>
      </c>
      <c r="I25" s="26"/>
      <c r="J25" s="23">
        <f>+'BRN Summ'!J25+'CAL Summ'!J25+'NA Summ'!J25</f>
        <v>4270</v>
      </c>
      <c r="K25" s="23">
        <f>+'BRN Summ'!K25+'CAL Summ'!K25+'NA Summ'!K25</f>
        <v>4500</v>
      </c>
      <c r="L25" s="23">
        <f t="shared" si="2"/>
        <v>230</v>
      </c>
      <c r="N25" s="31"/>
    </row>
    <row r="26" spans="1:14" x14ac:dyDescent="0.2">
      <c r="A26" s="18" t="s">
        <v>67</v>
      </c>
      <c r="B26" s="23">
        <f>'BRN MO'!D25+'CAL MO'!D25+'NA MO'!D25</f>
        <v>0</v>
      </c>
      <c r="C26" s="23">
        <f>'BRN MO'!D95+'CAL MO'!D95+'NA MO'!D95</f>
        <v>1429</v>
      </c>
      <c r="D26" s="23">
        <f t="shared" si="0"/>
        <v>1429</v>
      </c>
      <c r="F26" s="23">
        <f>'BRN YTD'!D25+'CAL YTD'!D25+'NA YTD'!D25</f>
        <v>0</v>
      </c>
      <c r="G26" s="23">
        <f>'BRN YTD'!D95+'CAL YTD'!D95+'NA YTD'!D95</f>
        <v>4287</v>
      </c>
      <c r="H26" s="23">
        <f t="shared" si="1"/>
        <v>4287</v>
      </c>
      <c r="I26" s="26"/>
      <c r="J26" s="23">
        <f>+'BRN Summ'!J26+'CAL Summ'!J26+'NA Summ'!J26</f>
        <v>19284</v>
      </c>
      <c r="K26" s="23">
        <f>+'BRN Summ'!K26+'CAL Summ'!K26+'NA Summ'!K26</f>
        <v>25000</v>
      </c>
      <c r="L26" s="23">
        <f t="shared" si="2"/>
        <v>5716</v>
      </c>
      <c r="N26" s="31"/>
    </row>
    <row r="27" spans="1:14" x14ac:dyDescent="0.2">
      <c r="A27" s="18" t="s">
        <v>93</v>
      </c>
      <c r="B27" s="23">
        <f>'BRN MO'!D26+'CAL MO'!D26+'NA MO'!D26</f>
        <v>0</v>
      </c>
      <c r="C27" s="23">
        <f>'BRN MO'!D96+'CAL MO'!D96+'NA MO'!D96</f>
        <v>0</v>
      </c>
      <c r="D27" s="23">
        <f t="shared" si="0"/>
        <v>0</v>
      </c>
      <c r="F27" s="23">
        <f>'BRN YTD'!D26+'CAL YTD'!D26+'NA YTD'!D26</f>
        <v>0</v>
      </c>
      <c r="G27" s="23">
        <f>'BRN YTD'!D96+'CAL YTD'!D96+'NA YTD'!D96</f>
        <v>0</v>
      </c>
      <c r="H27" s="23">
        <f t="shared" si="1"/>
        <v>0</v>
      </c>
      <c r="I27" s="26"/>
      <c r="J27" s="23">
        <f>+'BRN Summ'!J27+'CAL Summ'!J27+'NA Summ'!J27</f>
        <v>0</v>
      </c>
      <c r="K27" s="23">
        <f>+'BRN Summ'!K27+'CAL Summ'!K27+'NA Summ'!K27</f>
        <v>0</v>
      </c>
      <c r="L27" s="23">
        <f t="shared" si="2"/>
        <v>0</v>
      </c>
      <c r="N27" s="31"/>
    </row>
    <row r="28" spans="1:14" x14ac:dyDescent="0.2">
      <c r="A28" s="18" t="s">
        <v>69</v>
      </c>
      <c r="B28" s="23">
        <f>'BRN MO'!D27+'CAL MO'!D27+'NA MO'!D27</f>
        <v>9152.94</v>
      </c>
      <c r="C28" s="23">
        <f>'BRN MO'!D97+'CAL MO'!D97+'NA MO'!D97</f>
        <v>999</v>
      </c>
      <c r="D28" s="23">
        <f t="shared" si="0"/>
        <v>-8153.9400000000005</v>
      </c>
      <c r="F28" s="23">
        <f>'BRN YTD'!D27+'CAL YTD'!D27+'NA YTD'!D27</f>
        <v>9916.94</v>
      </c>
      <c r="G28" s="23">
        <f>'BRN YTD'!D97+'CAL YTD'!D97+'NA YTD'!D97</f>
        <v>2997</v>
      </c>
      <c r="H28" s="23">
        <f t="shared" si="1"/>
        <v>-6919.9400000000005</v>
      </c>
      <c r="I28" s="26"/>
      <c r="J28" s="23">
        <f>+'BRN Summ'!J28+'CAL Summ'!J28+'NA Summ'!J28</f>
        <v>28748.54</v>
      </c>
      <c r="K28" s="23">
        <f>+'BRN Summ'!K28+'CAL Summ'!K28+'NA Summ'!K28</f>
        <v>12000</v>
      </c>
      <c r="L28" s="23">
        <f t="shared" si="2"/>
        <v>-16748.54</v>
      </c>
      <c r="N28" s="33" t="s">
        <v>120</v>
      </c>
    </row>
    <row r="29" spans="1:14" x14ac:dyDescent="0.2">
      <c r="A29" s="18" t="s">
        <v>68</v>
      </c>
      <c r="B29" s="23">
        <f>'BRN MO'!D28+'CAL MO'!D28+'NA MO'!D28</f>
        <v>10438.439999999999</v>
      </c>
      <c r="C29" s="23">
        <f>'BRN MO'!D98+'CAL MO'!D98+'NA MO'!D98</f>
        <v>47499</v>
      </c>
      <c r="D29" s="23">
        <f t="shared" si="0"/>
        <v>37060.559999999998</v>
      </c>
      <c r="F29" s="23">
        <f>'BRN YTD'!D28+'CAL YTD'!D28+'NA YTD'!D28</f>
        <v>19259.439999999999</v>
      </c>
      <c r="G29" s="23">
        <f>'BRN YTD'!D98+'CAL YTD'!D98+'NA YTD'!D98</f>
        <v>52497</v>
      </c>
      <c r="H29" s="23">
        <f t="shared" si="1"/>
        <v>33237.56</v>
      </c>
      <c r="I29" s="26"/>
      <c r="J29" s="23">
        <f>+'BRN Summ'!J29+'CAL Summ'!J29+'NA Summ'!J29</f>
        <v>59776.540000000008</v>
      </c>
      <c r="K29" s="23">
        <f>+'BRN Summ'!K29+'CAL Summ'!K29+'NA Summ'!K29</f>
        <v>75000</v>
      </c>
      <c r="L29" s="23">
        <f t="shared" si="2"/>
        <v>15223.459999999992</v>
      </c>
      <c r="N29" s="31"/>
    </row>
    <row r="30" spans="1:14" x14ac:dyDescent="0.2">
      <c r="A30" s="18" t="s">
        <v>94</v>
      </c>
      <c r="B30" s="23">
        <f>'BRN MO'!D29+'CAL MO'!D29+'NA MO'!D29</f>
        <v>0</v>
      </c>
      <c r="C30" s="23">
        <f>'BRN MO'!D99+'CAL MO'!D99+'NA MO'!D99</f>
        <v>0</v>
      </c>
      <c r="D30" s="23">
        <f t="shared" si="0"/>
        <v>0</v>
      </c>
      <c r="F30" s="23">
        <f>'BRN YTD'!D29+'CAL YTD'!D29+'NA YTD'!D29</f>
        <v>11</v>
      </c>
      <c r="G30" s="23">
        <f>'BRN YTD'!D99+'CAL YTD'!D99+'NA YTD'!D99</f>
        <v>0</v>
      </c>
      <c r="H30" s="23">
        <f t="shared" si="1"/>
        <v>-11</v>
      </c>
      <c r="I30" s="26"/>
      <c r="J30" s="23">
        <f>+'BRN Summ'!J30+'CAL Summ'!J30+'NA Summ'!J30</f>
        <v>11</v>
      </c>
      <c r="K30" s="23">
        <f>+'BRN Summ'!K30+'CAL Summ'!K30+'NA Summ'!K30</f>
        <v>0</v>
      </c>
      <c r="L30" s="23">
        <f t="shared" si="2"/>
        <v>-11</v>
      </c>
      <c r="N30" s="31"/>
    </row>
    <row r="31" spans="1:14" x14ac:dyDescent="0.2">
      <c r="A31" s="18" t="s">
        <v>46</v>
      </c>
      <c r="B31" s="23">
        <f>'BRN MO'!D30+'CAL MO'!D30+'NA MO'!D30</f>
        <v>656.85</v>
      </c>
      <c r="C31" s="23">
        <f>'BRN MO'!D100+'CAL MO'!D100+'NA MO'!D100</f>
        <v>1800</v>
      </c>
      <c r="D31" s="23">
        <f t="shared" si="0"/>
        <v>1143.1500000000001</v>
      </c>
      <c r="F31" s="23">
        <f>'BRN YTD'!D30+'CAL YTD'!D30+'NA YTD'!D30</f>
        <v>703.85</v>
      </c>
      <c r="G31" s="23">
        <f>'BRN YTD'!D100+'CAL YTD'!D100+'NA YTD'!D100</f>
        <v>5400</v>
      </c>
      <c r="H31" s="23">
        <f t="shared" si="1"/>
        <v>4696.1499999999996</v>
      </c>
      <c r="I31" s="26"/>
      <c r="J31" s="23">
        <f>+'BRN Summ'!J31+'CAL Summ'!J31+'NA Summ'!J31</f>
        <v>109308.35</v>
      </c>
      <c r="K31" s="23">
        <f>+'BRN Summ'!K31+'CAL Summ'!K31+'NA Summ'!K31</f>
        <v>115500</v>
      </c>
      <c r="L31" s="23">
        <f t="shared" si="2"/>
        <v>6191.6499999999942</v>
      </c>
      <c r="N31" s="31"/>
    </row>
    <row r="32" spans="1:14" x14ac:dyDescent="0.2">
      <c r="A32" s="18" t="s">
        <v>70</v>
      </c>
      <c r="B32" s="23">
        <f>'BRN MO'!D31+'CAL MO'!D31+'NA MO'!D31</f>
        <v>22033.82</v>
      </c>
      <c r="C32" s="23">
        <f>'BRN MO'!D101+'CAL MO'!D101+'NA MO'!D101</f>
        <v>9624</v>
      </c>
      <c r="D32" s="23">
        <f t="shared" si="0"/>
        <v>-12409.82</v>
      </c>
      <c r="F32" s="23">
        <f>'BRN YTD'!D31+'CAL YTD'!D31+'NA YTD'!D31</f>
        <v>31971.82</v>
      </c>
      <c r="G32" s="23">
        <f>'BRN YTD'!D101+'CAL YTD'!D101+'NA YTD'!D101</f>
        <v>28872</v>
      </c>
      <c r="H32" s="23">
        <f t="shared" si="1"/>
        <v>-3099.8199999999997</v>
      </c>
      <c r="I32" s="26"/>
      <c r="J32" s="23">
        <f>+'BRN Summ'!J32+'CAL Summ'!J32+'NA Summ'!J32</f>
        <v>153096.31</v>
      </c>
      <c r="K32" s="23">
        <f>+'BRN Summ'!K32+'CAL Summ'!K32+'NA Summ'!K32</f>
        <v>138600</v>
      </c>
      <c r="L32" s="23">
        <f t="shared" si="2"/>
        <v>-14496.309999999998</v>
      </c>
      <c r="N32" s="33" t="s">
        <v>121</v>
      </c>
    </row>
    <row r="33" spans="1:14" x14ac:dyDescent="0.2">
      <c r="A33" s="18" t="s">
        <v>71</v>
      </c>
      <c r="B33" s="23">
        <f>'BRN MO'!D32+'CAL MO'!D32+'NA MO'!D32</f>
        <v>104312</v>
      </c>
      <c r="C33" s="23">
        <f>'BRN MO'!D102+'CAL MO'!D102+'NA MO'!D102</f>
        <v>19857</v>
      </c>
      <c r="D33" s="23">
        <f t="shared" si="0"/>
        <v>-84455</v>
      </c>
      <c r="F33" s="23">
        <f>'BRN YTD'!D32+'CAL YTD'!D32+'NA YTD'!D32</f>
        <v>179545</v>
      </c>
      <c r="G33" s="23">
        <f>'BRN YTD'!D102+'CAL YTD'!D102+'NA YTD'!D102</f>
        <v>59571</v>
      </c>
      <c r="H33" s="23">
        <f t="shared" si="1"/>
        <v>-119974</v>
      </c>
      <c r="I33" s="26"/>
      <c r="J33" s="23">
        <f>+'BRN Summ'!J33+'CAL Summ'!J33+'NA Summ'!J33</f>
        <v>789983.04</v>
      </c>
      <c r="K33" s="23">
        <f>+'BRN Summ'!K33+'CAL Summ'!K33+'NA Summ'!K33</f>
        <v>288000</v>
      </c>
      <c r="L33" s="23">
        <f t="shared" si="2"/>
        <v>-501983.04000000004</v>
      </c>
      <c r="N33" s="33" t="s">
        <v>126</v>
      </c>
    </row>
    <row r="34" spans="1:14" x14ac:dyDescent="0.2">
      <c r="A34" s="18" t="s">
        <v>44</v>
      </c>
      <c r="B34" s="23">
        <f>'BRN MO'!D33+'CAL MO'!D33+'NA MO'!D33</f>
        <v>192156.37</v>
      </c>
      <c r="C34" s="23">
        <f>'BRN MO'!D103+'CAL MO'!D103+'NA MO'!D103</f>
        <v>180468</v>
      </c>
      <c r="D34" s="23">
        <f t="shared" si="0"/>
        <v>-11688.369999999995</v>
      </c>
      <c r="F34" s="23">
        <f>'BRN YTD'!D33+'CAL YTD'!D33+'NA YTD'!D33</f>
        <v>550198.37</v>
      </c>
      <c r="G34" s="23">
        <f>'BRN YTD'!D103+'CAL YTD'!D103+'NA YTD'!D103</f>
        <v>541404</v>
      </c>
      <c r="H34" s="23">
        <f t="shared" si="1"/>
        <v>-8794.3699999999953</v>
      </c>
      <c r="I34" s="26"/>
      <c r="J34" s="23">
        <f>+'BRN Summ'!J34+'CAL Summ'!J34+'NA Summ'!J34</f>
        <v>2510114.0999999996</v>
      </c>
      <c r="K34" s="23">
        <f>+'BRN Summ'!K34+'CAL Summ'!K34+'NA Summ'!K34</f>
        <v>2464818</v>
      </c>
      <c r="L34" s="23">
        <f t="shared" si="2"/>
        <v>-45296.099999999627</v>
      </c>
      <c r="N34" s="33" t="s">
        <v>113</v>
      </c>
    </row>
    <row r="35" spans="1:14" x14ac:dyDescent="0.2">
      <c r="A35" s="18" t="s">
        <v>47</v>
      </c>
      <c r="B35" s="23">
        <f>'BRN MO'!D34+'CAL MO'!D34+'NA MO'!D34</f>
        <v>18282</v>
      </c>
      <c r="C35" s="23">
        <f>'BRN MO'!D104+'CAL MO'!D104+'NA MO'!D104</f>
        <v>10025</v>
      </c>
      <c r="D35" s="23">
        <f t="shared" si="0"/>
        <v>-8257</v>
      </c>
      <c r="F35" s="23">
        <f>'BRN YTD'!D34+'CAL YTD'!D34+'NA YTD'!D34</f>
        <v>74172</v>
      </c>
      <c r="G35" s="23">
        <f>'BRN YTD'!D104+'CAL YTD'!D104+'NA YTD'!D104</f>
        <v>30075</v>
      </c>
      <c r="H35" s="23">
        <f t="shared" si="1"/>
        <v>-44097</v>
      </c>
      <c r="I35" s="26"/>
      <c r="J35" s="23">
        <f>+'BRN Summ'!J35+'CAL Summ'!J35+'NA Summ'!J35</f>
        <v>169632.53</v>
      </c>
      <c r="K35" s="23">
        <f>+'BRN Summ'!K35+'CAL Summ'!K35+'NA Summ'!K35</f>
        <v>120300</v>
      </c>
      <c r="L35" s="23">
        <f t="shared" si="2"/>
        <v>-49332.53</v>
      </c>
      <c r="N35" s="33" t="s">
        <v>110</v>
      </c>
    </row>
    <row r="36" spans="1:14" x14ac:dyDescent="0.2">
      <c r="A36" s="18" t="s">
        <v>2</v>
      </c>
      <c r="B36" s="23">
        <f>'BRN MO'!D35+'CAL MO'!D35+'NA MO'!D35</f>
        <v>214326.53999999998</v>
      </c>
      <c r="C36" s="23">
        <f>'BRN MO'!D105+'CAL MO'!D105+'NA MO'!D105</f>
        <v>67501</v>
      </c>
      <c r="D36" s="23">
        <f t="shared" si="0"/>
        <v>-146825.53999999998</v>
      </c>
      <c r="F36" s="23">
        <f>'BRN YTD'!D35+'CAL YTD'!D35+'NA YTD'!D35</f>
        <v>317768.53999999998</v>
      </c>
      <c r="G36" s="23">
        <f>'BRN YTD'!D105+'CAL YTD'!D105+'NA YTD'!D105</f>
        <v>202503</v>
      </c>
      <c r="H36" s="23">
        <f t="shared" si="1"/>
        <v>-115265.53999999998</v>
      </c>
      <c r="I36" s="26"/>
      <c r="J36" s="23">
        <f>+'BRN Summ'!J36+'CAL Summ'!J36+'NA Summ'!J36</f>
        <v>1095335.75</v>
      </c>
      <c r="K36" s="23">
        <f>+'BRN Summ'!K36+'CAL Summ'!K36+'NA Summ'!K36</f>
        <v>826198</v>
      </c>
      <c r="L36" s="23">
        <f t="shared" si="2"/>
        <v>-269137.75</v>
      </c>
      <c r="N36" s="33" t="s">
        <v>124</v>
      </c>
    </row>
    <row r="37" spans="1:14" x14ac:dyDescent="0.2">
      <c r="A37" s="18" t="s">
        <v>95</v>
      </c>
      <c r="B37" s="23">
        <f>'BRN MO'!D36+'CAL MO'!D36+'NA MO'!D36</f>
        <v>0</v>
      </c>
      <c r="C37" s="23">
        <f>'BRN MO'!D106+'CAL MO'!D106+'NA MO'!D106</f>
        <v>0</v>
      </c>
      <c r="D37" s="23">
        <f t="shared" si="0"/>
        <v>0</v>
      </c>
      <c r="F37" s="23">
        <f>'BRN YTD'!D36+'CAL YTD'!D36+'NA YTD'!D36</f>
        <v>0</v>
      </c>
      <c r="G37" s="23">
        <f>'BRN YTD'!D106+'CAL YTD'!D106+'NA YTD'!D106</f>
        <v>0</v>
      </c>
      <c r="H37" s="23">
        <f t="shared" si="1"/>
        <v>0</v>
      </c>
      <c r="I37" s="26"/>
      <c r="J37" s="23">
        <f>+'BRN Summ'!J37+'CAL Summ'!J37+'NA Summ'!J37</f>
        <v>0</v>
      </c>
      <c r="K37" s="23">
        <f>+'BRN Summ'!K37+'CAL Summ'!K37+'NA Summ'!K37</f>
        <v>0</v>
      </c>
      <c r="L37" s="23">
        <f t="shared" si="2"/>
        <v>0</v>
      </c>
      <c r="N37" s="31"/>
    </row>
    <row r="38" spans="1:14" x14ac:dyDescent="0.2">
      <c r="A38" s="18" t="s">
        <v>72</v>
      </c>
      <c r="B38" s="23">
        <f>'BRN MO'!D37+'CAL MO'!D37+'NA MO'!D37</f>
        <v>42</v>
      </c>
      <c r="C38" s="23">
        <f>'BRN MO'!D107+'CAL MO'!D107+'NA MO'!D107</f>
        <v>438</v>
      </c>
      <c r="D38" s="23">
        <f t="shared" si="0"/>
        <v>396</v>
      </c>
      <c r="F38" s="23">
        <f>'BRN YTD'!D37+'CAL YTD'!D37+'NA YTD'!D37</f>
        <v>548</v>
      </c>
      <c r="G38" s="23">
        <f>'BRN YTD'!D107+'CAL YTD'!D107+'NA YTD'!D107</f>
        <v>1314</v>
      </c>
      <c r="H38" s="23">
        <f t="shared" si="1"/>
        <v>766</v>
      </c>
      <c r="I38" s="26"/>
      <c r="J38" s="23">
        <f>+'BRN Summ'!J38+'CAL Summ'!J38+'NA Summ'!J38</f>
        <v>4046</v>
      </c>
      <c r="K38" s="23">
        <f>+'BRN Summ'!K38+'CAL Summ'!K38+'NA Summ'!K38</f>
        <v>5250</v>
      </c>
      <c r="L38" s="23">
        <f t="shared" si="2"/>
        <v>1204</v>
      </c>
      <c r="N38" s="31"/>
    </row>
    <row r="39" spans="1:14" x14ac:dyDescent="0.2">
      <c r="A39" s="18" t="s">
        <v>48</v>
      </c>
      <c r="B39" s="23">
        <f>'BRN MO'!D38+'CAL MO'!D38+'NA MO'!D38</f>
        <v>54100.78</v>
      </c>
      <c r="C39" s="23">
        <f>'BRN MO'!D108+'CAL MO'!D108+'NA MO'!D108</f>
        <v>33429</v>
      </c>
      <c r="D39" s="23">
        <f t="shared" si="0"/>
        <v>-20671.78</v>
      </c>
      <c r="F39" s="23">
        <f>'BRN YTD'!D38+'CAL YTD'!D38+'NA YTD'!D38</f>
        <v>97886.78</v>
      </c>
      <c r="G39" s="23">
        <f>'BRN YTD'!D108+'CAL YTD'!D108+'NA YTD'!D108</f>
        <v>100287</v>
      </c>
      <c r="H39" s="23">
        <f t="shared" si="1"/>
        <v>2400.2200000000012</v>
      </c>
      <c r="I39" s="26"/>
      <c r="J39" s="23">
        <f>+'BRN Summ'!J39+'CAL Summ'!J39+'NA Summ'!J39</f>
        <v>575732.24</v>
      </c>
      <c r="K39" s="23">
        <f>+'BRN Summ'!K39+'CAL Summ'!K39+'NA Summ'!K39</f>
        <v>585000</v>
      </c>
      <c r="L39" s="23">
        <f t="shared" si="2"/>
        <v>9267.7600000000093</v>
      </c>
      <c r="N39" s="31"/>
    </row>
    <row r="40" spans="1:14" x14ac:dyDescent="0.2">
      <c r="A40" s="18" t="s">
        <v>74</v>
      </c>
      <c r="B40" s="23">
        <f>'BRN MO'!D39+'CAL MO'!D39+'NA MO'!D39</f>
        <v>42200.26</v>
      </c>
      <c r="C40" s="23">
        <f>'BRN MO'!D109+'CAL MO'!D109+'NA MO'!D109</f>
        <v>629</v>
      </c>
      <c r="D40" s="23">
        <f t="shared" si="0"/>
        <v>-41571.26</v>
      </c>
      <c r="F40" s="23">
        <f>'BRN YTD'!D39+'CAL YTD'!D39+'NA YTD'!D39</f>
        <v>42809.26</v>
      </c>
      <c r="G40" s="23">
        <f>'BRN YTD'!D109+'CAL YTD'!D109+'NA YTD'!D109</f>
        <v>1887</v>
      </c>
      <c r="H40" s="23">
        <f t="shared" si="1"/>
        <v>-40922.26</v>
      </c>
      <c r="I40" s="26"/>
      <c r="J40" s="23">
        <f>+'BRN Summ'!J40+'CAL Summ'!J40+'NA Summ'!J40</f>
        <v>61646.83</v>
      </c>
      <c r="K40" s="23">
        <f>+'BRN Summ'!K40+'CAL Summ'!K40+'NA Summ'!K40</f>
        <v>11000</v>
      </c>
      <c r="L40" s="23">
        <f t="shared" si="2"/>
        <v>-50646.83</v>
      </c>
      <c r="N40" s="33" t="s">
        <v>112</v>
      </c>
    </row>
    <row r="41" spans="1:14" x14ac:dyDescent="0.2">
      <c r="A41" s="18" t="s">
        <v>96</v>
      </c>
      <c r="B41" s="23">
        <f>'BRN MO'!D40+'CAL MO'!D40+'NA MO'!D40</f>
        <v>51366</v>
      </c>
      <c r="C41" s="23">
        <f>'BRN MO'!D110+'CAL MO'!D110+'NA MO'!D110</f>
        <v>0</v>
      </c>
      <c r="D41" s="23">
        <f t="shared" si="0"/>
        <v>-51366</v>
      </c>
      <c r="F41" s="23">
        <f>'BRN YTD'!D40+'CAL YTD'!D40+'NA YTD'!D40</f>
        <v>97394</v>
      </c>
      <c r="G41" s="23">
        <f>'BRN YTD'!D110+'CAL YTD'!D110+'NA YTD'!D110</f>
        <v>0</v>
      </c>
      <c r="H41" s="23">
        <f t="shared" si="1"/>
        <v>-97394</v>
      </c>
      <c r="I41" s="26"/>
      <c r="J41" s="23">
        <f>+'BRN Summ'!J41+'CAL Summ'!J41+'NA Summ'!J41</f>
        <v>148921.91999999998</v>
      </c>
      <c r="K41" s="23">
        <f>+'BRN Summ'!K41+'CAL Summ'!K41+'NA Summ'!K41</f>
        <v>0</v>
      </c>
      <c r="L41" s="23">
        <f t="shared" si="2"/>
        <v>-148921.91999999998</v>
      </c>
      <c r="N41" s="33" t="s">
        <v>107</v>
      </c>
    </row>
    <row r="42" spans="1:14" x14ac:dyDescent="0.2">
      <c r="A42" s="18"/>
      <c r="I42" s="26"/>
      <c r="N42" s="31"/>
    </row>
    <row r="43" spans="1:14" x14ac:dyDescent="0.2">
      <c r="A43" s="19" t="s">
        <v>28</v>
      </c>
      <c r="B43" s="27">
        <f>+'BRN Summ'!B43+'CAL Summ'!B43+'NA Summ'!B43</f>
        <v>742931</v>
      </c>
      <c r="C43" s="27">
        <f>+'BRN Summ'!C43+'CAL Summ'!C43+'NA Summ'!C43</f>
        <v>378331</v>
      </c>
      <c r="D43" s="27">
        <f>+C43-B43</f>
        <v>-364600</v>
      </c>
      <c r="F43" s="27">
        <f>+'BRN Summ'!F43+'CAL Summ'!F43+'NA Summ'!F43</f>
        <v>1457557</v>
      </c>
      <c r="G43" s="27">
        <f>+'BRN Summ'!G43+'CAL Summ'!G43+'NA Summ'!G43</f>
        <v>1044993</v>
      </c>
      <c r="H43" s="27">
        <f>+G43-F43</f>
        <v>-412564</v>
      </c>
      <c r="I43" s="26"/>
      <c r="J43" s="27">
        <f>+'BRN Summ'!J43+'CAL Summ'!J43+'NA Summ'!J43</f>
        <v>6063430.0899999999</v>
      </c>
      <c r="K43" s="27">
        <f>+'BRN Summ'!K43+'CAL Summ'!K43+'NA Summ'!K43</f>
        <v>4996806</v>
      </c>
      <c r="L43" s="27">
        <f>+K43-J43</f>
        <v>-1066624.0899999999</v>
      </c>
      <c r="N43" s="30" t="s">
        <v>104</v>
      </c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  <c r="N44" s="31"/>
    </row>
    <row r="45" spans="1:14" x14ac:dyDescent="0.2">
      <c r="A45" s="17" t="s">
        <v>29</v>
      </c>
      <c r="B45" s="25">
        <f>+'BRN Summ'!B45+'CAL Summ'!B45+'NA Summ'!B45</f>
        <v>48456</v>
      </c>
      <c r="C45" s="25">
        <f>+'BRN Summ'!C45+'CAL Summ'!C45+'NA Summ'!C45</f>
        <v>50000</v>
      </c>
      <c r="D45" s="25">
        <f>+C45-B45</f>
        <v>1544</v>
      </c>
      <c r="F45" s="25">
        <f>+'BRN Summ'!F45+'CAL Summ'!F45+'NA Summ'!F45</f>
        <v>157548</v>
      </c>
      <c r="G45" s="25">
        <f>+'BRN Summ'!G45+'CAL Summ'!G45+'NA Summ'!G45</f>
        <v>150000</v>
      </c>
      <c r="H45" s="25">
        <f>+G45-F45</f>
        <v>-7548</v>
      </c>
      <c r="J45" s="25">
        <f>+'BRN Summ'!J45+'CAL Summ'!J45+'NA Summ'!J45</f>
        <v>621057</v>
      </c>
      <c r="K45" s="25">
        <f>+'BRN Summ'!K45+'CAL Summ'!K45+'NA Summ'!K45</f>
        <v>610504.66666666674</v>
      </c>
      <c r="L45" s="25">
        <f>+K45-J45</f>
        <v>-10552.333333333256</v>
      </c>
      <c r="N45" s="30"/>
    </row>
    <row r="46" spans="1:14" x14ac:dyDescent="0.2">
      <c r="A46" s="17"/>
      <c r="N46" s="30"/>
    </row>
    <row r="47" spans="1:14" x14ac:dyDescent="0.2">
      <c r="A47" s="17" t="s">
        <v>30</v>
      </c>
      <c r="B47" s="25">
        <f>+'BRN Summ'!B47+'CAL Summ'!B47+'NA Summ'!B47</f>
        <v>6000</v>
      </c>
      <c r="C47" s="25">
        <f>+'BRN Summ'!C47+'CAL Summ'!C47+'NA Summ'!C47</f>
        <v>150000</v>
      </c>
      <c r="D47" s="25">
        <f>+C47-B47</f>
        <v>144000</v>
      </c>
      <c r="F47" s="25">
        <f>+'BRN Summ'!F47+'CAL Summ'!F47+'NA Summ'!F47</f>
        <v>806000</v>
      </c>
      <c r="G47" s="25">
        <f>+'BRN Summ'!G47+'CAL Summ'!G47+'NA Summ'!G47</f>
        <v>450000</v>
      </c>
      <c r="H47" s="25">
        <f>+G47-F47</f>
        <v>-356000</v>
      </c>
      <c r="J47" s="25">
        <f>+'BRN Summ'!J47+'CAL Summ'!J47+'NA Summ'!J47</f>
        <v>3006000</v>
      </c>
      <c r="K47" s="25">
        <f>+'BRN Summ'!K47+'CAL Summ'!K47+'NA Summ'!K47</f>
        <v>1800000</v>
      </c>
      <c r="L47" s="25">
        <f>+K47-J47</f>
        <v>-1206000</v>
      </c>
      <c r="N47" s="33" t="s">
        <v>127</v>
      </c>
    </row>
    <row r="48" spans="1:14" x14ac:dyDescent="0.2">
      <c r="A48" s="17"/>
      <c r="N48" s="31"/>
    </row>
    <row r="49" spans="1:14" ht="13.5" thickBot="1" x14ac:dyDescent="0.25">
      <c r="A49" s="4" t="s">
        <v>16</v>
      </c>
      <c r="B49" s="24">
        <f>+'BRN Summ'!B49+'CAL Summ'!B49+'NA Summ'!B49</f>
        <v>797387</v>
      </c>
      <c r="C49" s="24">
        <f>+'BRN Summ'!C49+'CAL Summ'!C49+'NA Summ'!C49</f>
        <v>578331</v>
      </c>
      <c r="D49" s="24">
        <f>+C49-B49</f>
        <v>-219056</v>
      </c>
      <c r="F49" s="24">
        <f>+'BRN Summ'!F49+'CAL Summ'!F49+'NA Summ'!F49</f>
        <v>2421105</v>
      </c>
      <c r="G49" s="24">
        <f>+'BRN Summ'!G49+'CAL Summ'!G49+'NA Summ'!G49</f>
        <v>1644993</v>
      </c>
      <c r="H49" s="24">
        <f>+G49-F49</f>
        <v>-776112</v>
      </c>
      <c r="J49" s="24">
        <f>+'BRN Summ'!J49+'CAL Summ'!J49+'NA Summ'!J49</f>
        <v>9690487.0899999999</v>
      </c>
      <c r="K49" s="24">
        <f>+'BRN Summ'!K49+'CAL Summ'!K49+'NA Summ'!K49</f>
        <v>7407310.666666666</v>
      </c>
      <c r="L49" s="24">
        <f>+K49-J49</f>
        <v>-2283176.4233333338</v>
      </c>
      <c r="N49" s="31"/>
    </row>
    <row r="50" spans="1:14" x14ac:dyDescent="0.2">
      <c r="A50" s="1"/>
      <c r="N50" s="33"/>
    </row>
    <row r="51" spans="1:14" x14ac:dyDescent="0.2">
      <c r="A51" s="1" t="s">
        <v>11</v>
      </c>
      <c r="N51" s="33"/>
    </row>
    <row r="52" spans="1:14" x14ac:dyDescent="0.2">
      <c r="A52" s="3" t="s">
        <v>0</v>
      </c>
      <c r="B52" s="23">
        <f>+'BRN Summ'!B52+'CAL Summ'!B52+'NA Summ'!B52</f>
        <v>73276</v>
      </c>
      <c r="C52" s="23">
        <f>+'BRN Summ'!C52+'CAL Summ'!C52+'NA Summ'!C52</f>
        <v>60847.5</v>
      </c>
      <c r="D52" s="23">
        <f t="shared" ref="D52:D59" si="3">+C52-B52</f>
        <v>-12428.5</v>
      </c>
      <c r="F52" s="23">
        <f>+'BRN Summ'!F52+'CAL Summ'!F52+'NA Summ'!F52</f>
        <v>179828</v>
      </c>
      <c r="G52" s="23">
        <f>+'BRN Summ'!G52+'CAL Summ'!G52+'NA Summ'!G52</f>
        <v>182542.5</v>
      </c>
      <c r="H52" s="23">
        <f t="shared" ref="H52:H59" si="4">+G52-F52</f>
        <v>2714.5</v>
      </c>
      <c r="J52" s="23">
        <f>+'BRN Summ'!J52+'CAL Summ'!J52+'NA Summ'!J52</f>
        <v>816071</v>
      </c>
      <c r="K52" s="23">
        <f>+'BRN Summ'!K52+'CAL Summ'!K52+'NA Summ'!K52</f>
        <v>742942.08333333337</v>
      </c>
      <c r="L52" s="23">
        <f t="shared" ref="L52:L57" si="5">+K52-J52</f>
        <v>-73128.916666666628</v>
      </c>
      <c r="N52" s="33" t="s">
        <v>83</v>
      </c>
    </row>
    <row r="53" spans="1:14" x14ac:dyDescent="0.2">
      <c r="A53" s="3" t="s">
        <v>1</v>
      </c>
      <c r="B53" s="23">
        <f>+'BRN Summ'!B53+'CAL Summ'!B53+'NA Summ'!B53</f>
        <v>117437</v>
      </c>
      <c r="C53" s="23">
        <f>+'BRN Summ'!C53+'CAL Summ'!C53+'NA Summ'!C53</f>
        <v>0</v>
      </c>
      <c r="D53" s="23">
        <f t="shared" si="3"/>
        <v>-117437</v>
      </c>
      <c r="F53" s="23">
        <f>+'BRN Summ'!F53+'CAL Summ'!F53+'NA Summ'!F53</f>
        <v>349074</v>
      </c>
      <c r="G53" s="23">
        <f>+'BRN Summ'!G53+'CAL Summ'!G53+'NA Summ'!G53</f>
        <v>0</v>
      </c>
      <c r="H53" s="23">
        <f t="shared" si="4"/>
        <v>-349074</v>
      </c>
      <c r="I53" s="26"/>
      <c r="J53" s="23">
        <f>+'BRN Summ'!J53+'CAL Summ'!J53+'NA Summ'!J53</f>
        <v>1330000</v>
      </c>
      <c r="K53" s="23">
        <f>+'BRN Summ'!K53+'CAL Summ'!K53+'NA Summ'!K53</f>
        <v>801967.25</v>
      </c>
      <c r="L53" s="23">
        <f t="shared" si="5"/>
        <v>-528032.75</v>
      </c>
      <c r="N53" s="33" t="s">
        <v>84</v>
      </c>
    </row>
    <row r="54" spans="1:14" x14ac:dyDescent="0.2">
      <c r="A54" s="3" t="s">
        <v>3</v>
      </c>
      <c r="B54" s="23">
        <f>+'BRN Summ'!B54+'CAL Summ'!B54+'NA Summ'!B54</f>
        <v>0</v>
      </c>
      <c r="C54" s="23">
        <f>+'BRN Summ'!C54+'CAL Summ'!C54+'NA Summ'!C54</f>
        <v>25000</v>
      </c>
      <c r="D54" s="23">
        <f t="shared" si="3"/>
        <v>25000</v>
      </c>
      <c r="F54" s="23">
        <f>+'BRN Summ'!F54+'CAL Summ'!F54+'NA Summ'!F54</f>
        <v>0</v>
      </c>
      <c r="G54" s="23">
        <f>+'BRN Summ'!G54+'CAL Summ'!G54+'NA Summ'!G54</f>
        <v>75000</v>
      </c>
      <c r="H54" s="23">
        <f t="shared" si="4"/>
        <v>75000</v>
      </c>
      <c r="I54" s="26"/>
      <c r="J54" s="23">
        <f>+'BRN Summ'!J54+'CAL Summ'!J54+'NA Summ'!J54</f>
        <v>205250</v>
      </c>
      <c r="K54" s="23">
        <f>+'BRN Summ'!K54+'CAL Summ'!K54+'NA Summ'!K54</f>
        <v>305250</v>
      </c>
      <c r="L54" s="23">
        <f t="shared" si="5"/>
        <v>100000</v>
      </c>
    </row>
    <row r="55" spans="1:14" x14ac:dyDescent="0.2">
      <c r="A55" s="3" t="s">
        <v>4</v>
      </c>
      <c r="B55" s="23">
        <f>+'BRN Summ'!B55+'CAL Summ'!B55+'NA Summ'!B55</f>
        <v>0</v>
      </c>
      <c r="C55" s="23">
        <f>+'BRN Summ'!C55+'CAL Summ'!C55+'NA Summ'!C55</f>
        <v>7500</v>
      </c>
      <c r="D55" s="23">
        <f t="shared" si="3"/>
        <v>7500</v>
      </c>
      <c r="F55" s="23">
        <f>+'BRN Summ'!F55+'CAL Summ'!F55+'NA Summ'!F55</f>
        <v>0</v>
      </c>
      <c r="G55" s="23">
        <f>+'BRN Summ'!G55+'CAL Summ'!G55+'NA Summ'!G55</f>
        <v>22500</v>
      </c>
      <c r="H55" s="23">
        <f t="shared" si="4"/>
        <v>22500</v>
      </c>
      <c r="J55" s="23">
        <f>+'BRN Summ'!J55+'CAL Summ'!J55+'NA Summ'!J55</f>
        <v>61575</v>
      </c>
      <c r="K55" s="23">
        <f>+'BRN Summ'!K55+'CAL Summ'!K55+'NA Summ'!K55</f>
        <v>91575</v>
      </c>
      <c r="L55" s="23">
        <f t="shared" si="5"/>
        <v>30000</v>
      </c>
    </row>
    <row r="56" spans="1:14" x14ac:dyDescent="0.2">
      <c r="A56" s="3" t="s">
        <v>5</v>
      </c>
      <c r="B56" s="23">
        <f>+'BRN Summ'!B56+'CAL Summ'!B56+'NA Summ'!B56</f>
        <v>-74740</v>
      </c>
      <c r="C56" s="23">
        <f>+'BRN Summ'!C56+'CAL Summ'!C56+'NA Summ'!C56</f>
        <v>18750</v>
      </c>
      <c r="D56" s="23">
        <f t="shared" si="3"/>
        <v>93490</v>
      </c>
      <c r="F56" s="23">
        <f>+'BRN Summ'!F56+'CAL Summ'!F56+'NA Summ'!F56</f>
        <v>-65977</v>
      </c>
      <c r="G56" s="23">
        <f>+'BRN Summ'!G56+'CAL Summ'!G56+'NA Summ'!G56</f>
        <v>56250</v>
      </c>
      <c r="H56" s="23">
        <f t="shared" si="4"/>
        <v>122227</v>
      </c>
      <c r="I56" s="26"/>
      <c r="J56" s="23">
        <f>+'BRN Summ'!J56+'CAL Summ'!J56+'NA Summ'!J56</f>
        <v>122492</v>
      </c>
      <c r="K56" s="23">
        <f>+'BRN Summ'!K56+'CAL Summ'!K56+'NA Summ'!K56</f>
        <v>229246</v>
      </c>
      <c r="L56" s="23">
        <f t="shared" si="5"/>
        <v>106754</v>
      </c>
    </row>
    <row r="57" spans="1:14" x14ac:dyDescent="0.2">
      <c r="A57" s="3" t="s">
        <v>14</v>
      </c>
      <c r="B57" s="23">
        <f>+'BRN Summ'!B57+'CAL Summ'!B57+'NA Summ'!B57</f>
        <v>0</v>
      </c>
      <c r="C57" s="23">
        <f>+'BRN Summ'!C57+'CAL Summ'!C57+'NA Summ'!C57</f>
        <v>0</v>
      </c>
      <c r="D57" s="23">
        <f t="shared" si="3"/>
        <v>0</v>
      </c>
      <c r="F57" s="23">
        <f>+'BRN Summ'!F57+'CAL Summ'!F57+'NA Summ'!F57</f>
        <v>0</v>
      </c>
      <c r="G57" s="23">
        <f>+'BRN Summ'!G57+'CAL Summ'!G57+'NA Summ'!G57</f>
        <v>0</v>
      </c>
      <c r="H57" s="23">
        <f t="shared" si="4"/>
        <v>0</v>
      </c>
      <c r="J57" s="23">
        <f>+'BRN Summ'!J57+'CAL Summ'!J57+'NA Summ'!J57</f>
        <v>0</v>
      </c>
      <c r="K57" s="23">
        <f>+'BRN Summ'!K57+'CAL Summ'!K57+'NA Summ'!K57</f>
        <v>0</v>
      </c>
      <c r="L57" s="23">
        <f t="shared" si="5"/>
        <v>0</v>
      </c>
    </row>
    <row r="58" spans="1:14" x14ac:dyDescent="0.2">
      <c r="A58" s="3"/>
      <c r="B58" s="23">
        <f>+'BRN Summ'!B58+'CAL Summ'!B58+'NA Summ'!B58</f>
        <v>0</v>
      </c>
      <c r="C58" s="23">
        <f>+'BRN Summ'!C58+'CAL Summ'!C58+'NA Summ'!C58</f>
        <v>0</v>
      </c>
      <c r="D58" s="23">
        <f t="shared" si="3"/>
        <v>0</v>
      </c>
      <c r="F58" s="23">
        <f>+'BRN Summ'!F58+'CAL Summ'!F58+'NA Summ'!F58</f>
        <v>0</v>
      </c>
      <c r="G58" s="23">
        <f>+'BRN Summ'!G58+'CAL Summ'!G58+'NA Summ'!G58</f>
        <v>0</v>
      </c>
      <c r="H58" s="23">
        <f t="shared" si="4"/>
        <v>0</v>
      </c>
      <c r="I58" s="26"/>
    </row>
    <row r="59" spans="1:14" ht="13.5" thickBot="1" x14ac:dyDescent="0.25">
      <c r="A59" s="4" t="s">
        <v>15</v>
      </c>
      <c r="B59" s="28">
        <f>+'BRN Summ'!B59+'CAL Summ'!B59+'NA Summ'!B59</f>
        <v>115973</v>
      </c>
      <c r="C59" s="28">
        <f>+'BRN Summ'!C59+'CAL Summ'!C59+'NA Summ'!C59</f>
        <v>112097.5</v>
      </c>
      <c r="D59" s="28">
        <f t="shared" si="3"/>
        <v>-3875.5</v>
      </c>
      <c r="F59" s="28">
        <f>+'BRN Summ'!F59+'CAL Summ'!F59+'NA Summ'!F59</f>
        <v>462925</v>
      </c>
      <c r="G59" s="28">
        <f>+'BRN Summ'!G59+'CAL Summ'!G59+'NA Summ'!G59</f>
        <v>336292.5</v>
      </c>
      <c r="H59" s="28">
        <f t="shared" si="4"/>
        <v>-126632.5</v>
      </c>
      <c r="J59" s="28">
        <f>+'BRN Summ'!J59+'CAL Summ'!J59+'NA Summ'!J59</f>
        <v>2535388</v>
      </c>
      <c r="K59" s="28">
        <f>+'BRN Summ'!K59+'CAL Summ'!K59+'NA Summ'!K59</f>
        <v>2170980.3333333335</v>
      </c>
      <c r="L59" s="28">
        <f>+K59-J59</f>
        <v>-364407.66666666651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f>+'BRN Summ'!B62+'CAL Summ'!B62+'NA Summ'!B62</f>
        <v>0</v>
      </c>
      <c r="C62" s="23">
        <f>+'BRN Summ'!C62+'CAL Summ'!C62+'NA Summ'!C62</f>
        <v>0</v>
      </c>
      <c r="D62" s="23">
        <f>+C62-B62</f>
        <v>0</v>
      </c>
      <c r="F62" s="23">
        <f>+'BRN Summ'!F62+'CAL Summ'!F62+'NA Summ'!F62</f>
        <v>0</v>
      </c>
      <c r="G62" s="23">
        <f>+'BRN Summ'!G62+'CAL Summ'!G62+'NA Summ'!G62</f>
        <v>0</v>
      </c>
      <c r="H62" s="23">
        <f>+G62-F62</f>
        <v>0</v>
      </c>
      <c r="J62" s="23">
        <f>+'BRN Summ'!J62+'CAL Summ'!J62+'NA Summ'!J62</f>
        <v>0</v>
      </c>
      <c r="K62" s="23">
        <f>+'BRN Summ'!K62+'CAL Summ'!K62+'NA Summ'!K62</f>
        <v>0</v>
      </c>
      <c r="L62" s="23">
        <f>+K62-J62</f>
        <v>0</v>
      </c>
      <c r="N62" s="33"/>
    </row>
    <row r="63" spans="1:14" x14ac:dyDescent="0.2">
      <c r="A63" s="3" t="s">
        <v>7</v>
      </c>
      <c r="B63" s="23">
        <f>+'BRN Summ'!B63+'CAL Summ'!B63+'NA Summ'!B63</f>
        <v>1458342</v>
      </c>
      <c r="C63" s="23">
        <f>+'BRN Summ'!C63+'CAL Summ'!C63+'NA Summ'!C63</f>
        <v>1937000</v>
      </c>
      <c r="D63" s="23">
        <f>+C63-B63</f>
        <v>478658</v>
      </c>
      <c r="F63" s="23">
        <f>+'BRN Summ'!F63+'CAL Summ'!F63+'NA Summ'!F63</f>
        <v>5251938</v>
      </c>
      <c r="G63" s="23">
        <f>+'BRN Summ'!G63+'CAL Summ'!G63+'NA Summ'!G63</f>
        <v>5730000</v>
      </c>
      <c r="H63" s="23">
        <f>+G63-F63</f>
        <v>478062</v>
      </c>
      <c r="J63" s="23">
        <f>+'BRN Summ'!J63+'CAL Summ'!J63+'NA Summ'!J63</f>
        <v>18898782.462500963</v>
      </c>
      <c r="K63" s="23">
        <f>+'BRN Summ'!K63+'CAL Summ'!K63+'NA Summ'!K63</f>
        <v>23108000</v>
      </c>
      <c r="L63" s="23">
        <f>+K63-J63</f>
        <v>4209217.5374990366</v>
      </c>
      <c r="N63" s="30"/>
    </row>
    <row r="64" spans="1:14" x14ac:dyDescent="0.2">
      <c r="A64" s="3" t="s">
        <v>8</v>
      </c>
      <c r="B64" s="23">
        <f>+'BRN Summ'!B64+'CAL Summ'!B64+'NA Summ'!B64</f>
        <v>1065094</v>
      </c>
      <c r="C64" s="23">
        <f>+'BRN Summ'!C64+'CAL Summ'!C64+'NA Summ'!C64</f>
        <v>1061000</v>
      </c>
      <c r="D64" s="23">
        <f>+C64-B64</f>
        <v>-4094</v>
      </c>
      <c r="F64" s="23">
        <f>+'BRN Summ'!F64+'CAL Summ'!F64+'NA Summ'!F64</f>
        <v>3203041</v>
      </c>
      <c r="G64" s="23">
        <f>+'BRN Summ'!G64+'CAL Summ'!G64+'NA Summ'!G64</f>
        <v>3183000</v>
      </c>
      <c r="H64" s="23">
        <f>+G64-F64</f>
        <v>-20041</v>
      </c>
      <c r="J64" s="23">
        <f>+'BRN Summ'!J64+'CAL Summ'!J64+'NA Summ'!J64</f>
        <v>12885034</v>
      </c>
      <c r="K64" s="23">
        <f>+'BRN Summ'!K64+'CAL Summ'!K64+'NA Summ'!K64</f>
        <v>12731000</v>
      </c>
      <c r="L64" s="23">
        <f>+K64-J64</f>
        <v>-154034</v>
      </c>
      <c r="N64" s="30" t="s">
        <v>86</v>
      </c>
    </row>
    <row r="65" spans="1:14" x14ac:dyDescent="0.2">
      <c r="A65" s="3"/>
      <c r="B65" s="23">
        <f>+'BRN Summ'!B65+'CAL Summ'!B65+'NA Summ'!B65</f>
        <v>0</v>
      </c>
      <c r="C65" s="23">
        <f>+'BRN Summ'!C65+'CAL Summ'!C65+'NA Summ'!C65</f>
        <v>0</v>
      </c>
      <c r="D65" s="23">
        <f>+C65-B65</f>
        <v>0</v>
      </c>
      <c r="F65" s="23">
        <f>+'BRN Summ'!F65+'CAL Summ'!F65+'NA Summ'!F65</f>
        <v>0</v>
      </c>
      <c r="G65" s="23">
        <f>+'BRN Summ'!G65+'CAL Summ'!G65+'NA Summ'!G65</f>
        <v>0</v>
      </c>
      <c r="H65" s="23">
        <f>+G65-F65</f>
        <v>0</v>
      </c>
      <c r="J65" s="23">
        <f>+'BRN Summ'!J65+'CAL Summ'!J65+'NA Summ'!J65</f>
        <v>0</v>
      </c>
      <c r="K65" s="23">
        <f>+'BRN Summ'!K65+'CAL Summ'!K65+'NA Summ'!K65</f>
        <v>0</v>
      </c>
      <c r="L65" s="23">
        <f>+K65-J65</f>
        <v>0</v>
      </c>
    </row>
    <row r="66" spans="1:14" ht="13.5" thickBot="1" x14ac:dyDescent="0.25">
      <c r="A66" s="4" t="s">
        <v>17</v>
      </c>
      <c r="B66" s="28">
        <f>+'BRN Summ'!B66+'CAL Summ'!B66+'NA Summ'!B66</f>
        <v>2523436</v>
      </c>
      <c r="C66" s="28">
        <f>+'BRN Summ'!C66+'CAL Summ'!C66+'NA Summ'!C66</f>
        <v>2998000</v>
      </c>
      <c r="D66" s="28">
        <f>+C66-B66</f>
        <v>474564</v>
      </c>
      <c r="F66" s="28">
        <f>+'BRN Summ'!F66+'CAL Summ'!F66+'NA Summ'!F66</f>
        <v>8454979</v>
      </c>
      <c r="G66" s="28">
        <f>+'BRN Summ'!G66+'CAL Summ'!G66+'NA Summ'!G66</f>
        <v>8913000</v>
      </c>
      <c r="H66" s="28">
        <f>+G66-F66</f>
        <v>458021</v>
      </c>
      <c r="J66" s="28">
        <f>+'BRN Summ'!J66+'CAL Summ'!J66+'NA Summ'!J66</f>
        <v>31783816.462500963</v>
      </c>
      <c r="K66" s="28">
        <f>+'BRN Summ'!K66+'CAL Summ'!K66+'NA Summ'!K66</f>
        <v>35839000</v>
      </c>
      <c r="L66" s="28">
        <f>+K66-J66</f>
        <v>4055183.5374990366</v>
      </c>
    </row>
    <row r="68" spans="1:14" ht="13.5" thickBot="1" x14ac:dyDescent="0.25">
      <c r="A68" s="1" t="s">
        <v>81</v>
      </c>
      <c r="B68" s="29">
        <f>+'BRN Summ'!B68+'CAL Summ'!B68+'NA Summ'!B68</f>
        <v>3436796</v>
      </c>
      <c r="C68" s="29">
        <f>+'BRN Summ'!C68+'CAL Summ'!C68+'NA Summ'!C68</f>
        <v>3688428.5</v>
      </c>
      <c r="D68" s="29">
        <f>+C68-B68</f>
        <v>251632.5</v>
      </c>
      <c r="F68" s="29">
        <f>+'BRN Summ'!F68+'CAL Summ'!F68+'NA Summ'!F68</f>
        <v>11339009</v>
      </c>
      <c r="G68" s="29">
        <f>+'BRN Summ'!G68+'CAL Summ'!G68+'NA Summ'!G68</f>
        <v>10894285.5</v>
      </c>
      <c r="H68" s="29">
        <f>+G68-F68</f>
        <v>-444723.5</v>
      </c>
      <c r="J68" s="29">
        <f>+'BRN Summ'!J68+'CAL Summ'!J68+'NA Summ'!J68</f>
        <v>44009691.552500963</v>
      </c>
      <c r="K68" s="29">
        <f>+'BRN Summ'!K68+'CAL Summ'!K68+'NA Summ'!K68</f>
        <v>45417291</v>
      </c>
      <c r="L68" s="29">
        <f>+K68-J68</f>
        <v>1407599.4474990368</v>
      </c>
    </row>
    <row r="69" spans="1:14" ht="13.5" thickTop="1" x14ac:dyDescent="0.2">
      <c r="A69" s="1"/>
    </row>
    <row r="70" spans="1:14" x14ac:dyDescent="0.2">
      <c r="A70" s="38" t="s">
        <v>82</v>
      </c>
      <c r="B70" s="23">
        <f>'BRN MO'!D68+'CAL MO'!D68+'NA MO'!D68</f>
        <v>3526035</v>
      </c>
      <c r="C70" s="31"/>
      <c r="D70" s="31"/>
      <c r="F70" s="23">
        <f>4598207+3273229+3526034</f>
        <v>11397470</v>
      </c>
      <c r="G70" s="31"/>
      <c r="H70" s="31"/>
      <c r="K70" s="31"/>
      <c r="L70" s="31"/>
    </row>
    <row r="72" spans="1:14" x14ac:dyDescent="0.2">
      <c r="A72" t="s">
        <v>27</v>
      </c>
      <c r="B72" s="23">
        <f>B68-B70</f>
        <v>-89239</v>
      </c>
      <c r="F72" s="23">
        <f>F68-F70</f>
        <v>-58461</v>
      </c>
      <c r="N72" s="30" t="s">
        <v>105</v>
      </c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" top="0.5" bottom="0.2" header="0.5" footer="0.2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E10" activePane="bottomRight" state="frozen"/>
      <selection activeCell="B7" sqref="B7:D7"/>
      <selection pane="topRight" activeCell="B7" sqref="B7:D7"/>
      <selection pane="bottomLeft" activeCell="B7" sqref="B7:D7"/>
      <selection pane="bottomRight" activeCell="J20" sqref="J20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68.42578125" style="23" bestFit="1" customWidth="1"/>
    <col min="15" max="70" width="8.85546875" style="23" customWidth="1"/>
  </cols>
  <sheetData>
    <row r="1" spans="1:70" s="2" customFormat="1" ht="15.75" x14ac:dyDescent="0.25">
      <c r="A1" s="43" t="str">
        <f>+'BRN MO'!A1:V1</f>
        <v>GENCO - Brownsville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3" t="str">
        <f>+'BRN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36697.489055555554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5" thickBot="1" x14ac:dyDescent="0.25">
      <c r="A11" s="1" t="s">
        <v>9</v>
      </c>
      <c r="B11" s="24">
        <v>0</v>
      </c>
      <c r="C11" s="24">
        <v>0</v>
      </c>
      <c r="D11" s="24">
        <f>+C11-B11</f>
        <v>0</v>
      </c>
      <c r="F11" s="24">
        <v>0</v>
      </c>
      <c r="G11" s="24">
        <v>0</v>
      </c>
      <c r="H11" s="24">
        <f>+G11-F11</f>
        <v>0</v>
      </c>
      <c r="J11" s="24">
        <v>0</v>
      </c>
      <c r="K11" s="24">
        <v>0</v>
      </c>
      <c r="L11" s="24">
        <f>+K11-J11</f>
        <v>0</v>
      </c>
    </row>
    <row r="13" spans="1:70" x14ac:dyDescent="0.2">
      <c r="A13" s="1" t="s">
        <v>10</v>
      </c>
    </row>
    <row r="14" spans="1:70" x14ac:dyDescent="0.2">
      <c r="A14" s="17" t="s">
        <v>49</v>
      </c>
    </row>
    <row r="15" spans="1:70" x14ac:dyDescent="0.2">
      <c r="A15" s="18" t="s">
        <v>87</v>
      </c>
      <c r="B15" s="23">
        <v>0</v>
      </c>
      <c r="C15" s="23">
        <v>0</v>
      </c>
      <c r="D15" s="23">
        <f t="shared" ref="D15:D23" si="0">+C15-B15</f>
        <v>0</v>
      </c>
      <c r="F15" s="23">
        <v>0</v>
      </c>
      <c r="G15" s="23">
        <v>0</v>
      </c>
      <c r="H15" s="23">
        <f t="shared" ref="H15:H23" si="1">+G15-F15</f>
        <v>0</v>
      </c>
      <c r="J15" s="23">
        <v>0</v>
      </c>
      <c r="K15" s="23">
        <v>0</v>
      </c>
      <c r="L15" s="23">
        <f t="shared" ref="L15:L24" si="2">+K15-J15</f>
        <v>0</v>
      </c>
    </row>
    <row r="16" spans="1:70" x14ac:dyDescent="0.2">
      <c r="A16" s="18" t="s">
        <v>63</v>
      </c>
      <c r="B16" s="23">
        <v>0</v>
      </c>
      <c r="C16" s="23">
        <v>543</v>
      </c>
      <c r="D16" s="23">
        <f t="shared" si="0"/>
        <v>543</v>
      </c>
      <c r="F16" s="23">
        <v>0</v>
      </c>
      <c r="G16" s="23">
        <v>1629</v>
      </c>
      <c r="H16" s="23">
        <f t="shared" si="1"/>
        <v>1629</v>
      </c>
      <c r="J16" s="23">
        <v>7328</v>
      </c>
      <c r="K16" s="23">
        <v>9500</v>
      </c>
      <c r="L16" s="23">
        <f t="shared" si="2"/>
        <v>2172</v>
      </c>
    </row>
    <row r="17" spans="1:14" x14ac:dyDescent="0.2">
      <c r="A17" s="18" t="s">
        <v>88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v>0</v>
      </c>
      <c r="L17" s="23">
        <f t="shared" si="2"/>
        <v>0</v>
      </c>
    </row>
    <row r="18" spans="1:14" x14ac:dyDescent="0.2">
      <c r="A18" s="18" t="s">
        <v>89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v>0</v>
      </c>
      <c r="L18" s="23">
        <f t="shared" si="2"/>
        <v>0</v>
      </c>
    </row>
    <row r="19" spans="1:14" x14ac:dyDescent="0.2">
      <c r="A19" s="18" t="s">
        <v>90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v>0</v>
      </c>
      <c r="L19" s="23">
        <f t="shared" si="2"/>
        <v>0</v>
      </c>
    </row>
    <row r="20" spans="1:14" x14ac:dyDescent="0.2">
      <c r="A20" s="18" t="s">
        <v>64</v>
      </c>
      <c r="B20" s="23"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v>0</v>
      </c>
      <c r="L20" s="23">
        <f t="shared" si="2"/>
        <v>0</v>
      </c>
    </row>
    <row r="21" spans="1:14" x14ac:dyDescent="0.2">
      <c r="A21" s="18" t="s">
        <v>91</v>
      </c>
      <c r="B21" s="23">
        <v>0</v>
      </c>
      <c r="C21" s="23">
        <v>0</v>
      </c>
      <c r="D21" s="23">
        <f t="shared" si="0"/>
        <v>0</v>
      </c>
      <c r="F21" s="23">
        <v>0</v>
      </c>
      <c r="G21" s="23">
        <v>0</v>
      </c>
      <c r="H21" s="23">
        <f t="shared" si="1"/>
        <v>0</v>
      </c>
      <c r="J21" s="23">
        <v>0</v>
      </c>
      <c r="K21" s="23">
        <v>0</v>
      </c>
      <c r="L21" s="23">
        <f t="shared" si="2"/>
        <v>0</v>
      </c>
    </row>
    <row r="22" spans="1:14" x14ac:dyDescent="0.2">
      <c r="A22" s="18" t="s">
        <v>92</v>
      </c>
      <c r="B22" s="23">
        <v>0</v>
      </c>
      <c r="C22" s="23">
        <v>743</v>
      </c>
      <c r="D22" s="23">
        <f t="shared" si="0"/>
        <v>743</v>
      </c>
      <c r="F22" s="23">
        <v>0</v>
      </c>
      <c r="G22" s="23">
        <v>2229</v>
      </c>
      <c r="H22" s="23">
        <f t="shared" si="1"/>
        <v>2229</v>
      </c>
      <c r="J22" s="23">
        <v>10028</v>
      </c>
      <c r="K22" s="23">
        <v>13000</v>
      </c>
      <c r="L22" s="23">
        <f t="shared" si="2"/>
        <v>2972</v>
      </c>
    </row>
    <row r="23" spans="1:14" x14ac:dyDescent="0.2">
      <c r="A23" s="18" t="s">
        <v>65</v>
      </c>
      <c r="B23" s="23">
        <v>0</v>
      </c>
      <c r="C23" s="23">
        <v>458</v>
      </c>
      <c r="D23" s="23">
        <f t="shared" si="0"/>
        <v>458</v>
      </c>
      <c r="F23" s="23">
        <v>0</v>
      </c>
      <c r="G23" s="23">
        <v>1374</v>
      </c>
      <c r="H23" s="23">
        <f t="shared" si="1"/>
        <v>1374</v>
      </c>
      <c r="J23" s="23">
        <v>3668</v>
      </c>
      <c r="K23" s="23">
        <v>5500</v>
      </c>
      <c r="L23" s="23">
        <f t="shared" si="2"/>
        <v>1832</v>
      </c>
    </row>
    <row r="24" spans="1:14" x14ac:dyDescent="0.2">
      <c r="A24" s="18" t="s">
        <v>45</v>
      </c>
      <c r="B24" s="23">
        <v>7252</v>
      </c>
      <c r="C24" s="23">
        <v>457</v>
      </c>
      <c r="D24" s="23">
        <f t="shared" ref="D24:D43" si="3">+C24-B24</f>
        <v>-6795</v>
      </c>
      <c r="F24" s="23">
        <v>12702</v>
      </c>
      <c r="G24" s="23">
        <v>1371</v>
      </c>
      <c r="H24" s="23">
        <f t="shared" ref="H24:H41" si="4">+G24-F24</f>
        <v>-11331</v>
      </c>
      <c r="J24" s="23">
        <v>129514</v>
      </c>
      <c r="K24" s="23">
        <v>124640</v>
      </c>
      <c r="L24" s="23">
        <f t="shared" si="2"/>
        <v>-4874</v>
      </c>
    </row>
    <row r="25" spans="1:14" x14ac:dyDescent="0.2">
      <c r="A25" s="18" t="s">
        <v>66</v>
      </c>
      <c r="B25" s="23">
        <v>0</v>
      </c>
      <c r="C25" s="23">
        <v>86</v>
      </c>
      <c r="D25" s="23">
        <f t="shared" si="3"/>
        <v>86</v>
      </c>
      <c r="F25" s="23">
        <v>0</v>
      </c>
      <c r="G25" s="23">
        <v>258</v>
      </c>
      <c r="H25" s="23">
        <f t="shared" si="4"/>
        <v>258</v>
      </c>
      <c r="J25" s="23">
        <v>1156</v>
      </c>
      <c r="K25" s="23">
        <v>1500</v>
      </c>
      <c r="L25" s="23">
        <f t="shared" ref="L25:L40" si="5">+K25-J25</f>
        <v>344</v>
      </c>
    </row>
    <row r="26" spans="1:14" x14ac:dyDescent="0.2">
      <c r="A26" s="18" t="s">
        <v>67</v>
      </c>
      <c r="B26" s="23">
        <v>0</v>
      </c>
      <c r="C26" s="23">
        <v>286</v>
      </c>
      <c r="D26" s="23">
        <f t="shared" si="3"/>
        <v>286</v>
      </c>
      <c r="F26" s="23">
        <v>0</v>
      </c>
      <c r="G26" s="23">
        <v>858</v>
      </c>
      <c r="H26" s="23">
        <f t="shared" si="4"/>
        <v>858</v>
      </c>
      <c r="J26" s="23">
        <v>3856</v>
      </c>
      <c r="K26" s="23">
        <v>5000</v>
      </c>
      <c r="L26" s="23">
        <f t="shared" si="5"/>
        <v>1144</v>
      </c>
    </row>
    <row r="27" spans="1:14" x14ac:dyDescent="0.2">
      <c r="A27" s="18" t="s">
        <v>93</v>
      </c>
      <c r="B27" s="23">
        <v>0</v>
      </c>
      <c r="C27" s="23">
        <v>0</v>
      </c>
      <c r="D27" s="23">
        <f t="shared" si="3"/>
        <v>0</v>
      </c>
      <c r="F27" s="23">
        <v>0</v>
      </c>
      <c r="G27" s="23">
        <v>0</v>
      </c>
      <c r="H27" s="23">
        <f t="shared" si="4"/>
        <v>0</v>
      </c>
      <c r="J27" s="23">
        <v>0</v>
      </c>
      <c r="K27" s="23">
        <v>0</v>
      </c>
      <c r="L27" s="23">
        <f t="shared" si="5"/>
        <v>0</v>
      </c>
    </row>
    <row r="28" spans="1:14" x14ac:dyDescent="0.2">
      <c r="A28" s="18" t="s">
        <v>69</v>
      </c>
      <c r="B28" s="23">
        <f>283.94</f>
        <v>283.94</v>
      </c>
      <c r="C28" s="23">
        <v>333</v>
      </c>
      <c r="D28" s="23">
        <f t="shared" si="3"/>
        <v>49.06</v>
      </c>
      <c r="F28" s="23">
        <v>1047.94</v>
      </c>
      <c r="G28" s="23">
        <v>999</v>
      </c>
      <c r="H28" s="23">
        <f t="shared" si="4"/>
        <v>-48.940000000000055</v>
      </c>
      <c r="J28" s="23">
        <v>9507.94</v>
      </c>
      <c r="K28" s="23">
        <v>4000</v>
      </c>
      <c r="L28" s="23">
        <f t="shared" si="5"/>
        <v>-5507.9400000000005</v>
      </c>
    </row>
    <row r="29" spans="1:14" x14ac:dyDescent="0.2">
      <c r="A29" s="18" t="s">
        <v>68</v>
      </c>
      <c r="B29" s="23">
        <f>4590.44</f>
        <v>4590.4399999999996</v>
      </c>
      <c r="C29" s="23">
        <v>15833</v>
      </c>
      <c r="D29" s="23">
        <f t="shared" si="3"/>
        <v>11242.560000000001</v>
      </c>
      <c r="F29" s="23">
        <v>6007.44</v>
      </c>
      <c r="G29" s="23">
        <v>17499</v>
      </c>
      <c r="H29" s="23">
        <f t="shared" si="4"/>
        <v>11491.560000000001</v>
      </c>
      <c r="J29" s="23">
        <v>18357.72</v>
      </c>
      <c r="K29" s="23">
        <v>25000</v>
      </c>
      <c r="L29" s="23">
        <f t="shared" si="5"/>
        <v>6642.2799999999988</v>
      </c>
    </row>
    <row r="30" spans="1:14" x14ac:dyDescent="0.2">
      <c r="A30" s="18" t="s">
        <v>94</v>
      </c>
      <c r="B30" s="23">
        <v>0</v>
      </c>
      <c r="C30" s="23">
        <v>0</v>
      </c>
      <c r="D30" s="23">
        <f t="shared" si="3"/>
        <v>0</v>
      </c>
      <c r="F30" s="23">
        <v>0</v>
      </c>
      <c r="G30" s="23">
        <v>0</v>
      </c>
      <c r="H30" s="23">
        <f t="shared" si="4"/>
        <v>0</v>
      </c>
      <c r="J30" s="23">
        <v>0</v>
      </c>
      <c r="K30" s="23">
        <v>0</v>
      </c>
      <c r="L30" s="23">
        <f t="shared" si="5"/>
        <v>0</v>
      </c>
    </row>
    <row r="31" spans="1:14" x14ac:dyDescent="0.2">
      <c r="A31" s="18" t="s">
        <v>46</v>
      </c>
      <c r="B31" s="23">
        <f>657-0.15</f>
        <v>656.85</v>
      </c>
      <c r="C31" s="23">
        <v>600</v>
      </c>
      <c r="D31" s="23">
        <f t="shared" si="3"/>
        <v>-56.850000000000023</v>
      </c>
      <c r="F31" s="23">
        <v>656.85</v>
      </c>
      <c r="G31" s="23">
        <v>1800</v>
      </c>
      <c r="H31" s="23">
        <f t="shared" si="4"/>
        <v>1143.1500000000001</v>
      </c>
      <c r="J31" s="23">
        <v>9061.35</v>
      </c>
      <c r="K31" s="23">
        <v>10500</v>
      </c>
      <c r="L31" s="23">
        <f t="shared" si="5"/>
        <v>1438.6499999999996</v>
      </c>
    </row>
    <row r="32" spans="1:14" x14ac:dyDescent="0.2">
      <c r="A32" s="18" t="s">
        <v>70</v>
      </c>
      <c r="B32" s="23">
        <f>3754.82</f>
        <v>3754.82</v>
      </c>
      <c r="C32" s="23">
        <v>3208</v>
      </c>
      <c r="D32" s="23">
        <f t="shared" si="3"/>
        <v>-546.82000000000016</v>
      </c>
      <c r="F32" s="23">
        <v>7170.82</v>
      </c>
      <c r="G32" s="23">
        <v>9624</v>
      </c>
      <c r="H32" s="23">
        <f t="shared" si="4"/>
        <v>2453.1800000000003</v>
      </c>
      <c r="J32" s="23">
        <v>47513.43</v>
      </c>
      <c r="K32" s="23">
        <v>46200</v>
      </c>
      <c r="L32" s="23">
        <f t="shared" si="5"/>
        <v>-1313.4300000000003</v>
      </c>
      <c r="N32" s="30" t="s">
        <v>109</v>
      </c>
    </row>
    <row r="33" spans="1:14" x14ac:dyDescent="0.2">
      <c r="A33" s="18" t="s">
        <v>71</v>
      </c>
      <c r="B33" s="23">
        <v>24121</v>
      </c>
      <c r="C33" s="23">
        <v>5452</v>
      </c>
      <c r="D33" s="23">
        <f t="shared" si="3"/>
        <v>-18669</v>
      </c>
      <c r="F33" s="23">
        <v>36605</v>
      </c>
      <c r="G33" s="23">
        <v>16356</v>
      </c>
      <c r="H33" s="23">
        <f t="shared" si="4"/>
        <v>-20249</v>
      </c>
      <c r="J33" s="23">
        <v>234983.05</v>
      </c>
      <c r="K33" s="23">
        <v>82000</v>
      </c>
      <c r="L33" s="23">
        <f t="shared" si="5"/>
        <v>-152983.04999999999</v>
      </c>
      <c r="N33" s="30" t="s">
        <v>114</v>
      </c>
    </row>
    <row r="34" spans="1:14" x14ac:dyDescent="0.2">
      <c r="A34" s="18" t="s">
        <v>44</v>
      </c>
      <c r="B34" s="23">
        <f>66286.37</f>
        <v>66286.37</v>
      </c>
      <c r="C34" s="23">
        <v>44683</v>
      </c>
      <c r="D34" s="23">
        <f t="shared" si="3"/>
        <v>-21603.369999999995</v>
      </c>
      <c r="F34" s="23">
        <v>185440.37</v>
      </c>
      <c r="G34" s="23">
        <v>134049</v>
      </c>
      <c r="H34" s="23">
        <f t="shared" si="4"/>
        <v>-51391.369999999995</v>
      </c>
      <c r="J34" s="23">
        <v>723929.07</v>
      </c>
      <c r="K34" s="23">
        <v>643508</v>
      </c>
      <c r="L34" s="23">
        <f t="shared" si="5"/>
        <v>-80421.069999999949</v>
      </c>
      <c r="N34" s="30" t="s">
        <v>113</v>
      </c>
    </row>
    <row r="35" spans="1:14" x14ac:dyDescent="0.2">
      <c r="A35" s="18" t="s">
        <v>47</v>
      </c>
      <c r="B35" s="23">
        <v>5735</v>
      </c>
      <c r="C35" s="23">
        <v>2975</v>
      </c>
      <c r="D35" s="23">
        <f t="shared" si="3"/>
        <v>-2760</v>
      </c>
      <c r="F35" s="23">
        <v>43510</v>
      </c>
      <c r="G35" s="23">
        <v>8925</v>
      </c>
      <c r="H35" s="23">
        <f t="shared" si="4"/>
        <v>-34585</v>
      </c>
      <c r="J35" s="23">
        <v>73629.039999999994</v>
      </c>
      <c r="K35" s="23">
        <v>35700</v>
      </c>
      <c r="L35" s="23">
        <f t="shared" si="5"/>
        <v>-37929.039999999994</v>
      </c>
      <c r="N35" s="30" t="s">
        <v>110</v>
      </c>
    </row>
    <row r="36" spans="1:14" x14ac:dyDescent="0.2">
      <c r="A36" s="18" t="s">
        <v>2</v>
      </c>
      <c r="B36" s="23">
        <f>88252-0.46</f>
        <v>88251.54</v>
      </c>
      <c r="C36" s="23">
        <f>1850+19243</f>
        <v>21093</v>
      </c>
      <c r="D36" s="23">
        <f t="shared" si="3"/>
        <v>-67158.539999999994</v>
      </c>
      <c r="F36" s="23">
        <v>100257.54</v>
      </c>
      <c r="G36" s="23">
        <v>63279</v>
      </c>
      <c r="H36" s="23">
        <f t="shared" si="4"/>
        <v>-36978.539999999994</v>
      </c>
      <c r="J36" s="23">
        <v>359412.87</v>
      </c>
      <c r="K36" s="23">
        <v>258355</v>
      </c>
      <c r="L36" s="23">
        <f t="shared" si="5"/>
        <v>-101057.87</v>
      </c>
      <c r="N36" s="30" t="s">
        <v>108</v>
      </c>
    </row>
    <row r="37" spans="1:14" x14ac:dyDescent="0.2">
      <c r="A37" s="18" t="s">
        <v>95</v>
      </c>
      <c r="B37" s="23">
        <v>0</v>
      </c>
      <c r="C37" s="23">
        <v>0</v>
      </c>
      <c r="D37" s="23">
        <f t="shared" si="3"/>
        <v>0</v>
      </c>
      <c r="F37" s="23">
        <v>0</v>
      </c>
      <c r="G37" s="23">
        <v>0</v>
      </c>
      <c r="H37" s="23">
        <f t="shared" si="4"/>
        <v>0</v>
      </c>
      <c r="J37" s="23">
        <v>0</v>
      </c>
      <c r="K37" s="23">
        <v>0</v>
      </c>
      <c r="L37" s="23">
        <f t="shared" si="5"/>
        <v>0</v>
      </c>
    </row>
    <row r="38" spans="1:14" x14ac:dyDescent="0.2">
      <c r="A38" s="18" t="s">
        <v>72</v>
      </c>
      <c r="B38" s="23">
        <v>0</v>
      </c>
      <c r="C38" s="23">
        <v>146</v>
      </c>
      <c r="D38" s="23">
        <f t="shared" si="3"/>
        <v>146</v>
      </c>
      <c r="F38" s="23">
        <v>506</v>
      </c>
      <c r="G38" s="23">
        <v>438</v>
      </c>
      <c r="H38" s="23">
        <f t="shared" si="4"/>
        <v>-68</v>
      </c>
      <c r="J38" s="23">
        <v>1672</v>
      </c>
      <c r="K38" s="23">
        <v>1750</v>
      </c>
      <c r="L38" s="23">
        <f t="shared" si="5"/>
        <v>78</v>
      </c>
    </row>
    <row r="39" spans="1:14" x14ac:dyDescent="0.2">
      <c r="A39" s="18" t="s">
        <v>48</v>
      </c>
      <c r="B39" s="23">
        <f>23229-0.22</f>
        <v>23228.78</v>
      </c>
      <c r="C39" s="23">
        <v>11143</v>
      </c>
      <c r="D39" s="23">
        <f t="shared" si="3"/>
        <v>-12085.779999999999</v>
      </c>
      <c r="F39" s="23">
        <v>65184.78</v>
      </c>
      <c r="G39" s="23">
        <v>33429</v>
      </c>
      <c r="H39" s="23">
        <f t="shared" si="4"/>
        <v>-31755.78</v>
      </c>
      <c r="J39" s="23">
        <v>235202.26</v>
      </c>
      <c r="K39" s="23">
        <v>195000</v>
      </c>
      <c r="L39" s="23">
        <f t="shared" si="5"/>
        <v>-40202.260000000009</v>
      </c>
      <c r="N39" s="30" t="s">
        <v>111</v>
      </c>
    </row>
    <row r="40" spans="1:14" x14ac:dyDescent="0.2">
      <c r="A40" s="18" t="s">
        <v>74</v>
      </c>
      <c r="B40" s="23">
        <f>42200.26</f>
        <v>42200.26</v>
      </c>
      <c r="C40" s="23">
        <v>629</v>
      </c>
      <c r="D40" s="23">
        <f t="shared" si="3"/>
        <v>-41571.26</v>
      </c>
      <c r="F40" s="23">
        <v>42809.26</v>
      </c>
      <c r="G40" s="23">
        <v>1887</v>
      </c>
      <c r="H40" s="23">
        <f t="shared" si="4"/>
        <v>-40922.26</v>
      </c>
      <c r="J40" s="23">
        <v>61646.83</v>
      </c>
      <c r="K40" s="23">
        <v>11000</v>
      </c>
      <c r="L40" s="23">
        <f t="shared" si="5"/>
        <v>-50646.83</v>
      </c>
      <c r="N40" s="30" t="s">
        <v>112</v>
      </c>
    </row>
    <row r="41" spans="1:14" x14ac:dyDescent="0.2">
      <c r="A41" s="18" t="s">
        <v>96</v>
      </c>
      <c r="B41" s="23">
        <v>48682</v>
      </c>
      <c r="D41" s="23">
        <f t="shared" si="3"/>
        <v>-48682</v>
      </c>
      <c r="F41" s="23">
        <v>50441</v>
      </c>
      <c r="G41" s="23">
        <v>0</v>
      </c>
      <c r="H41" s="23">
        <f t="shared" si="4"/>
        <v>-50441</v>
      </c>
      <c r="J41" s="23">
        <v>59529</v>
      </c>
      <c r="K41" s="23">
        <v>0</v>
      </c>
      <c r="L41" s="23">
        <f>+K41-J41</f>
        <v>-59529</v>
      </c>
      <c r="N41" s="33" t="s">
        <v>100</v>
      </c>
    </row>
    <row r="42" spans="1:14" x14ac:dyDescent="0.2">
      <c r="A42" s="18"/>
      <c r="N42" s="33"/>
    </row>
    <row r="43" spans="1:14" x14ac:dyDescent="0.2">
      <c r="A43" s="19" t="s">
        <v>28</v>
      </c>
      <c r="B43" s="27">
        <f>SUM(B14:B41)</f>
        <v>315043</v>
      </c>
      <c r="C43" s="27">
        <f>SUM(C14:C40)</f>
        <v>108668</v>
      </c>
      <c r="D43" s="27">
        <f t="shared" si="3"/>
        <v>-206375</v>
      </c>
      <c r="F43" s="27">
        <v>552339</v>
      </c>
      <c r="G43" s="27">
        <v>296004</v>
      </c>
      <c r="H43" s="27">
        <f>+G43-F43</f>
        <v>-256335</v>
      </c>
      <c r="J43" s="27">
        <v>1989994.56</v>
      </c>
      <c r="K43" s="27">
        <v>1472153</v>
      </c>
      <c r="L43" s="27">
        <f>+K43-J43</f>
        <v>-517841.56000000006</v>
      </c>
      <c r="N43" s="30" t="s">
        <v>99</v>
      </c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">
      <c r="A45" s="17" t="s">
        <v>29</v>
      </c>
      <c r="B45" s="25">
        <v>16152</v>
      </c>
      <c r="C45" s="25">
        <f>200000/12</f>
        <v>16666.666666666668</v>
      </c>
      <c r="D45" s="25">
        <f>+C45-B45</f>
        <v>514.66666666666788</v>
      </c>
      <c r="F45" s="25">
        <v>52516</v>
      </c>
      <c r="G45" s="25">
        <v>50000</v>
      </c>
      <c r="H45" s="25">
        <f>+G45-F45</f>
        <v>-2516</v>
      </c>
      <c r="J45" s="25">
        <v>207019</v>
      </c>
      <c r="K45" s="25">
        <v>203502.33333333334</v>
      </c>
      <c r="L45" s="25">
        <f>+K45-J45</f>
        <v>-3516.666666666657</v>
      </c>
      <c r="N45" s="30" t="s">
        <v>78</v>
      </c>
    </row>
    <row r="46" spans="1:14" x14ac:dyDescent="0.2">
      <c r="A46" s="17"/>
      <c r="N46" s="30" t="s">
        <v>77</v>
      </c>
    </row>
    <row r="47" spans="1:14" x14ac:dyDescent="0.2">
      <c r="A47" s="17" t="s">
        <v>30</v>
      </c>
      <c r="B47" s="25">
        <v>0</v>
      </c>
      <c r="C47" s="25">
        <v>50000</v>
      </c>
      <c r="D47" s="25">
        <f>+C47-B47</f>
        <v>50000</v>
      </c>
      <c r="F47" s="25">
        <v>266666</v>
      </c>
      <c r="G47" s="25">
        <v>150000</v>
      </c>
      <c r="H47" s="25">
        <f>+G47-F47</f>
        <v>-116666</v>
      </c>
      <c r="J47" s="25">
        <v>1000000</v>
      </c>
      <c r="K47" s="25">
        <v>600000</v>
      </c>
      <c r="L47" s="25">
        <f>+K47-J47</f>
        <v>-400000</v>
      </c>
      <c r="N47" s="33" t="s">
        <v>98</v>
      </c>
    </row>
    <row r="48" spans="1:14" x14ac:dyDescent="0.2">
      <c r="A48" s="17"/>
    </row>
    <row r="49" spans="1:14" ht="13.5" thickBot="1" x14ac:dyDescent="0.25">
      <c r="A49" s="4" t="s">
        <v>16</v>
      </c>
      <c r="B49" s="24">
        <f>+B43+B45+B47</f>
        <v>331195</v>
      </c>
      <c r="C49" s="24">
        <f>+C43+C45+C47</f>
        <v>175334.66666666669</v>
      </c>
      <c r="D49" s="24">
        <f>+C49-B49</f>
        <v>-155860.33333333331</v>
      </c>
      <c r="F49" s="24">
        <v>871521</v>
      </c>
      <c r="G49" s="24">
        <v>496004</v>
      </c>
      <c r="H49" s="24">
        <f>+G49-F49</f>
        <v>-375517</v>
      </c>
      <c r="J49" s="24">
        <v>3197013.56</v>
      </c>
      <c r="K49" s="24">
        <v>2275655.333333333</v>
      </c>
      <c r="L49" s="24">
        <f>+K49-J49</f>
        <v>-921358.22666666703</v>
      </c>
    </row>
    <row r="50" spans="1:14" x14ac:dyDescent="0.2">
      <c r="A50" s="1"/>
    </row>
    <row r="51" spans="1:14" x14ac:dyDescent="0.2">
      <c r="A51" s="1" t="s">
        <v>11</v>
      </c>
    </row>
    <row r="52" spans="1:14" x14ac:dyDescent="0.2">
      <c r="A52" s="3" t="s">
        <v>0</v>
      </c>
      <c r="B52" s="23">
        <v>15355</v>
      </c>
      <c r="C52" s="23">
        <f>223760/12</f>
        <v>18646.666666666668</v>
      </c>
      <c r="D52" s="23">
        <f t="shared" ref="D52:D59" si="6">+C52-B52</f>
        <v>3291.6666666666679</v>
      </c>
      <c r="F52" s="23">
        <v>46065</v>
      </c>
      <c r="G52" s="23">
        <v>55940</v>
      </c>
      <c r="H52" s="23">
        <f t="shared" ref="H52:H59" si="7">+G52-F52</f>
        <v>9875</v>
      </c>
      <c r="J52" s="23">
        <v>284061</v>
      </c>
      <c r="K52" s="23">
        <v>227675.91666666672</v>
      </c>
      <c r="L52" s="23">
        <f t="shared" ref="L52:L59" si="8">+K52-J52</f>
        <v>-56385.083333333285</v>
      </c>
      <c r="N52" s="30" t="s">
        <v>76</v>
      </c>
    </row>
    <row r="53" spans="1:14" x14ac:dyDescent="0.2">
      <c r="A53" s="3" t="s">
        <v>1</v>
      </c>
      <c r="B53" s="23">
        <v>20800</v>
      </c>
      <c r="C53" s="23">
        <v>0</v>
      </c>
      <c r="D53" s="23">
        <f t="shared" si="6"/>
        <v>-20800</v>
      </c>
      <c r="F53" s="23">
        <v>56800</v>
      </c>
      <c r="G53" s="23">
        <v>0</v>
      </c>
      <c r="H53" s="23">
        <f t="shared" si="7"/>
        <v>-56800</v>
      </c>
      <c r="J53" s="23">
        <v>250000</v>
      </c>
      <c r="K53" s="23">
        <v>58333.333333333343</v>
      </c>
      <c r="L53" s="23">
        <f t="shared" si="8"/>
        <v>-191666.66666666666</v>
      </c>
      <c r="N53" s="30" t="s">
        <v>75</v>
      </c>
    </row>
    <row r="54" spans="1:14" x14ac:dyDescent="0.2">
      <c r="A54" s="3" t="s">
        <v>3</v>
      </c>
      <c r="B54" s="23">
        <v>0</v>
      </c>
      <c r="C54" s="23">
        <f>100000/12</f>
        <v>8333.3333333333339</v>
      </c>
      <c r="D54" s="23">
        <f t="shared" si="6"/>
        <v>8333.3333333333339</v>
      </c>
      <c r="F54" s="23">
        <v>0</v>
      </c>
      <c r="G54" s="23">
        <v>25000</v>
      </c>
      <c r="H54" s="23">
        <f t="shared" si="7"/>
        <v>25000</v>
      </c>
      <c r="J54" s="23">
        <v>68416.666666666672</v>
      </c>
      <c r="K54" s="23">
        <v>101750</v>
      </c>
      <c r="L54" s="23">
        <f t="shared" si="8"/>
        <v>33333.333333333328</v>
      </c>
    </row>
    <row r="55" spans="1:14" x14ac:dyDescent="0.2">
      <c r="A55" s="3" t="s">
        <v>4</v>
      </c>
      <c r="B55" s="23">
        <v>0</v>
      </c>
      <c r="C55" s="23">
        <v>2500</v>
      </c>
      <c r="D55" s="23">
        <f t="shared" si="6"/>
        <v>2500</v>
      </c>
      <c r="F55" s="23">
        <v>0</v>
      </c>
      <c r="G55" s="23">
        <v>7500</v>
      </c>
      <c r="H55" s="23">
        <f t="shared" si="7"/>
        <v>7500</v>
      </c>
      <c r="J55" s="23">
        <v>20525</v>
      </c>
      <c r="K55" s="23">
        <v>30525</v>
      </c>
      <c r="L55" s="23">
        <f t="shared" si="8"/>
        <v>10000</v>
      </c>
    </row>
    <row r="56" spans="1:14" x14ac:dyDescent="0.2">
      <c r="A56" s="3" t="s">
        <v>5</v>
      </c>
      <c r="B56" s="30">
        <f>5877+1</f>
        <v>5878</v>
      </c>
      <c r="C56" s="23">
        <f>75000/12</f>
        <v>6250</v>
      </c>
      <c r="D56" s="23">
        <f t="shared" si="6"/>
        <v>372</v>
      </c>
      <c r="F56" s="23">
        <v>7470</v>
      </c>
      <c r="G56" s="23">
        <v>18750</v>
      </c>
      <c r="H56" s="23">
        <f t="shared" si="7"/>
        <v>11280</v>
      </c>
      <c r="J56" s="23">
        <v>58782.5</v>
      </c>
      <c r="K56" s="23">
        <v>76312.5</v>
      </c>
      <c r="L56" s="23">
        <f t="shared" si="8"/>
        <v>17530</v>
      </c>
    </row>
    <row r="57" spans="1:14" x14ac:dyDescent="0.2">
      <c r="A57" s="3" t="s">
        <v>14</v>
      </c>
      <c r="B57" s="23">
        <v>0</v>
      </c>
      <c r="C57" s="23">
        <v>0</v>
      </c>
      <c r="D57" s="23">
        <f t="shared" si="6"/>
        <v>0</v>
      </c>
      <c r="F57" s="23">
        <v>0</v>
      </c>
      <c r="G57" s="23">
        <v>0</v>
      </c>
      <c r="H57" s="23">
        <f t="shared" si="7"/>
        <v>0</v>
      </c>
      <c r="J57" s="23">
        <v>0</v>
      </c>
      <c r="K57" s="23">
        <v>0</v>
      </c>
      <c r="L57" s="23">
        <f t="shared" si="8"/>
        <v>0</v>
      </c>
    </row>
    <row r="58" spans="1:14" x14ac:dyDescent="0.2">
      <c r="A58" s="3"/>
      <c r="D58" s="23">
        <f t="shared" si="6"/>
        <v>0</v>
      </c>
      <c r="F58" s="23">
        <v>0</v>
      </c>
      <c r="G58" s="23">
        <v>0</v>
      </c>
      <c r="H58" s="23">
        <f t="shared" si="7"/>
        <v>0</v>
      </c>
      <c r="J58" s="23">
        <v>0</v>
      </c>
      <c r="K58" s="23">
        <v>0</v>
      </c>
      <c r="L58" s="23">
        <f t="shared" si="8"/>
        <v>0</v>
      </c>
    </row>
    <row r="59" spans="1:14" ht="13.5" thickBot="1" x14ac:dyDescent="0.25">
      <c r="A59" s="4" t="s">
        <v>15</v>
      </c>
      <c r="B59" s="28">
        <f>SUM(B51:B58)</f>
        <v>42033</v>
      </c>
      <c r="C59" s="28">
        <f>SUM(C51:C58)</f>
        <v>35730</v>
      </c>
      <c r="D59" s="28">
        <f t="shared" si="6"/>
        <v>-6303</v>
      </c>
      <c r="F59" s="28">
        <v>110335</v>
      </c>
      <c r="G59" s="28">
        <v>107190</v>
      </c>
      <c r="H59" s="28">
        <f t="shared" si="7"/>
        <v>-3145</v>
      </c>
      <c r="J59" s="28">
        <v>681785.16666666663</v>
      </c>
      <c r="K59" s="28">
        <v>494596.75</v>
      </c>
      <c r="L59" s="28">
        <f t="shared" si="8"/>
        <v>-187188.41666666663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v>0</v>
      </c>
      <c r="L62" s="23">
        <f>+K62-J62</f>
        <v>0</v>
      </c>
    </row>
    <row r="63" spans="1:14" x14ac:dyDescent="0.2">
      <c r="A63" s="3" t="s">
        <v>7</v>
      </c>
      <c r="B63" s="23">
        <v>417980</v>
      </c>
      <c r="C63" s="23">
        <v>586000</v>
      </c>
      <c r="D63" s="23">
        <f>+C63-B63</f>
        <v>168020</v>
      </c>
      <c r="F63" s="23">
        <v>1566866</v>
      </c>
      <c r="G63" s="23">
        <v>1734000</v>
      </c>
      <c r="H63" s="23">
        <f>+G63-F63</f>
        <v>167134</v>
      </c>
      <c r="J63" s="23">
        <v>5447002.3959462279</v>
      </c>
      <c r="K63" s="23">
        <v>6998000</v>
      </c>
      <c r="L63" s="23">
        <f>+K63-J63</f>
        <v>1550997.6040537721</v>
      </c>
      <c r="N63" s="30"/>
    </row>
    <row r="64" spans="1:14" x14ac:dyDescent="0.2">
      <c r="A64" s="3" t="s">
        <v>8</v>
      </c>
      <c r="B64" s="23">
        <v>313556</v>
      </c>
      <c r="C64" s="23">
        <v>315000</v>
      </c>
      <c r="D64" s="23">
        <f>+C64-B64</f>
        <v>1444</v>
      </c>
      <c r="F64" s="23">
        <v>938329</v>
      </c>
      <c r="G64" s="23">
        <v>945000</v>
      </c>
      <c r="H64" s="23">
        <f>+G64-F64</f>
        <v>6671</v>
      </c>
      <c r="J64" s="23">
        <v>3805252</v>
      </c>
      <c r="K64" s="23">
        <v>3784000</v>
      </c>
      <c r="L64" s="23">
        <f>+K64-J64</f>
        <v>-21252</v>
      </c>
    </row>
    <row r="65" spans="1:12" x14ac:dyDescent="0.2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v>0</v>
      </c>
      <c r="L65" s="23">
        <f>+K65-J65</f>
        <v>0</v>
      </c>
    </row>
    <row r="66" spans="1:12" ht="13.5" thickBot="1" x14ac:dyDescent="0.25">
      <c r="A66" s="4" t="s">
        <v>17</v>
      </c>
      <c r="B66" s="28">
        <f>SUM(B61:B65)</f>
        <v>731536</v>
      </c>
      <c r="C66" s="28">
        <f>SUM(C61:C65)</f>
        <v>901000</v>
      </c>
      <c r="D66" s="28">
        <f>+C66-B66</f>
        <v>169464</v>
      </c>
      <c r="F66" s="28">
        <v>2505195</v>
      </c>
      <c r="G66" s="28">
        <v>2679000</v>
      </c>
      <c r="H66" s="28">
        <f>+G66-F66</f>
        <v>173805</v>
      </c>
      <c r="J66" s="28">
        <v>9252254.395946227</v>
      </c>
      <c r="K66" s="28">
        <v>10782000</v>
      </c>
      <c r="L66" s="28">
        <f>+K66-J66</f>
        <v>1529745.604053773</v>
      </c>
    </row>
    <row r="68" spans="1:12" ht="13.5" thickBot="1" x14ac:dyDescent="0.25">
      <c r="A68" s="1" t="s">
        <v>13</v>
      </c>
      <c r="B68" s="29">
        <f>+B11+B49+B59+B66</f>
        <v>1104764</v>
      </c>
      <c r="C68" s="29">
        <f>+C11+C49+C59+C66</f>
        <v>1112064.6666666667</v>
      </c>
      <c r="D68" s="29">
        <f>+C68-B68</f>
        <v>7300.6666666667443</v>
      </c>
      <c r="F68" s="29">
        <v>3487051</v>
      </c>
      <c r="G68" s="29">
        <v>3282194</v>
      </c>
      <c r="H68" s="29">
        <f>+G68-F68</f>
        <v>-204857</v>
      </c>
      <c r="J68" s="29">
        <v>13131053.122612894</v>
      </c>
      <c r="K68" s="29">
        <v>13552252.083333332</v>
      </c>
      <c r="L68" s="29">
        <f>+K68-J68</f>
        <v>421198.96072043851</v>
      </c>
    </row>
    <row r="69" spans="1:12" ht="13.5" thickTop="1" x14ac:dyDescent="0.2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C36" activePane="bottomRight" state="frozen"/>
      <selection activeCell="B7" sqref="B7:D7"/>
      <selection pane="topRight" activeCell="B7" sqref="B7:D7"/>
      <selection pane="bottomLeft" activeCell="B7" sqref="B7:D7"/>
      <selection pane="bottomRight" activeCell="E50" sqref="E50"/>
    </sheetView>
  </sheetViews>
  <sheetFormatPr defaultColWidth="8.85546875" defaultRowHeight="12.75" x14ac:dyDescent="0.2"/>
  <cols>
    <col min="1" max="1" width="41.140625" customWidth="1"/>
    <col min="2" max="9" width="10.28515625" style="23" bestFit="1" customWidth="1"/>
    <col min="10" max="10" width="11.42578125" style="23" customWidth="1"/>
    <col min="11" max="13" width="10.28515625" style="23" bestFit="1" customWidth="1"/>
    <col min="14" max="14" width="0.85546875" style="23" customWidth="1"/>
    <col min="15" max="15" width="12" style="23" customWidth="1"/>
    <col min="16" max="16" width="2.7109375" style="23" customWidth="1"/>
    <col min="17" max="18" width="10.28515625" style="23" bestFit="1" customWidth="1"/>
    <col min="19" max="19" width="12.140625" style="23" customWidth="1"/>
    <col min="20" max="20" width="10.28515625" style="23" bestFit="1" customWidth="1"/>
    <col min="21" max="21" width="0.85546875" style="23" customWidth="1"/>
    <col min="22" max="22" width="11.85546875" style="23" customWidth="1"/>
    <col min="23" max="80" width="8.85546875" style="23" customWidth="1"/>
  </cols>
  <sheetData>
    <row r="1" spans="1:80" s="2" customFormat="1" ht="15.75" x14ac:dyDescent="0.25">
      <c r="A1" s="43" t="s">
        <v>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36697.489055555554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">
      <c r="A12" s="1" t="s">
        <v>10</v>
      </c>
    </row>
    <row r="13" spans="1:80" x14ac:dyDescent="0.2">
      <c r="A13" s="17" t="s">
        <v>49</v>
      </c>
    </row>
    <row r="14" spans="1:80" x14ac:dyDescent="0.2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">
      <c r="A15" s="18" t="s">
        <v>63</v>
      </c>
      <c r="B15" s="23">
        <v>0</v>
      </c>
      <c r="C15" s="23">
        <v>0</v>
      </c>
      <c r="D15" s="23">
        <v>0</v>
      </c>
      <c r="E15" s="23">
        <v>0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7328</v>
      </c>
      <c r="Q15" s="23">
        <f t="shared" ref="Q15:Q42" si="2">SUM(B15:D15)</f>
        <v>0</v>
      </c>
      <c r="R15" s="23">
        <f t="shared" ref="R15:R42" si="3">SUM(E15:G15)</f>
        <v>2280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7328</v>
      </c>
    </row>
    <row r="16" spans="1:80" x14ac:dyDescent="0.2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f t="shared" ref="F16:M16" si="7">F86</f>
        <v>0</v>
      </c>
      <c r="G16" s="23">
        <f t="shared" si="7"/>
        <v>0</v>
      </c>
      <c r="H16" s="23">
        <f t="shared" si="7"/>
        <v>0</v>
      </c>
      <c r="I16" s="23">
        <f t="shared" si="7"/>
        <v>0</v>
      </c>
      <c r="J16" s="23">
        <f t="shared" si="7"/>
        <v>0</v>
      </c>
      <c r="K16" s="23">
        <f t="shared" si="7"/>
        <v>0</v>
      </c>
      <c r="L16" s="23">
        <f t="shared" si="7"/>
        <v>0</v>
      </c>
      <c r="M16" s="23">
        <f t="shared" si="7"/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f t="shared" ref="F17:M17" si="8">F87</f>
        <v>0</v>
      </c>
      <c r="G17" s="23">
        <f t="shared" si="8"/>
        <v>0</v>
      </c>
      <c r="H17" s="23">
        <f t="shared" si="8"/>
        <v>0</v>
      </c>
      <c r="I17" s="23">
        <f t="shared" si="8"/>
        <v>0</v>
      </c>
      <c r="J17" s="23">
        <f t="shared" si="8"/>
        <v>0</v>
      </c>
      <c r="K17" s="23">
        <f t="shared" si="8"/>
        <v>0</v>
      </c>
      <c r="L17" s="23">
        <f t="shared" si="8"/>
        <v>0</v>
      </c>
      <c r="M17" s="23">
        <f t="shared" si="8"/>
        <v>0</v>
      </c>
      <c r="O17" s="23">
        <f t="shared" si="1"/>
        <v>0</v>
      </c>
      <c r="Q17" s="23">
        <f t="shared" si="2"/>
        <v>0</v>
      </c>
      <c r="R17" s="23">
        <f t="shared" si="3"/>
        <v>0</v>
      </c>
      <c r="S17" s="23">
        <f t="shared" si="4"/>
        <v>0</v>
      </c>
      <c r="T17" s="23">
        <f t="shared" si="5"/>
        <v>0</v>
      </c>
      <c r="V17" s="23">
        <f t="shared" si="6"/>
        <v>0</v>
      </c>
    </row>
    <row r="18" spans="1:22" x14ac:dyDescent="0.2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f t="shared" ref="F18:M18" si="9">F88</f>
        <v>0</v>
      </c>
      <c r="G18" s="23">
        <f t="shared" si="9"/>
        <v>0</v>
      </c>
      <c r="H18" s="23">
        <f t="shared" si="9"/>
        <v>0</v>
      </c>
      <c r="I18" s="23">
        <f t="shared" si="9"/>
        <v>0</v>
      </c>
      <c r="J18" s="23">
        <f t="shared" si="9"/>
        <v>0</v>
      </c>
      <c r="K18" s="23">
        <f t="shared" si="9"/>
        <v>0</v>
      </c>
      <c r="L18" s="23">
        <f t="shared" si="9"/>
        <v>0</v>
      </c>
      <c r="M18" s="23">
        <f t="shared" si="9"/>
        <v>0</v>
      </c>
      <c r="O18" s="23">
        <f t="shared" si="1"/>
        <v>0</v>
      </c>
      <c r="Q18" s="23">
        <f t="shared" si="2"/>
        <v>0</v>
      </c>
      <c r="R18" s="23">
        <f t="shared" si="3"/>
        <v>0</v>
      </c>
      <c r="S18" s="23">
        <f t="shared" si="4"/>
        <v>0</v>
      </c>
      <c r="T18" s="23">
        <f t="shared" si="5"/>
        <v>0</v>
      </c>
      <c r="V18" s="23">
        <f t="shared" si="6"/>
        <v>0</v>
      </c>
    </row>
    <row r="19" spans="1:22" x14ac:dyDescent="0.2">
      <c r="A19" s="18" t="s">
        <v>64</v>
      </c>
      <c r="B19" s="23">
        <v>0</v>
      </c>
      <c r="C19" s="23">
        <v>0</v>
      </c>
      <c r="D19" s="23">
        <v>0</v>
      </c>
      <c r="E19" s="23">
        <v>0</v>
      </c>
      <c r="F19" s="23">
        <f t="shared" ref="F19:M19" si="10">F89</f>
        <v>0</v>
      </c>
      <c r="G19" s="23">
        <f t="shared" si="10"/>
        <v>0</v>
      </c>
      <c r="H19" s="23">
        <f t="shared" si="10"/>
        <v>0</v>
      </c>
      <c r="I19" s="23">
        <f t="shared" si="10"/>
        <v>0</v>
      </c>
      <c r="J19" s="23">
        <f t="shared" si="10"/>
        <v>0</v>
      </c>
      <c r="K19" s="23">
        <f t="shared" si="10"/>
        <v>0</v>
      </c>
      <c r="L19" s="23">
        <f t="shared" si="10"/>
        <v>0</v>
      </c>
      <c r="M19" s="23">
        <f t="shared" si="10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">
      <c r="A20" s="18" t="s">
        <v>91</v>
      </c>
      <c r="B20" s="23">
        <v>0</v>
      </c>
      <c r="C20" s="23">
        <v>0</v>
      </c>
      <c r="D20" s="23">
        <v>0</v>
      </c>
      <c r="E20" s="23">
        <v>0</v>
      </c>
      <c r="F20" s="23">
        <f t="shared" ref="F20:M20" si="11">F90</f>
        <v>0</v>
      </c>
      <c r="G20" s="23">
        <f t="shared" si="11"/>
        <v>0</v>
      </c>
      <c r="H20" s="23">
        <f t="shared" si="11"/>
        <v>0</v>
      </c>
      <c r="I20" s="23">
        <f t="shared" si="11"/>
        <v>0</v>
      </c>
      <c r="J20" s="23">
        <f t="shared" si="11"/>
        <v>0</v>
      </c>
      <c r="K20" s="23">
        <f t="shared" si="11"/>
        <v>0</v>
      </c>
      <c r="L20" s="23">
        <f t="shared" si="11"/>
        <v>0</v>
      </c>
      <c r="M20" s="23">
        <f t="shared" si="11"/>
        <v>0</v>
      </c>
      <c r="O20" s="23">
        <f t="shared" si="1"/>
        <v>0</v>
      </c>
      <c r="Q20" s="23">
        <f t="shared" si="2"/>
        <v>0</v>
      </c>
      <c r="R20" s="23">
        <f t="shared" si="3"/>
        <v>0</v>
      </c>
      <c r="S20" s="23">
        <f t="shared" si="4"/>
        <v>0</v>
      </c>
      <c r="T20" s="23">
        <f t="shared" si="5"/>
        <v>0</v>
      </c>
      <c r="V20" s="23">
        <f t="shared" si="6"/>
        <v>0</v>
      </c>
    </row>
    <row r="21" spans="1:22" x14ac:dyDescent="0.2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f t="shared" ref="F21:M21" si="12">F91</f>
        <v>1560</v>
      </c>
      <c r="G21" s="23">
        <f t="shared" si="12"/>
        <v>1560</v>
      </c>
      <c r="H21" s="23">
        <f t="shared" si="12"/>
        <v>1560</v>
      </c>
      <c r="I21" s="23">
        <f t="shared" si="12"/>
        <v>1560</v>
      </c>
      <c r="J21" s="23">
        <f t="shared" si="12"/>
        <v>1560</v>
      </c>
      <c r="K21" s="23">
        <f t="shared" si="12"/>
        <v>743</v>
      </c>
      <c r="L21" s="23">
        <f t="shared" si="12"/>
        <v>743</v>
      </c>
      <c r="M21" s="23">
        <f t="shared" si="12"/>
        <v>742</v>
      </c>
      <c r="O21" s="23">
        <f t="shared" si="1"/>
        <v>10028</v>
      </c>
      <c r="Q21" s="23">
        <f t="shared" si="2"/>
        <v>0</v>
      </c>
      <c r="R21" s="23">
        <f t="shared" si="3"/>
        <v>3120</v>
      </c>
      <c r="S21" s="23">
        <f t="shared" si="4"/>
        <v>4680</v>
      </c>
      <c r="T21" s="23">
        <f t="shared" si="5"/>
        <v>2228</v>
      </c>
      <c r="V21" s="23">
        <f t="shared" si="6"/>
        <v>10028</v>
      </c>
    </row>
    <row r="22" spans="1:22" x14ac:dyDescent="0.2">
      <c r="A22" s="18" t="s">
        <v>65</v>
      </c>
      <c r="B22" s="23">
        <v>0</v>
      </c>
      <c r="C22" s="23">
        <v>0</v>
      </c>
      <c r="D22" s="23">
        <v>0</v>
      </c>
      <c r="E22" s="23">
        <v>0</v>
      </c>
      <c r="F22" s="23">
        <f t="shared" ref="F22:M22" si="13">F92</f>
        <v>458</v>
      </c>
      <c r="G22" s="23">
        <f t="shared" si="13"/>
        <v>458</v>
      </c>
      <c r="H22" s="23">
        <f t="shared" si="13"/>
        <v>458</v>
      </c>
      <c r="I22" s="23">
        <f t="shared" si="13"/>
        <v>458</v>
      </c>
      <c r="J22" s="23">
        <f t="shared" si="13"/>
        <v>458</v>
      </c>
      <c r="K22" s="23">
        <f t="shared" si="13"/>
        <v>458</v>
      </c>
      <c r="L22" s="23">
        <f t="shared" si="13"/>
        <v>458</v>
      </c>
      <c r="M22" s="23">
        <f t="shared" si="13"/>
        <v>462</v>
      </c>
      <c r="O22" s="23">
        <f t="shared" si="1"/>
        <v>3668</v>
      </c>
      <c r="Q22" s="23">
        <f t="shared" si="2"/>
        <v>0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3668</v>
      </c>
    </row>
    <row r="23" spans="1:22" x14ac:dyDescent="0.2">
      <c r="A23" s="18" t="s">
        <v>45</v>
      </c>
      <c r="B23" s="23">
        <v>0</v>
      </c>
      <c r="C23" s="23">
        <v>5450</v>
      </c>
      <c r="D23" s="23">
        <v>7252</v>
      </c>
      <c r="E23" s="23">
        <v>0</v>
      </c>
      <c r="F23" s="23">
        <f t="shared" ref="F23:M23" si="14">F93</f>
        <v>21888</v>
      </c>
      <c r="G23" s="23">
        <f t="shared" si="14"/>
        <v>21888</v>
      </c>
      <c r="H23" s="23">
        <f t="shared" si="14"/>
        <v>21888</v>
      </c>
      <c r="I23" s="23">
        <f t="shared" si="14"/>
        <v>21888</v>
      </c>
      <c r="J23" s="23">
        <f t="shared" si="14"/>
        <v>21888</v>
      </c>
      <c r="K23" s="23">
        <f t="shared" si="14"/>
        <v>6457</v>
      </c>
      <c r="L23" s="23">
        <f t="shared" si="14"/>
        <v>457</v>
      </c>
      <c r="M23" s="23">
        <f t="shared" si="14"/>
        <v>458</v>
      </c>
      <c r="O23" s="23">
        <f t="shared" si="1"/>
        <v>129514</v>
      </c>
      <c r="Q23" s="23">
        <f t="shared" si="2"/>
        <v>12702</v>
      </c>
      <c r="R23" s="23">
        <f t="shared" si="3"/>
        <v>43776</v>
      </c>
      <c r="S23" s="23">
        <f t="shared" si="4"/>
        <v>65664</v>
      </c>
      <c r="T23" s="23">
        <f t="shared" si="5"/>
        <v>7372</v>
      </c>
      <c r="V23" s="23">
        <f t="shared" si="6"/>
        <v>129514</v>
      </c>
    </row>
    <row r="24" spans="1:22" x14ac:dyDescent="0.2">
      <c r="A24" s="18" t="s">
        <v>66</v>
      </c>
      <c r="B24" s="23">
        <v>0</v>
      </c>
      <c r="C24" s="23">
        <v>0</v>
      </c>
      <c r="D24" s="23">
        <v>0</v>
      </c>
      <c r="E24" s="23">
        <v>0</v>
      </c>
      <c r="F24" s="23">
        <f t="shared" ref="F24:M24" si="15">F94</f>
        <v>180</v>
      </c>
      <c r="G24" s="23">
        <f t="shared" si="15"/>
        <v>180</v>
      </c>
      <c r="H24" s="23">
        <f t="shared" si="15"/>
        <v>180</v>
      </c>
      <c r="I24" s="23">
        <f t="shared" si="15"/>
        <v>180</v>
      </c>
      <c r="J24" s="23">
        <f t="shared" si="15"/>
        <v>180</v>
      </c>
      <c r="K24" s="23">
        <f t="shared" si="15"/>
        <v>86</v>
      </c>
      <c r="L24" s="23">
        <f t="shared" si="15"/>
        <v>86</v>
      </c>
      <c r="M24" s="23">
        <f t="shared" si="15"/>
        <v>84</v>
      </c>
      <c r="O24" s="23">
        <f t="shared" si="1"/>
        <v>1156</v>
      </c>
      <c r="Q24" s="23">
        <f t="shared" si="2"/>
        <v>0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1156</v>
      </c>
    </row>
    <row r="25" spans="1:22" x14ac:dyDescent="0.2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6">F95</f>
        <v>600</v>
      </c>
      <c r="G25" s="23">
        <f t="shared" si="16"/>
        <v>600</v>
      </c>
      <c r="H25" s="23">
        <f t="shared" si="16"/>
        <v>600</v>
      </c>
      <c r="I25" s="23">
        <f t="shared" si="16"/>
        <v>600</v>
      </c>
      <c r="J25" s="23">
        <f t="shared" si="16"/>
        <v>600</v>
      </c>
      <c r="K25" s="23">
        <f t="shared" si="16"/>
        <v>286</v>
      </c>
      <c r="L25" s="23">
        <f t="shared" si="16"/>
        <v>286</v>
      </c>
      <c r="M25" s="23">
        <f t="shared" si="16"/>
        <v>284</v>
      </c>
      <c r="O25" s="23">
        <f t="shared" si="1"/>
        <v>3856</v>
      </c>
      <c r="Q25" s="23">
        <f t="shared" si="2"/>
        <v>0</v>
      </c>
      <c r="R25" s="23">
        <f t="shared" si="3"/>
        <v>1200</v>
      </c>
      <c r="S25" s="23">
        <f t="shared" si="4"/>
        <v>1800</v>
      </c>
      <c r="T25" s="23">
        <f t="shared" si="5"/>
        <v>856</v>
      </c>
      <c r="V25" s="23">
        <f t="shared" si="6"/>
        <v>3856</v>
      </c>
    </row>
    <row r="26" spans="1:22" x14ac:dyDescent="0.2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1"/>
        <v>0</v>
      </c>
      <c r="Q26" s="23">
        <f t="shared" si="2"/>
        <v>0</v>
      </c>
      <c r="R26" s="23">
        <f t="shared" si="3"/>
        <v>0</v>
      </c>
      <c r="S26" s="23">
        <f t="shared" si="4"/>
        <v>0</v>
      </c>
      <c r="T26" s="23">
        <f t="shared" si="5"/>
        <v>0</v>
      </c>
      <c r="V26" s="23">
        <f t="shared" si="6"/>
        <v>0</v>
      </c>
    </row>
    <row r="27" spans="1:22" x14ac:dyDescent="0.2">
      <c r="A27" s="18" t="s">
        <v>69</v>
      </c>
      <c r="B27" s="23">
        <v>0</v>
      </c>
      <c r="C27" s="23">
        <v>764</v>
      </c>
      <c r="D27" s="23">
        <f>283.94</f>
        <v>283.94</v>
      </c>
      <c r="E27" s="42">
        <v>5792</v>
      </c>
      <c r="F27" s="23">
        <f t="shared" ref="F27:M27" si="17">F97</f>
        <v>333</v>
      </c>
      <c r="G27" s="23">
        <f t="shared" si="17"/>
        <v>333</v>
      </c>
      <c r="H27" s="23">
        <f t="shared" si="17"/>
        <v>333</v>
      </c>
      <c r="I27" s="23">
        <f t="shared" si="17"/>
        <v>333</v>
      </c>
      <c r="J27" s="23">
        <f t="shared" si="17"/>
        <v>333</v>
      </c>
      <c r="K27" s="23">
        <f t="shared" si="17"/>
        <v>333</v>
      </c>
      <c r="L27" s="23">
        <f t="shared" si="17"/>
        <v>333</v>
      </c>
      <c r="M27" s="23">
        <f t="shared" si="17"/>
        <v>337</v>
      </c>
      <c r="O27" s="23">
        <f t="shared" si="1"/>
        <v>9507.94</v>
      </c>
      <c r="Q27" s="23">
        <f t="shared" si="2"/>
        <v>1047.94</v>
      </c>
      <c r="R27" s="23">
        <f t="shared" si="3"/>
        <v>6458</v>
      </c>
      <c r="S27" s="23">
        <f t="shared" si="4"/>
        <v>999</v>
      </c>
      <c r="T27" s="23">
        <f t="shared" si="5"/>
        <v>1003</v>
      </c>
      <c r="V27" s="23">
        <f t="shared" si="6"/>
        <v>9507.94</v>
      </c>
    </row>
    <row r="28" spans="1:22" x14ac:dyDescent="0.2">
      <c r="A28" s="18" t="s">
        <v>68</v>
      </c>
      <c r="B28" s="23">
        <v>0</v>
      </c>
      <c r="C28" s="23">
        <v>1417</v>
      </c>
      <c r="D28" s="23">
        <f>4590.44</f>
        <v>4590.4399999999996</v>
      </c>
      <c r="E28" s="42">
        <v>5682.28</v>
      </c>
      <c r="F28" s="23">
        <f t="shared" ref="F28:M28" si="18">F98</f>
        <v>833</v>
      </c>
      <c r="G28" s="23">
        <f t="shared" si="18"/>
        <v>833</v>
      </c>
      <c r="H28" s="23">
        <f t="shared" si="18"/>
        <v>833</v>
      </c>
      <c r="I28" s="23">
        <f t="shared" si="18"/>
        <v>833</v>
      </c>
      <c r="J28" s="23">
        <f t="shared" si="18"/>
        <v>833</v>
      </c>
      <c r="K28" s="23">
        <f t="shared" si="18"/>
        <v>833</v>
      </c>
      <c r="L28" s="23">
        <f t="shared" si="18"/>
        <v>833</v>
      </c>
      <c r="M28" s="23">
        <f t="shared" si="18"/>
        <v>837</v>
      </c>
      <c r="O28" s="23">
        <f>SUM(B28:M28)</f>
        <v>18357.72</v>
      </c>
      <c r="Q28" s="23">
        <f>SUM(B28:D28)</f>
        <v>6007.44</v>
      </c>
      <c r="R28" s="23">
        <f>SUM(E28:G28)</f>
        <v>7348.28</v>
      </c>
      <c r="S28" s="23">
        <f>SUM(H28:J28)</f>
        <v>2499</v>
      </c>
      <c r="T28" s="23">
        <f>SUM(K28:M28)</f>
        <v>2503</v>
      </c>
      <c r="V28" s="23">
        <f>SUM(Q28:U28)</f>
        <v>18357.72</v>
      </c>
    </row>
    <row r="29" spans="1:22" x14ac:dyDescent="0.2">
      <c r="A29" s="18" t="s">
        <v>94</v>
      </c>
      <c r="B29" s="23">
        <v>0</v>
      </c>
      <c r="C29" s="23">
        <v>0</v>
      </c>
      <c r="D29" s="23">
        <v>0</v>
      </c>
      <c r="E29" s="4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0</v>
      </c>
      <c r="Q29" s="23">
        <f>SUM(B29:D29)</f>
        <v>0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0</v>
      </c>
    </row>
    <row r="30" spans="1:22" x14ac:dyDescent="0.2">
      <c r="A30" s="18" t="s">
        <v>46</v>
      </c>
      <c r="B30" s="23">
        <v>0</v>
      </c>
      <c r="C30" s="23">
        <v>0</v>
      </c>
      <c r="D30" s="23">
        <f>657-0.15</f>
        <v>656.85</v>
      </c>
      <c r="E30" s="42">
        <v>304.5</v>
      </c>
      <c r="F30" s="23">
        <f t="shared" ref="F30:M30" si="19">F100</f>
        <v>1260</v>
      </c>
      <c r="G30" s="23">
        <f t="shared" si="19"/>
        <v>1260</v>
      </c>
      <c r="H30" s="23">
        <f t="shared" si="19"/>
        <v>1260</v>
      </c>
      <c r="I30" s="23">
        <f t="shared" si="19"/>
        <v>1260</v>
      </c>
      <c r="J30" s="23">
        <f t="shared" si="19"/>
        <v>1260</v>
      </c>
      <c r="K30" s="23">
        <f t="shared" si="19"/>
        <v>600</v>
      </c>
      <c r="L30" s="23">
        <f t="shared" si="19"/>
        <v>600</v>
      </c>
      <c r="M30" s="23">
        <f t="shared" si="19"/>
        <v>600</v>
      </c>
      <c r="O30" s="23">
        <f t="shared" si="1"/>
        <v>9061.35</v>
      </c>
      <c r="Q30" s="23">
        <f t="shared" si="2"/>
        <v>656.85</v>
      </c>
      <c r="R30" s="23">
        <f t="shared" si="3"/>
        <v>2824.5</v>
      </c>
      <c r="S30" s="23">
        <f t="shared" si="4"/>
        <v>3780</v>
      </c>
      <c r="T30" s="23">
        <f t="shared" si="5"/>
        <v>1800</v>
      </c>
      <c r="V30" s="23">
        <f t="shared" si="6"/>
        <v>9061.35</v>
      </c>
    </row>
    <row r="31" spans="1:22" x14ac:dyDescent="0.2">
      <c r="A31" s="18" t="s">
        <v>70</v>
      </c>
      <c r="B31" s="23">
        <v>0</v>
      </c>
      <c r="C31" s="23">
        <v>3416</v>
      </c>
      <c r="D31" s="23">
        <f>3754.82</f>
        <v>3754.82</v>
      </c>
      <c r="E31" s="42">
        <v>6974.61</v>
      </c>
      <c r="F31" s="23">
        <f t="shared" ref="F31:M31" si="20">F101</f>
        <v>4748</v>
      </c>
      <c r="G31" s="23">
        <f t="shared" si="20"/>
        <v>4748</v>
      </c>
      <c r="H31" s="23">
        <f t="shared" si="20"/>
        <v>4748</v>
      </c>
      <c r="I31" s="23">
        <f t="shared" si="20"/>
        <v>4748</v>
      </c>
      <c r="J31" s="23">
        <f t="shared" si="20"/>
        <v>4748</v>
      </c>
      <c r="K31" s="23">
        <f t="shared" si="20"/>
        <v>3208</v>
      </c>
      <c r="L31" s="23">
        <f t="shared" si="20"/>
        <v>3208</v>
      </c>
      <c r="M31" s="23">
        <f t="shared" si="20"/>
        <v>3212</v>
      </c>
      <c r="O31" s="23">
        <f t="shared" si="1"/>
        <v>47513.43</v>
      </c>
      <c r="Q31" s="23">
        <f t="shared" si="2"/>
        <v>7170.82</v>
      </c>
      <c r="R31" s="23">
        <f t="shared" si="3"/>
        <v>16470.61</v>
      </c>
      <c r="S31" s="23">
        <f t="shared" si="4"/>
        <v>14244</v>
      </c>
      <c r="T31" s="23">
        <f t="shared" si="5"/>
        <v>9628</v>
      </c>
      <c r="V31" s="23">
        <f t="shared" si="6"/>
        <v>47513.43</v>
      </c>
    </row>
    <row r="32" spans="1:22" x14ac:dyDescent="0.2">
      <c r="A32" s="18" t="s">
        <v>71</v>
      </c>
      <c r="B32" s="23">
        <f>1838</f>
        <v>1838</v>
      </c>
      <c r="C32" s="23">
        <f>476+6059+1438+2673</f>
        <v>10646</v>
      </c>
      <c r="D32" s="23">
        <v>24121</v>
      </c>
      <c r="E32" s="42">
        <v>138186.04999999999</v>
      </c>
      <c r="F32" s="23">
        <f t="shared" ref="F32:M32" si="21">F102</f>
        <v>20767</v>
      </c>
      <c r="G32" s="23">
        <f t="shared" si="21"/>
        <v>5767</v>
      </c>
      <c r="H32" s="23">
        <f t="shared" si="21"/>
        <v>5767</v>
      </c>
      <c r="I32" s="23">
        <f t="shared" si="21"/>
        <v>5767</v>
      </c>
      <c r="J32" s="23">
        <f t="shared" si="21"/>
        <v>5767</v>
      </c>
      <c r="K32" s="23">
        <f t="shared" si="21"/>
        <v>5452</v>
      </c>
      <c r="L32" s="23">
        <f t="shared" si="21"/>
        <v>5452</v>
      </c>
      <c r="M32" s="23">
        <f t="shared" si="21"/>
        <v>5453</v>
      </c>
      <c r="O32" s="23">
        <f t="shared" si="1"/>
        <v>234983.05</v>
      </c>
      <c r="Q32" s="23">
        <f t="shared" si="2"/>
        <v>36605</v>
      </c>
      <c r="R32" s="23">
        <f t="shared" si="3"/>
        <v>164720.04999999999</v>
      </c>
      <c r="S32" s="23">
        <f t="shared" si="4"/>
        <v>17301</v>
      </c>
      <c r="T32" s="23">
        <f t="shared" si="5"/>
        <v>16357</v>
      </c>
      <c r="V32" s="23">
        <f t="shared" si="6"/>
        <v>234983.05</v>
      </c>
    </row>
    <row r="33" spans="1:22" x14ac:dyDescent="0.2">
      <c r="A33" s="18" t="s">
        <v>44</v>
      </c>
      <c r="B33" s="23">
        <v>52708</v>
      </c>
      <c r="C33" s="23">
        <v>66446</v>
      </c>
      <c r="D33" s="23">
        <f>66286.37</f>
        <v>66286.37</v>
      </c>
      <c r="E33" s="42">
        <v>73712.7</v>
      </c>
      <c r="F33" s="23">
        <f t="shared" ref="F33:M33" si="22">F103</f>
        <v>60145</v>
      </c>
      <c r="G33" s="23">
        <f t="shared" si="22"/>
        <v>60145</v>
      </c>
      <c r="H33" s="23">
        <f t="shared" si="22"/>
        <v>60145</v>
      </c>
      <c r="I33" s="23">
        <f t="shared" si="22"/>
        <v>60145</v>
      </c>
      <c r="J33" s="23">
        <f t="shared" si="22"/>
        <v>60145</v>
      </c>
      <c r="K33" s="23">
        <f t="shared" si="22"/>
        <v>74683</v>
      </c>
      <c r="L33" s="23">
        <f t="shared" si="22"/>
        <v>44683</v>
      </c>
      <c r="M33" s="23">
        <f t="shared" si="22"/>
        <v>44685</v>
      </c>
      <c r="O33" s="23">
        <f>SUM(B33:M33)</f>
        <v>723929.07000000007</v>
      </c>
      <c r="Q33" s="23">
        <f>SUM(B33:D33)</f>
        <v>185440.37</v>
      </c>
      <c r="R33" s="23">
        <f>SUM(E33:G33)</f>
        <v>194002.7</v>
      </c>
      <c r="S33" s="23">
        <f>SUM(H33:J33)</f>
        <v>180435</v>
      </c>
      <c r="T33" s="23">
        <f>SUM(K33:M33)</f>
        <v>164051</v>
      </c>
      <c r="V33" s="23">
        <f>SUM(Q33:U33)</f>
        <v>723929.07000000007</v>
      </c>
    </row>
    <row r="34" spans="1:22" x14ac:dyDescent="0.2">
      <c r="A34" s="18" t="s">
        <v>47</v>
      </c>
      <c r="B34" s="23">
        <v>0</v>
      </c>
      <c r="C34" s="23">
        <v>37775</v>
      </c>
      <c r="D34" s="23">
        <v>5735</v>
      </c>
      <c r="E34" s="42">
        <v>6319.04</v>
      </c>
      <c r="F34" s="23">
        <f t="shared" ref="F34:M34" si="23">F104</f>
        <v>2975</v>
      </c>
      <c r="G34" s="23">
        <f t="shared" si="23"/>
        <v>2975</v>
      </c>
      <c r="H34" s="23">
        <f t="shared" si="23"/>
        <v>2975</v>
      </c>
      <c r="I34" s="23">
        <f t="shared" si="23"/>
        <v>2975</v>
      </c>
      <c r="J34" s="23">
        <f t="shared" si="23"/>
        <v>2975</v>
      </c>
      <c r="K34" s="23">
        <f t="shared" si="23"/>
        <v>2975</v>
      </c>
      <c r="L34" s="23">
        <f t="shared" si="23"/>
        <v>2975</v>
      </c>
      <c r="M34" s="23">
        <f t="shared" si="23"/>
        <v>2975</v>
      </c>
      <c r="O34" s="23">
        <f>SUM(B34:M34)</f>
        <v>73629.040000000008</v>
      </c>
      <c r="Q34" s="23">
        <f>SUM(B34:D34)</f>
        <v>43510</v>
      </c>
      <c r="R34" s="23">
        <f>SUM(E34:G34)</f>
        <v>12269.04</v>
      </c>
      <c r="S34" s="23">
        <f>SUM(H34:J34)</f>
        <v>8925</v>
      </c>
      <c r="T34" s="23">
        <f>SUM(K34:M34)</f>
        <v>8925</v>
      </c>
      <c r="V34" s="23">
        <f>SUM(Q34:U34)</f>
        <v>73629.040000000008</v>
      </c>
    </row>
    <row r="35" spans="1:22" x14ac:dyDescent="0.2">
      <c r="A35" s="18" t="s">
        <v>2</v>
      </c>
      <c r="B35" s="23">
        <v>0</v>
      </c>
      <c r="C35" s="23">
        <v>12006</v>
      </c>
      <c r="D35" s="23">
        <f>88252-0.46</f>
        <v>88251.54</v>
      </c>
      <c r="E35" s="42">
        <v>85172.33</v>
      </c>
      <c r="F35" s="23">
        <f t="shared" ref="F35:M35" si="24">F105</f>
        <v>21843</v>
      </c>
      <c r="G35" s="23">
        <f t="shared" si="24"/>
        <v>21670</v>
      </c>
      <c r="H35" s="23">
        <f t="shared" si="24"/>
        <v>21670</v>
      </c>
      <c r="I35" s="23">
        <f t="shared" si="24"/>
        <v>21670</v>
      </c>
      <c r="J35" s="23">
        <f t="shared" si="24"/>
        <v>21670</v>
      </c>
      <c r="K35" s="23">
        <f t="shared" si="24"/>
        <v>21670</v>
      </c>
      <c r="L35" s="23">
        <f t="shared" si="24"/>
        <v>21670</v>
      </c>
      <c r="M35" s="23">
        <f t="shared" si="24"/>
        <v>22120</v>
      </c>
      <c r="O35" s="23">
        <f t="shared" si="1"/>
        <v>359412.87</v>
      </c>
      <c r="Q35" s="23">
        <f t="shared" si="2"/>
        <v>100257.54</v>
      </c>
      <c r="R35" s="23">
        <f t="shared" si="3"/>
        <v>128685.33</v>
      </c>
      <c r="S35" s="23">
        <f t="shared" si="4"/>
        <v>65010</v>
      </c>
      <c r="T35" s="23">
        <f t="shared" si="5"/>
        <v>65460</v>
      </c>
      <c r="V35" s="23">
        <f t="shared" si="6"/>
        <v>359412.87</v>
      </c>
    </row>
    <row r="36" spans="1:22" x14ac:dyDescent="0.2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">
      <c r="A37" s="18" t="s">
        <v>72</v>
      </c>
      <c r="B37" s="23">
        <v>0</v>
      </c>
      <c r="C37" s="23">
        <v>506</v>
      </c>
      <c r="D37" s="23">
        <v>0</v>
      </c>
      <c r="F37" s="23">
        <f t="shared" ref="F37:M37" si="25">F107</f>
        <v>146</v>
      </c>
      <c r="G37" s="23">
        <f t="shared" si="25"/>
        <v>146</v>
      </c>
      <c r="H37" s="23">
        <f t="shared" si="25"/>
        <v>146</v>
      </c>
      <c r="I37" s="23">
        <f t="shared" si="25"/>
        <v>146</v>
      </c>
      <c r="J37" s="23">
        <f t="shared" si="25"/>
        <v>146</v>
      </c>
      <c r="K37" s="23">
        <f t="shared" si="25"/>
        <v>146</v>
      </c>
      <c r="L37" s="23">
        <f t="shared" si="25"/>
        <v>146</v>
      </c>
      <c r="M37" s="23">
        <f t="shared" si="25"/>
        <v>144</v>
      </c>
      <c r="O37" s="23">
        <f t="shared" si="1"/>
        <v>1672</v>
      </c>
      <c r="Q37" s="23">
        <f t="shared" si="2"/>
        <v>506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1672</v>
      </c>
    </row>
    <row r="38" spans="1:22" x14ac:dyDescent="0.2">
      <c r="A38" s="18" t="s">
        <v>48</v>
      </c>
      <c r="B38" s="23">
        <v>0</v>
      </c>
      <c r="C38" s="23">
        <v>41956</v>
      </c>
      <c r="D38" s="23">
        <f>23229-0.22</f>
        <v>23228.78</v>
      </c>
      <c r="E38" s="23">
        <v>19589.48</v>
      </c>
      <c r="F38" s="23">
        <f t="shared" ref="F38:M38" si="26">F108</f>
        <v>23400</v>
      </c>
      <c r="G38" s="23">
        <f t="shared" si="26"/>
        <v>23400</v>
      </c>
      <c r="H38" s="23">
        <f t="shared" si="26"/>
        <v>23400</v>
      </c>
      <c r="I38" s="23">
        <f t="shared" si="26"/>
        <v>23400</v>
      </c>
      <c r="J38" s="23">
        <f t="shared" si="26"/>
        <v>23400</v>
      </c>
      <c r="K38" s="23">
        <f t="shared" si="26"/>
        <v>11143</v>
      </c>
      <c r="L38" s="23">
        <f t="shared" si="26"/>
        <v>11143</v>
      </c>
      <c r="M38" s="23">
        <f t="shared" si="26"/>
        <v>11142</v>
      </c>
      <c r="O38" s="23">
        <f t="shared" si="1"/>
        <v>235202.26</v>
      </c>
      <c r="Q38" s="23">
        <f t="shared" si="2"/>
        <v>65184.78</v>
      </c>
      <c r="R38" s="23">
        <f t="shared" si="3"/>
        <v>66389.48</v>
      </c>
      <c r="S38" s="23">
        <f t="shared" si="4"/>
        <v>70200</v>
      </c>
      <c r="T38" s="23">
        <f t="shared" si="5"/>
        <v>33428</v>
      </c>
      <c r="V38" s="23">
        <f t="shared" si="6"/>
        <v>235202.26</v>
      </c>
    </row>
    <row r="39" spans="1:22" x14ac:dyDescent="0.2">
      <c r="A39" s="18" t="s">
        <v>74</v>
      </c>
      <c r="B39" s="23">
        <v>0</v>
      </c>
      <c r="C39" s="23">
        <v>609</v>
      </c>
      <c r="D39" s="23">
        <f>42200.26</f>
        <v>42200.26</v>
      </c>
      <c r="E39" s="23">
        <v>10353.57</v>
      </c>
      <c r="F39" s="23">
        <f t="shared" ref="F39:M39" si="27">F109</f>
        <v>1320</v>
      </c>
      <c r="G39" s="23">
        <f t="shared" si="27"/>
        <v>1320</v>
      </c>
      <c r="H39" s="23">
        <f t="shared" si="27"/>
        <v>1320</v>
      </c>
      <c r="I39" s="23">
        <f t="shared" si="27"/>
        <v>1320</v>
      </c>
      <c r="J39" s="23">
        <f t="shared" si="27"/>
        <v>1320</v>
      </c>
      <c r="K39" s="23">
        <f t="shared" si="27"/>
        <v>629</v>
      </c>
      <c r="L39" s="23">
        <f t="shared" si="27"/>
        <v>629</v>
      </c>
      <c r="M39" s="23">
        <f t="shared" si="27"/>
        <v>626</v>
      </c>
      <c r="O39" s="23">
        <f t="shared" si="1"/>
        <v>61646.83</v>
      </c>
      <c r="Q39" s="23">
        <f t="shared" si="2"/>
        <v>42809.26</v>
      </c>
      <c r="R39" s="23">
        <f t="shared" si="3"/>
        <v>12993.57</v>
      </c>
      <c r="S39" s="23">
        <f t="shared" si="4"/>
        <v>3960</v>
      </c>
      <c r="T39" s="23">
        <f t="shared" si="5"/>
        <v>1884</v>
      </c>
      <c r="V39" s="23">
        <f t="shared" si="6"/>
        <v>61646.83</v>
      </c>
    </row>
    <row r="40" spans="1:22" x14ac:dyDescent="0.2">
      <c r="A40" s="18" t="s">
        <v>96</v>
      </c>
      <c r="B40" s="23">
        <f>-12000+12222</f>
        <v>222</v>
      </c>
      <c r="C40" s="30">
        <f>1539-2</f>
        <v>1537</v>
      </c>
      <c r="D40" s="23">
        <v>48682</v>
      </c>
      <c r="E40" s="23">
        <f>1638+256+7194</f>
        <v>9088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O40" s="23">
        <f t="shared" si="1"/>
        <v>59529</v>
      </c>
      <c r="Q40" s="23">
        <f>SUM(B40:D40)</f>
        <v>50441</v>
      </c>
      <c r="R40" s="23">
        <f>SUM(E40:G40)</f>
        <v>9088</v>
      </c>
      <c r="S40" s="23">
        <f>SUM(H40:J40)</f>
        <v>0</v>
      </c>
      <c r="T40" s="23">
        <f>SUM(K40:M40)</f>
        <v>0</v>
      </c>
      <c r="V40" s="23">
        <f>SUM(Q40:U40)</f>
        <v>59529</v>
      </c>
    </row>
    <row r="41" spans="1:22" x14ac:dyDescent="0.2">
      <c r="A41" s="18"/>
      <c r="C41" s="30"/>
    </row>
    <row r="42" spans="1:22" x14ac:dyDescent="0.2">
      <c r="A42" s="19" t="s">
        <v>28</v>
      </c>
      <c r="B42" s="27">
        <f>SUM(B13:B40)</f>
        <v>54768</v>
      </c>
      <c r="C42" s="27">
        <f t="shared" ref="C42:M42" si="28">SUM(C13:C40)</f>
        <v>182528</v>
      </c>
      <c r="D42" s="27">
        <f t="shared" si="28"/>
        <v>315043</v>
      </c>
      <c r="E42" s="27">
        <f t="shared" si="28"/>
        <v>361174.56</v>
      </c>
      <c r="F42" s="27">
        <f t="shared" si="28"/>
        <v>163596</v>
      </c>
      <c r="G42" s="27">
        <f t="shared" si="28"/>
        <v>148423</v>
      </c>
      <c r="H42" s="27">
        <f t="shared" si="28"/>
        <v>148423</v>
      </c>
      <c r="I42" s="27">
        <f t="shared" si="28"/>
        <v>148423</v>
      </c>
      <c r="J42" s="27">
        <f t="shared" si="28"/>
        <v>148423</v>
      </c>
      <c r="K42" s="27">
        <f t="shared" si="28"/>
        <v>130245</v>
      </c>
      <c r="L42" s="27">
        <f t="shared" si="28"/>
        <v>94245</v>
      </c>
      <c r="M42" s="27">
        <f t="shared" si="28"/>
        <v>94703</v>
      </c>
      <c r="O42" s="27">
        <f>SUM(O13:O40)</f>
        <v>1989994.5600000003</v>
      </c>
      <c r="Q42" s="27">
        <f t="shared" si="2"/>
        <v>552339</v>
      </c>
      <c r="R42" s="27">
        <f t="shared" si="3"/>
        <v>673193.56</v>
      </c>
      <c r="S42" s="27">
        <f t="shared" si="4"/>
        <v>445269</v>
      </c>
      <c r="T42" s="27">
        <f t="shared" si="5"/>
        <v>319193</v>
      </c>
      <c r="V42" s="27">
        <f t="shared" si="6"/>
        <v>1989994.56</v>
      </c>
    </row>
    <row r="43" spans="1:22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">
      <c r="A45" s="17"/>
    </row>
    <row r="46" spans="1:22" x14ac:dyDescent="0.2">
      <c r="A46" s="17" t="s">
        <v>30</v>
      </c>
      <c r="B46" s="25">
        <v>133333</v>
      </c>
      <c r="C46" s="25">
        <v>133333</v>
      </c>
      <c r="D46" s="25">
        <v>0</v>
      </c>
      <c r="E46" s="37">
        <v>66667</v>
      </c>
      <c r="F46" s="25">
        <v>83333</v>
      </c>
      <c r="G46" s="25">
        <v>83334</v>
      </c>
      <c r="H46" s="25">
        <v>83333</v>
      </c>
      <c r="I46" s="25">
        <v>83333</v>
      </c>
      <c r="J46" s="25">
        <v>83334</v>
      </c>
      <c r="K46" s="25">
        <v>83333</v>
      </c>
      <c r="L46" s="25">
        <v>83333</v>
      </c>
      <c r="M46" s="25">
        <v>83334</v>
      </c>
      <c r="O46" s="25">
        <f>SUM(B46:M46)</f>
        <v>1000000</v>
      </c>
      <c r="Q46" s="25">
        <f>SUM(B46:D46)</f>
        <v>266666</v>
      </c>
      <c r="R46" s="25">
        <f>SUM(E46:G46)</f>
        <v>233334</v>
      </c>
      <c r="S46" s="25">
        <f>SUM(H46:J46)</f>
        <v>250000</v>
      </c>
      <c r="T46" s="25">
        <f>SUM(K46:M46)</f>
        <v>250000</v>
      </c>
      <c r="V46" s="25">
        <f>SUM(Q46:U46)</f>
        <v>1000000</v>
      </c>
    </row>
    <row r="47" spans="1:22" x14ac:dyDescent="0.2">
      <c r="A47" s="17"/>
    </row>
    <row r="48" spans="1:22" ht="13.5" thickBot="1" x14ac:dyDescent="0.25">
      <c r="A48" s="4" t="s">
        <v>16</v>
      </c>
      <c r="B48" s="24">
        <f t="shared" ref="B48:M48" si="29">+B42+B44+B46</f>
        <v>206283</v>
      </c>
      <c r="C48" s="24">
        <f t="shared" si="29"/>
        <v>334043</v>
      </c>
      <c r="D48" s="24">
        <f t="shared" si="29"/>
        <v>331195</v>
      </c>
      <c r="E48" s="24">
        <f t="shared" si="29"/>
        <v>445008.56</v>
      </c>
      <c r="F48" s="24">
        <f t="shared" si="29"/>
        <v>264096</v>
      </c>
      <c r="G48" s="24">
        <f t="shared" si="29"/>
        <v>248924</v>
      </c>
      <c r="H48" s="24">
        <f t="shared" si="29"/>
        <v>248923</v>
      </c>
      <c r="I48" s="24">
        <f t="shared" si="29"/>
        <v>248923</v>
      </c>
      <c r="J48" s="24">
        <f t="shared" si="29"/>
        <v>248924</v>
      </c>
      <c r="K48" s="24">
        <f t="shared" si="29"/>
        <v>230745</v>
      </c>
      <c r="L48" s="24">
        <f t="shared" si="29"/>
        <v>194745</v>
      </c>
      <c r="M48" s="24">
        <f t="shared" si="29"/>
        <v>195204</v>
      </c>
      <c r="O48" s="24">
        <f>+O42+O44+O46</f>
        <v>3197013.5600000005</v>
      </c>
      <c r="Q48" s="24">
        <f>SUM(B48:D48)</f>
        <v>871521</v>
      </c>
      <c r="R48" s="24">
        <f>SUM(E48:G48)</f>
        <v>958028.56</v>
      </c>
      <c r="S48" s="24">
        <f>SUM(H48:J48)</f>
        <v>746770</v>
      </c>
      <c r="T48" s="24">
        <f>SUM(K48:M48)</f>
        <v>620694</v>
      </c>
      <c r="V48" s="24">
        <f>SUM(Q48:U48)</f>
        <v>3197013.56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23">
        <v>15355</v>
      </c>
      <c r="C51" s="23">
        <v>15355</v>
      </c>
      <c r="D51" s="23">
        <v>15355</v>
      </c>
      <c r="E51" s="23">
        <v>26444</v>
      </c>
      <c r="F51" s="23">
        <v>26444</v>
      </c>
      <c r="G51" s="23">
        <v>26444</v>
      </c>
      <c r="H51" s="23">
        <v>26444</v>
      </c>
      <c r="I51" s="23">
        <v>26444</v>
      </c>
      <c r="J51" s="23">
        <v>26444</v>
      </c>
      <c r="K51" s="23">
        <v>26444</v>
      </c>
      <c r="L51" s="23">
        <v>26444</v>
      </c>
      <c r="M51" s="23">
        <v>26444</v>
      </c>
      <c r="O51" s="23">
        <f t="shared" ref="O51:O57" si="30">SUM(B51:M51)</f>
        <v>284061</v>
      </c>
      <c r="Q51" s="23">
        <f t="shared" ref="Q51:Q58" si="31">SUM(B51:D51)</f>
        <v>46065</v>
      </c>
      <c r="R51" s="23">
        <f t="shared" ref="R51:R58" si="32">SUM(E51:G51)</f>
        <v>79332</v>
      </c>
      <c r="S51" s="23">
        <f t="shared" ref="S51:S58" si="33">SUM(H51:J51)</f>
        <v>79332</v>
      </c>
      <c r="T51" s="23">
        <f t="shared" ref="T51:T58" si="34">SUM(K51:M51)</f>
        <v>79332</v>
      </c>
      <c r="V51" s="23">
        <f t="shared" ref="V51:V58" si="35">SUM(Q51:U51)</f>
        <v>284061</v>
      </c>
    </row>
    <row r="52" spans="1:22" x14ac:dyDescent="0.2">
      <c r="A52" s="3" t="s">
        <v>1</v>
      </c>
      <c r="B52" s="23">
        <v>21200</v>
      </c>
      <c r="C52" s="30">
        <f>20800-6000</f>
        <v>14800</v>
      </c>
      <c r="D52" s="23">
        <v>20800</v>
      </c>
      <c r="E52" s="23">
        <v>20800</v>
      </c>
      <c r="F52" s="23">
        <v>21550</v>
      </c>
      <c r="G52" s="23">
        <v>21550</v>
      </c>
      <c r="H52" s="23">
        <v>21550</v>
      </c>
      <c r="I52" s="23">
        <v>21550</v>
      </c>
      <c r="J52" s="23">
        <v>21550</v>
      </c>
      <c r="K52" s="23">
        <v>21550</v>
      </c>
      <c r="L52" s="23">
        <v>21550</v>
      </c>
      <c r="M52" s="23">
        <v>21550</v>
      </c>
      <c r="O52" s="23">
        <f t="shared" si="30"/>
        <v>250000</v>
      </c>
      <c r="Q52" s="23">
        <f t="shared" si="31"/>
        <v>56800</v>
      </c>
      <c r="R52" s="23">
        <f t="shared" si="32"/>
        <v>63900</v>
      </c>
      <c r="S52" s="23">
        <f t="shared" si="33"/>
        <v>64650</v>
      </c>
      <c r="T52" s="23">
        <f t="shared" si="34"/>
        <v>64650</v>
      </c>
      <c r="V52" s="23">
        <f t="shared" si="35"/>
        <v>250000</v>
      </c>
    </row>
    <row r="53" spans="1:22" x14ac:dyDescent="0.2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>100000/12</f>
        <v>8333.3333333333339</v>
      </c>
      <c r="G53" s="23">
        <f>103000/12</f>
        <v>8583.3333333333339</v>
      </c>
      <c r="H53" s="23">
        <f t="shared" ref="H53:M53" si="36">103000/12</f>
        <v>8583.3333333333339</v>
      </c>
      <c r="I53" s="23">
        <f t="shared" si="36"/>
        <v>8583.3333333333339</v>
      </c>
      <c r="J53" s="23">
        <f t="shared" si="36"/>
        <v>8583.3333333333339</v>
      </c>
      <c r="K53" s="23">
        <f t="shared" si="36"/>
        <v>8583.3333333333339</v>
      </c>
      <c r="L53" s="23">
        <f t="shared" si="36"/>
        <v>8583.3333333333339</v>
      </c>
      <c r="M53" s="23">
        <f t="shared" si="36"/>
        <v>8583.3333333333339</v>
      </c>
      <c r="O53" s="23">
        <f t="shared" si="30"/>
        <v>68416.666666666672</v>
      </c>
      <c r="Q53" s="23">
        <f t="shared" si="31"/>
        <v>0</v>
      </c>
      <c r="R53" s="23">
        <f t="shared" si="32"/>
        <v>16916.666666666668</v>
      </c>
      <c r="S53" s="23">
        <f t="shared" si="33"/>
        <v>25750</v>
      </c>
      <c r="T53" s="23">
        <f t="shared" si="34"/>
        <v>25750</v>
      </c>
      <c r="V53" s="23">
        <f t="shared" si="35"/>
        <v>68416.666666666672</v>
      </c>
    </row>
    <row r="54" spans="1:22" x14ac:dyDescent="0.2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2500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30"/>
        <v>20525</v>
      </c>
      <c r="Q54" s="23">
        <f t="shared" si="31"/>
        <v>0</v>
      </c>
      <c r="R54" s="23">
        <f t="shared" si="32"/>
        <v>5075</v>
      </c>
      <c r="S54" s="23">
        <f t="shared" si="33"/>
        <v>7725</v>
      </c>
      <c r="T54" s="23">
        <f t="shared" si="34"/>
        <v>7725</v>
      </c>
      <c r="V54" s="23">
        <f t="shared" si="35"/>
        <v>20525</v>
      </c>
    </row>
    <row r="55" spans="1:22" x14ac:dyDescent="0.2">
      <c r="A55" s="3" t="s">
        <v>5</v>
      </c>
      <c r="B55" s="23">
        <v>0</v>
      </c>
      <c r="C55" s="23">
        <f>859+733</f>
        <v>1592</v>
      </c>
      <c r="D55" s="30">
        <f>5877+1</f>
        <v>5878</v>
      </c>
      <c r="E55" s="23">
        <v>0</v>
      </c>
      <c r="F55" s="23">
        <f>75000/12</f>
        <v>6250</v>
      </c>
      <c r="G55" s="23">
        <f>77250/12</f>
        <v>6437.5</v>
      </c>
      <c r="H55" s="23">
        <f t="shared" ref="H55:M55" si="37">77250/12</f>
        <v>6437.5</v>
      </c>
      <c r="I55" s="23">
        <f t="shared" si="37"/>
        <v>6437.5</v>
      </c>
      <c r="J55" s="23">
        <f t="shared" si="37"/>
        <v>6437.5</v>
      </c>
      <c r="K55" s="23">
        <f t="shared" si="37"/>
        <v>6437.5</v>
      </c>
      <c r="L55" s="23">
        <f t="shared" si="37"/>
        <v>6437.5</v>
      </c>
      <c r="M55" s="23">
        <f t="shared" si="37"/>
        <v>6437.5</v>
      </c>
      <c r="O55" s="23">
        <f t="shared" si="30"/>
        <v>58782.5</v>
      </c>
      <c r="Q55" s="23">
        <f t="shared" si="31"/>
        <v>7470</v>
      </c>
      <c r="R55" s="23">
        <f t="shared" si="32"/>
        <v>12687.5</v>
      </c>
      <c r="S55" s="23">
        <f t="shared" si="33"/>
        <v>19312.5</v>
      </c>
      <c r="T55" s="23">
        <f t="shared" si="34"/>
        <v>19312.5</v>
      </c>
      <c r="V55" s="23">
        <f t="shared" si="35"/>
        <v>58782.5</v>
      </c>
    </row>
    <row r="56" spans="1:22" x14ac:dyDescent="0.2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30"/>
        <v>0</v>
      </c>
      <c r="Q56" s="23">
        <f t="shared" si="31"/>
        <v>0</v>
      </c>
      <c r="R56" s="23">
        <f t="shared" si="32"/>
        <v>0</v>
      </c>
      <c r="S56" s="23">
        <f t="shared" si="33"/>
        <v>0</v>
      </c>
      <c r="T56" s="23">
        <f t="shared" si="34"/>
        <v>0</v>
      </c>
      <c r="V56" s="23">
        <f t="shared" si="35"/>
        <v>0</v>
      </c>
    </row>
    <row r="57" spans="1:22" x14ac:dyDescent="0.2">
      <c r="A57" s="3"/>
      <c r="O57" s="23">
        <f t="shared" si="30"/>
        <v>0</v>
      </c>
      <c r="Q57" s="23">
        <f t="shared" si="31"/>
        <v>0</v>
      </c>
      <c r="R57" s="23">
        <f t="shared" si="32"/>
        <v>0</v>
      </c>
      <c r="S57" s="23">
        <f t="shared" si="33"/>
        <v>0</v>
      </c>
      <c r="T57" s="23">
        <f t="shared" si="34"/>
        <v>0</v>
      </c>
      <c r="V57" s="23">
        <f t="shared" si="35"/>
        <v>0</v>
      </c>
    </row>
    <row r="58" spans="1:22" ht="13.5" thickBot="1" x14ac:dyDescent="0.25">
      <c r="A58" s="4" t="s">
        <v>15</v>
      </c>
      <c r="B58" s="28">
        <f t="shared" ref="B58:M58" si="38">SUM(B50:B57)</f>
        <v>36555</v>
      </c>
      <c r="C58" s="28">
        <f t="shared" si="38"/>
        <v>31747</v>
      </c>
      <c r="D58" s="28">
        <f t="shared" si="38"/>
        <v>42033</v>
      </c>
      <c r="E58" s="28">
        <f t="shared" si="38"/>
        <v>47244</v>
      </c>
      <c r="F58" s="28">
        <f t="shared" si="38"/>
        <v>65077.333333333336</v>
      </c>
      <c r="G58" s="28">
        <f t="shared" si="38"/>
        <v>65589.833333333343</v>
      </c>
      <c r="H58" s="28">
        <f t="shared" si="38"/>
        <v>65589.833333333343</v>
      </c>
      <c r="I58" s="28">
        <f t="shared" si="38"/>
        <v>65589.833333333343</v>
      </c>
      <c r="J58" s="28">
        <f t="shared" si="38"/>
        <v>65589.833333333343</v>
      </c>
      <c r="K58" s="28">
        <f t="shared" si="38"/>
        <v>65589.833333333343</v>
      </c>
      <c r="L58" s="28">
        <f t="shared" si="38"/>
        <v>65589.833333333343</v>
      </c>
      <c r="M58" s="28">
        <f t="shared" si="38"/>
        <v>65589.833333333343</v>
      </c>
      <c r="O58" s="28">
        <f>SUM(O50:O57)</f>
        <v>681785.16666666663</v>
      </c>
      <c r="Q58" s="28">
        <f t="shared" si="31"/>
        <v>110335</v>
      </c>
      <c r="R58" s="28">
        <f t="shared" si="32"/>
        <v>177911.16666666669</v>
      </c>
      <c r="S58" s="28">
        <f t="shared" si="33"/>
        <v>196769.50000000003</v>
      </c>
      <c r="T58" s="28">
        <f t="shared" si="34"/>
        <v>196769.50000000003</v>
      </c>
      <c r="V58" s="28">
        <f t="shared" si="35"/>
        <v>681785.16666666674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ht="12" customHeight="1" x14ac:dyDescent="0.2">
      <c r="A62" s="3" t="s">
        <v>7</v>
      </c>
      <c r="B62" s="23">
        <f>676956-6070</f>
        <v>670886</v>
      </c>
      <c r="C62" s="23">
        <v>478000</v>
      </c>
      <c r="D62" s="23">
        <v>417980</v>
      </c>
      <c r="E62" s="23">
        <v>524396</v>
      </c>
      <c r="F62" s="23">
        <f>'[1]99 Peakers'!$C$16</f>
        <v>537036.03054288402</v>
      </c>
      <c r="G62" s="23">
        <f>'[1]99 Peakers'!$C$17</f>
        <v>539939.99959721358</v>
      </c>
      <c r="H62" s="23">
        <f>'[1]99 Peakers'!$C$18</f>
        <v>515182.08369225392</v>
      </c>
      <c r="I62" s="23">
        <f>'[1]99 Peakers'!$C$19</f>
        <v>429010.10449280927</v>
      </c>
      <c r="J62" s="23">
        <f>'[1]99 Peakers'!$C$20</f>
        <v>332513.83957270085</v>
      </c>
      <c r="K62" s="23">
        <f>'[1]99 Peakers'!$C$21</f>
        <v>330961.92488427524</v>
      </c>
      <c r="L62" s="23">
        <f>'[1]99 Peakers'!$C$22</f>
        <v>334025.96940795402</v>
      </c>
      <c r="M62" s="23">
        <f>'[1]99 Peakers'!$C$23</f>
        <v>337070.44375613588</v>
      </c>
      <c r="O62" s="23">
        <f>SUM(B62:M62)</f>
        <v>5447002.3959462279</v>
      </c>
      <c r="Q62" s="23">
        <f>SUM(B62:D62)</f>
        <v>1566866</v>
      </c>
      <c r="R62" s="23">
        <f>SUM(E62:G62)</f>
        <v>1601372.0301400977</v>
      </c>
      <c r="S62" s="23">
        <f>SUM(H62:J62)</f>
        <v>1276706.0277577641</v>
      </c>
      <c r="T62" s="23">
        <f>SUM(K62:M62)</f>
        <v>1002058.3380483652</v>
      </c>
      <c r="V62" s="23">
        <f>SUM(Q62:U62)</f>
        <v>5447002.395946227</v>
      </c>
    </row>
    <row r="63" spans="1:22" x14ac:dyDescent="0.2">
      <c r="A63" s="3" t="s">
        <v>8</v>
      </c>
      <c r="B63" s="23">
        <v>323549</v>
      </c>
      <c r="C63" s="23">
        <v>301224</v>
      </c>
      <c r="D63" s="23">
        <v>313556</v>
      </c>
      <c r="E63" s="23">
        <v>318547</v>
      </c>
      <c r="F63" s="23">
        <v>318547</v>
      </c>
      <c r="G63" s="23">
        <v>318547</v>
      </c>
      <c r="H63" s="23">
        <v>318547</v>
      </c>
      <c r="I63" s="23">
        <v>318547</v>
      </c>
      <c r="J63" s="23">
        <v>318547</v>
      </c>
      <c r="K63" s="23">
        <v>318547</v>
      </c>
      <c r="L63" s="23">
        <v>318547</v>
      </c>
      <c r="M63" s="23">
        <v>318547</v>
      </c>
      <c r="O63" s="23">
        <f>SUM(B63:M63)</f>
        <v>3805252</v>
      </c>
      <c r="Q63" s="23">
        <f>SUM(B63:D63)</f>
        <v>938329</v>
      </c>
      <c r="R63" s="23">
        <f>SUM(E63:G63)</f>
        <v>955641</v>
      </c>
      <c r="S63" s="23">
        <f>SUM(H63:J63)</f>
        <v>955641</v>
      </c>
      <c r="T63" s="23">
        <f>SUM(K63:M63)</f>
        <v>955641</v>
      </c>
      <c r="V63" s="23">
        <f>SUM(Q63:U63)</f>
        <v>3805252</v>
      </c>
    </row>
    <row r="64" spans="1:22" x14ac:dyDescent="0.2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5" thickBot="1" x14ac:dyDescent="0.25">
      <c r="A65" s="4" t="s">
        <v>17</v>
      </c>
      <c r="B65" s="28">
        <f t="shared" ref="B65:M65" si="39">SUM(B60:B64)</f>
        <v>994435</v>
      </c>
      <c r="C65" s="28">
        <f t="shared" si="39"/>
        <v>779224</v>
      </c>
      <c r="D65" s="28">
        <f t="shared" si="39"/>
        <v>731536</v>
      </c>
      <c r="E65" s="28">
        <f t="shared" si="39"/>
        <v>842943</v>
      </c>
      <c r="F65" s="28">
        <f t="shared" si="39"/>
        <v>855583.03054288402</v>
      </c>
      <c r="G65" s="28">
        <f t="shared" si="39"/>
        <v>858486.99959721358</v>
      </c>
      <c r="H65" s="28">
        <f t="shared" si="39"/>
        <v>833729.08369225392</v>
      </c>
      <c r="I65" s="28">
        <f t="shared" si="39"/>
        <v>747557.10449280927</v>
      </c>
      <c r="J65" s="28">
        <f t="shared" si="39"/>
        <v>651060.8395727009</v>
      </c>
      <c r="K65" s="28">
        <f t="shared" si="39"/>
        <v>649508.9248842753</v>
      </c>
      <c r="L65" s="28">
        <f t="shared" si="39"/>
        <v>652572.96940795402</v>
      </c>
      <c r="M65" s="28">
        <f t="shared" si="39"/>
        <v>655617.44375613588</v>
      </c>
      <c r="O65" s="28">
        <f>SUM(O60:O64)</f>
        <v>9252254.395946227</v>
      </c>
      <c r="Q65" s="28">
        <f>SUM(B65:D65)</f>
        <v>2505195</v>
      </c>
      <c r="R65" s="28">
        <f>SUM(E65:G65)</f>
        <v>2557013.0301400977</v>
      </c>
      <c r="S65" s="28">
        <f>SUM(H65:J65)</f>
        <v>2232347.0277577639</v>
      </c>
      <c r="T65" s="28">
        <f>SUM(K65:M65)</f>
        <v>1957699.3380483652</v>
      </c>
      <c r="V65" s="28">
        <f>SUM(Q65:U65)</f>
        <v>9252254.395946227</v>
      </c>
    </row>
    <row r="67" spans="1:22" ht="13.5" thickBot="1" x14ac:dyDescent="0.25">
      <c r="A67" s="1" t="s">
        <v>13</v>
      </c>
      <c r="B67" s="29">
        <f t="shared" ref="B67:M67" si="40">+B10+B48+B58+B65</f>
        <v>1237273</v>
      </c>
      <c r="C67" s="29">
        <f t="shared" si="40"/>
        <v>1145014</v>
      </c>
      <c r="D67" s="29">
        <f t="shared" si="40"/>
        <v>1104764</v>
      </c>
      <c r="E67" s="29">
        <f t="shared" si="40"/>
        <v>1335195.56</v>
      </c>
      <c r="F67" s="29">
        <f t="shared" si="40"/>
        <v>1184756.3638762173</v>
      </c>
      <c r="G67" s="29">
        <f t="shared" si="40"/>
        <v>1173000.832930547</v>
      </c>
      <c r="H67" s="29">
        <f t="shared" si="40"/>
        <v>1148241.9170255873</v>
      </c>
      <c r="I67" s="29">
        <f t="shared" si="40"/>
        <v>1062069.9378261426</v>
      </c>
      <c r="J67" s="29">
        <f t="shared" si="40"/>
        <v>965574.67290603428</v>
      </c>
      <c r="K67" s="29">
        <f t="shared" si="40"/>
        <v>945843.75821760867</v>
      </c>
      <c r="L67" s="29">
        <f t="shared" si="40"/>
        <v>912907.80274128739</v>
      </c>
      <c r="M67" s="29">
        <f t="shared" si="40"/>
        <v>916411.27708946925</v>
      </c>
      <c r="O67" s="29">
        <f>+O10+O48+O58+O65</f>
        <v>13131053.122612894</v>
      </c>
      <c r="Q67" s="29">
        <f>SUM(B67:D67)</f>
        <v>3487051</v>
      </c>
      <c r="R67" s="29">
        <f>SUM(E67:G67)</f>
        <v>3692952.7568067648</v>
      </c>
      <c r="S67" s="29">
        <f>SUM(H67:J67)</f>
        <v>3175886.5277577643</v>
      </c>
      <c r="T67" s="29">
        <f>SUM(K67:M67)</f>
        <v>2775162.8380483654</v>
      </c>
      <c r="V67" s="29">
        <f>SUM(Q67:U67)</f>
        <v>13131053.122612894</v>
      </c>
    </row>
    <row r="68" spans="1:22" ht="13.5" thickTop="1" x14ac:dyDescent="0.2">
      <c r="A68" s="40" t="s">
        <v>80</v>
      </c>
      <c r="B68" s="26">
        <f>670886+323549+206284+36555+133333</f>
        <v>1370607</v>
      </c>
      <c r="C68" s="41">
        <f>478000+301224+48123+43021+133333</f>
        <v>1003701</v>
      </c>
      <c r="D68" s="23">
        <f>1142787-34994-32-1624+6570+36</f>
        <v>1112743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">
      <c r="A69" s="40" t="s">
        <v>27</v>
      </c>
      <c r="B69" s="26">
        <f>B67-B68</f>
        <v>-133334</v>
      </c>
      <c r="C69" s="26">
        <f>C67-C68</f>
        <v>141313</v>
      </c>
      <c r="D69" s="26">
        <f>D67-D68</f>
        <v>-7979</v>
      </c>
      <c r="E69" s="26">
        <f>SUM(B69:D69)</f>
        <v>0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75" x14ac:dyDescent="0.25">
      <c r="A71" s="43" t="str">
        <f>+A1</f>
        <v>GENCO - Brownsville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75" x14ac:dyDescent="0.25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75" x14ac:dyDescent="0.25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36697.489055555554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">
      <c r="A82" s="1" t="s">
        <v>10</v>
      </c>
    </row>
    <row r="83" spans="1:22" x14ac:dyDescent="0.2">
      <c r="A83" s="17" t="s">
        <v>49</v>
      </c>
    </row>
    <row r="84" spans="1:22" x14ac:dyDescent="0.2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10" si="41">SUM(B85:M85)</f>
        <v>9500</v>
      </c>
      <c r="Q85" s="23">
        <f t="shared" ref="Q85:Q112" si="42">SUM(B85:D85)</f>
        <v>1629</v>
      </c>
      <c r="R85" s="23">
        <f t="shared" ref="R85:R112" si="43">SUM(E85:G85)</f>
        <v>2823</v>
      </c>
      <c r="S85" s="23">
        <f t="shared" ref="S85:S112" si="44">SUM(H85:J85)</f>
        <v>3420</v>
      </c>
      <c r="T85" s="23">
        <f t="shared" ref="T85:T112" si="45">SUM(K85:M85)</f>
        <v>1628</v>
      </c>
      <c r="V85" s="23">
        <f t="shared" ref="V85:V112" si="46">SUM(Q85:U85)</f>
        <v>9500</v>
      </c>
    </row>
    <row r="86" spans="1:22" x14ac:dyDescent="0.2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41"/>
        <v>0</v>
      </c>
      <c r="Q86" s="23">
        <f t="shared" si="42"/>
        <v>0</v>
      </c>
      <c r="R86" s="23">
        <f t="shared" si="43"/>
        <v>0</v>
      </c>
      <c r="S86" s="23">
        <f t="shared" si="44"/>
        <v>0</v>
      </c>
      <c r="T86" s="23">
        <f t="shared" si="45"/>
        <v>0</v>
      </c>
      <c r="V86" s="23">
        <f t="shared" si="46"/>
        <v>0</v>
      </c>
    </row>
    <row r="87" spans="1:22" x14ac:dyDescent="0.2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41"/>
        <v>0</v>
      </c>
      <c r="Q87" s="23">
        <f t="shared" si="42"/>
        <v>0</v>
      </c>
      <c r="R87" s="23">
        <f t="shared" si="43"/>
        <v>0</v>
      </c>
      <c r="S87" s="23">
        <f t="shared" si="44"/>
        <v>0</v>
      </c>
      <c r="T87" s="23">
        <f t="shared" si="45"/>
        <v>0</v>
      </c>
      <c r="V87" s="23">
        <f t="shared" si="46"/>
        <v>0</v>
      </c>
    </row>
    <row r="88" spans="1:22" x14ac:dyDescent="0.2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41"/>
        <v>0</v>
      </c>
      <c r="Q88" s="23">
        <f t="shared" si="42"/>
        <v>0</v>
      </c>
      <c r="R88" s="23">
        <f t="shared" si="43"/>
        <v>0</v>
      </c>
      <c r="S88" s="23">
        <f t="shared" si="44"/>
        <v>0</v>
      </c>
      <c r="T88" s="23">
        <f t="shared" si="45"/>
        <v>0</v>
      </c>
      <c r="V88" s="23">
        <f t="shared" si="46"/>
        <v>0</v>
      </c>
    </row>
    <row r="89" spans="1:22" x14ac:dyDescent="0.2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41"/>
        <v>0</v>
      </c>
      <c r="Q89" s="23">
        <f t="shared" si="42"/>
        <v>0</v>
      </c>
      <c r="R89" s="23">
        <f t="shared" si="43"/>
        <v>0</v>
      </c>
      <c r="S89" s="23">
        <f t="shared" si="44"/>
        <v>0</v>
      </c>
      <c r="T89" s="23">
        <f t="shared" si="45"/>
        <v>0</v>
      </c>
      <c r="V89" s="23">
        <f t="shared" si="46"/>
        <v>0</v>
      </c>
    </row>
    <row r="90" spans="1:22" x14ac:dyDescent="0.2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41"/>
        <v>0</v>
      </c>
      <c r="Q90" s="23">
        <f t="shared" si="42"/>
        <v>0</v>
      </c>
      <c r="R90" s="23">
        <f t="shared" si="43"/>
        <v>0</v>
      </c>
      <c r="S90" s="23">
        <f t="shared" si="44"/>
        <v>0</v>
      </c>
      <c r="T90" s="23">
        <f t="shared" si="45"/>
        <v>0</v>
      </c>
      <c r="V90" s="23">
        <f t="shared" si="46"/>
        <v>0</v>
      </c>
    </row>
    <row r="91" spans="1:22" x14ac:dyDescent="0.2">
      <c r="A91" s="18" t="s">
        <v>92</v>
      </c>
      <c r="B91" s="23">
        <v>743</v>
      </c>
      <c r="C91" s="23">
        <v>743</v>
      </c>
      <c r="D91" s="23">
        <v>743</v>
      </c>
      <c r="E91" s="23">
        <v>743</v>
      </c>
      <c r="F91" s="23">
        <v>1560</v>
      </c>
      <c r="G91" s="23">
        <v>1560</v>
      </c>
      <c r="H91" s="23">
        <v>1560</v>
      </c>
      <c r="I91" s="23">
        <v>1560</v>
      </c>
      <c r="J91" s="23">
        <v>1560</v>
      </c>
      <c r="K91" s="23">
        <v>743</v>
      </c>
      <c r="L91" s="23">
        <v>743</v>
      </c>
      <c r="M91" s="23">
        <v>742</v>
      </c>
      <c r="O91" s="23">
        <f t="shared" si="41"/>
        <v>13000</v>
      </c>
      <c r="Q91" s="23">
        <f t="shared" si="42"/>
        <v>2229</v>
      </c>
      <c r="R91" s="23">
        <f t="shared" si="43"/>
        <v>3863</v>
      </c>
      <c r="S91" s="23">
        <f t="shared" si="44"/>
        <v>4680</v>
      </c>
      <c r="T91" s="23">
        <f t="shared" si="45"/>
        <v>2228</v>
      </c>
      <c r="V91" s="23">
        <f t="shared" si="46"/>
        <v>13000</v>
      </c>
    </row>
    <row r="92" spans="1:22" x14ac:dyDescent="0.2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41"/>
        <v>5500</v>
      </c>
      <c r="Q92" s="23">
        <f t="shared" si="42"/>
        <v>1374</v>
      </c>
      <c r="R92" s="23">
        <f t="shared" si="43"/>
        <v>1374</v>
      </c>
      <c r="S92" s="23">
        <f t="shared" si="44"/>
        <v>1374</v>
      </c>
      <c r="T92" s="23">
        <f t="shared" si="45"/>
        <v>1378</v>
      </c>
      <c r="V92" s="23">
        <f t="shared" si="46"/>
        <v>5500</v>
      </c>
    </row>
    <row r="93" spans="1:22" x14ac:dyDescent="0.2">
      <c r="A93" s="18" t="s">
        <v>45</v>
      </c>
      <c r="B93" s="23">
        <v>457</v>
      </c>
      <c r="C93" s="23">
        <v>457</v>
      </c>
      <c r="D93" s="23">
        <v>457</v>
      </c>
      <c r="E93" s="23">
        <v>6457</v>
      </c>
      <c r="F93" s="23">
        <v>21888</v>
      </c>
      <c r="G93" s="23">
        <v>21888</v>
      </c>
      <c r="H93" s="23">
        <v>21888</v>
      </c>
      <c r="I93" s="23">
        <v>21888</v>
      </c>
      <c r="J93" s="23">
        <v>21888</v>
      </c>
      <c r="K93" s="23">
        <v>6457</v>
      </c>
      <c r="L93" s="23">
        <v>457</v>
      </c>
      <c r="M93" s="23">
        <v>458</v>
      </c>
      <c r="O93" s="23">
        <f t="shared" si="41"/>
        <v>124640</v>
      </c>
      <c r="Q93" s="23">
        <f t="shared" si="42"/>
        <v>1371</v>
      </c>
      <c r="R93" s="23">
        <f t="shared" si="43"/>
        <v>50233</v>
      </c>
      <c r="S93" s="23">
        <f t="shared" si="44"/>
        <v>65664</v>
      </c>
      <c r="T93" s="23">
        <f t="shared" si="45"/>
        <v>7372</v>
      </c>
      <c r="V93" s="23">
        <f t="shared" si="46"/>
        <v>124640</v>
      </c>
    </row>
    <row r="94" spans="1:22" x14ac:dyDescent="0.2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41"/>
        <v>1500</v>
      </c>
      <c r="Q94" s="23">
        <f t="shared" si="42"/>
        <v>258</v>
      </c>
      <c r="R94" s="23">
        <f t="shared" si="43"/>
        <v>446</v>
      </c>
      <c r="S94" s="23">
        <f t="shared" si="44"/>
        <v>540</v>
      </c>
      <c r="T94" s="23">
        <f t="shared" si="45"/>
        <v>256</v>
      </c>
      <c r="V94" s="23">
        <f t="shared" si="46"/>
        <v>1500</v>
      </c>
    </row>
    <row r="95" spans="1:22" x14ac:dyDescent="0.2">
      <c r="A95" s="18" t="s">
        <v>67</v>
      </c>
      <c r="B95" s="23">
        <v>286</v>
      </c>
      <c r="C95" s="23">
        <v>286</v>
      </c>
      <c r="D95" s="23">
        <v>286</v>
      </c>
      <c r="E95" s="23">
        <v>286</v>
      </c>
      <c r="F95" s="23">
        <v>600</v>
      </c>
      <c r="G95" s="23">
        <v>600</v>
      </c>
      <c r="H95" s="23">
        <v>600</v>
      </c>
      <c r="I95" s="23">
        <v>600</v>
      </c>
      <c r="J95" s="23">
        <v>600</v>
      </c>
      <c r="K95" s="23">
        <v>286</v>
      </c>
      <c r="L95" s="23">
        <v>286</v>
      </c>
      <c r="M95" s="23">
        <v>284</v>
      </c>
      <c r="O95" s="23">
        <f t="shared" si="41"/>
        <v>5000</v>
      </c>
      <c r="Q95" s="23">
        <f t="shared" si="42"/>
        <v>858</v>
      </c>
      <c r="R95" s="23">
        <f t="shared" si="43"/>
        <v>1486</v>
      </c>
      <c r="S95" s="23">
        <f t="shared" si="44"/>
        <v>1800</v>
      </c>
      <c r="T95" s="23">
        <f t="shared" si="45"/>
        <v>856</v>
      </c>
      <c r="V95" s="23">
        <f t="shared" si="46"/>
        <v>5000</v>
      </c>
    </row>
    <row r="96" spans="1:22" x14ac:dyDescent="0.2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41"/>
        <v>0</v>
      </c>
      <c r="Q96" s="23">
        <f t="shared" si="42"/>
        <v>0</v>
      </c>
      <c r="R96" s="23">
        <f t="shared" si="43"/>
        <v>0</v>
      </c>
      <c r="S96" s="23">
        <f t="shared" si="44"/>
        <v>0</v>
      </c>
      <c r="T96" s="23">
        <f t="shared" si="45"/>
        <v>0</v>
      </c>
      <c r="V96" s="23">
        <f t="shared" si="46"/>
        <v>0</v>
      </c>
    </row>
    <row r="97" spans="1:22" x14ac:dyDescent="0.2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41"/>
        <v>4000</v>
      </c>
      <c r="Q97" s="23">
        <f t="shared" si="42"/>
        <v>999</v>
      </c>
      <c r="R97" s="23">
        <f t="shared" si="43"/>
        <v>999</v>
      </c>
      <c r="S97" s="23">
        <f t="shared" si="44"/>
        <v>999</v>
      </c>
      <c r="T97" s="23">
        <f t="shared" si="45"/>
        <v>1003</v>
      </c>
      <c r="V97" s="23">
        <f t="shared" si="46"/>
        <v>4000</v>
      </c>
    </row>
    <row r="98" spans="1:22" x14ac:dyDescent="0.2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1260</v>
      </c>
      <c r="G100" s="23">
        <v>1260</v>
      </c>
      <c r="H100" s="23">
        <v>1260</v>
      </c>
      <c r="I100" s="23">
        <v>1260</v>
      </c>
      <c r="J100" s="23">
        <v>1260</v>
      </c>
      <c r="K100" s="23">
        <v>600</v>
      </c>
      <c r="L100" s="23">
        <v>600</v>
      </c>
      <c r="M100" s="23">
        <v>600</v>
      </c>
      <c r="O100" s="23">
        <f t="shared" si="41"/>
        <v>10500</v>
      </c>
      <c r="Q100" s="23">
        <f t="shared" si="42"/>
        <v>1800</v>
      </c>
      <c r="R100" s="23">
        <f t="shared" si="43"/>
        <v>3120</v>
      </c>
      <c r="S100" s="23">
        <f t="shared" si="44"/>
        <v>3780</v>
      </c>
      <c r="T100" s="23">
        <f t="shared" si="45"/>
        <v>1800</v>
      </c>
      <c r="V100" s="23">
        <f t="shared" si="46"/>
        <v>10500</v>
      </c>
    </row>
    <row r="101" spans="1:22" x14ac:dyDescent="0.2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41"/>
        <v>46200</v>
      </c>
      <c r="Q101" s="23">
        <f t="shared" si="42"/>
        <v>9624</v>
      </c>
      <c r="R101" s="23">
        <f t="shared" si="43"/>
        <v>12704</v>
      </c>
      <c r="S101" s="23">
        <f t="shared" si="44"/>
        <v>14244</v>
      </c>
      <c r="T101" s="23">
        <f t="shared" si="45"/>
        <v>9628</v>
      </c>
      <c r="V101" s="23">
        <f t="shared" si="46"/>
        <v>46200</v>
      </c>
    </row>
    <row r="102" spans="1:22" x14ac:dyDescent="0.2">
      <c r="A102" s="18" t="s">
        <v>71</v>
      </c>
      <c r="B102" s="30">
        <v>5452</v>
      </c>
      <c r="C102" s="23">
        <v>5452</v>
      </c>
      <c r="D102" s="23">
        <v>5452</v>
      </c>
      <c r="E102" s="23">
        <v>5452</v>
      </c>
      <c r="F102" s="23">
        <v>20767</v>
      </c>
      <c r="G102" s="23">
        <v>5767</v>
      </c>
      <c r="H102" s="23">
        <v>5767</v>
      </c>
      <c r="I102" s="23">
        <v>5767</v>
      </c>
      <c r="J102" s="23">
        <v>5767</v>
      </c>
      <c r="K102" s="23">
        <v>5452</v>
      </c>
      <c r="L102" s="23">
        <v>5452</v>
      </c>
      <c r="M102" s="30">
        <v>5453</v>
      </c>
      <c r="O102" s="23">
        <f t="shared" si="41"/>
        <v>82000</v>
      </c>
      <c r="Q102" s="23">
        <f t="shared" si="42"/>
        <v>16356</v>
      </c>
      <c r="R102" s="23">
        <f t="shared" si="43"/>
        <v>31986</v>
      </c>
      <c r="S102" s="23">
        <f t="shared" si="44"/>
        <v>17301</v>
      </c>
      <c r="T102" s="23">
        <f t="shared" si="45"/>
        <v>16357</v>
      </c>
      <c r="V102" s="23">
        <f t="shared" si="46"/>
        <v>82000</v>
      </c>
    </row>
    <row r="103" spans="1:22" x14ac:dyDescent="0.2">
      <c r="A103" s="18" t="s">
        <v>44</v>
      </c>
      <c r="B103" s="23">
        <v>44683</v>
      </c>
      <c r="C103" s="23">
        <v>44683</v>
      </c>
      <c r="D103" s="23">
        <v>44683</v>
      </c>
      <c r="E103" s="23">
        <v>44683</v>
      </c>
      <c r="F103" s="23">
        <v>60145</v>
      </c>
      <c r="G103" s="23">
        <v>60145</v>
      </c>
      <c r="H103" s="23">
        <v>60145</v>
      </c>
      <c r="I103" s="23">
        <v>60145</v>
      </c>
      <c r="J103" s="23">
        <v>60145</v>
      </c>
      <c r="K103" s="23">
        <v>74683</v>
      </c>
      <c r="L103" s="23">
        <v>44683</v>
      </c>
      <c r="M103" s="30">
        <v>44685</v>
      </c>
      <c r="O103" s="23">
        <f t="shared" si="41"/>
        <v>643508</v>
      </c>
      <c r="Q103" s="23">
        <f t="shared" si="42"/>
        <v>134049</v>
      </c>
      <c r="R103" s="23">
        <f t="shared" si="43"/>
        <v>164973</v>
      </c>
      <c r="S103" s="23">
        <f t="shared" si="44"/>
        <v>180435</v>
      </c>
      <c r="T103" s="23">
        <f t="shared" si="45"/>
        <v>164051</v>
      </c>
      <c r="V103" s="23">
        <f t="shared" si="46"/>
        <v>643508</v>
      </c>
    </row>
    <row r="104" spans="1:22" x14ac:dyDescent="0.2">
      <c r="A104" s="18" t="s">
        <v>47</v>
      </c>
      <c r="B104" s="23">
        <v>2975</v>
      </c>
      <c r="C104" s="23">
        <v>2975</v>
      </c>
      <c r="D104" s="23">
        <v>2975</v>
      </c>
      <c r="E104" s="23">
        <v>2975</v>
      </c>
      <c r="F104" s="23">
        <v>2975</v>
      </c>
      <c r="G104" s="23">
        <v>2975</v>
      </c>
      <c r="H104" s="23">
        <v>2975</v>
      </c>
      <c r="I104" s="23">
        <v>2975</v>
      </c>
      <c r="J104" s="23">
        <v>2975</v>
      </c>
      <c r="K104" s="23">
        <v>2975</v>
      </c>
      <c r="L104" s="23">
        <v>2975</v>
      </c>
      <c r="M104" s="23">
        <v>2975</v>
      </c>
      <c r="O104" s="23">
        <f t="shared" si="41"/>
        <v>35700</v>
      </c>
      <c r="Q104" s="23">
        <f t="shared" si="42"/>
        <v>8925</v>
      </c>
      <c r="R104" s="23">
        <f t="shared" si="43"/>
        <v>8925</v>
      </c>
      <c r="S104" s="23">
        <f t="shared" si="44"/>
        <v>8925</v>
      </c>
      <c r="T104" s="23">
        <f t="shared" si="45"/>
        <v>8925</v>
      </c>
      <c r="V104" s="23">
        <f t="shared" si="46"/>
        <v>35700</v>
      </c>
    </row>
    <row r="105" spans="1:22" x14ac:dyDescent="0.2">
      <c r="A105" s="18" t="s">
        <v>2</v>
      </c>
      <c r="B105" s="30">
        <f>1850+19243</f>
        <v>21093</v>
      </c>
      <c r="C105" s="30">
        <f>1850+19243</f>
        <v>21093</v>
      </c>
      <c r="D105" s="23">
        <f>1850+19243</f>
        <v>21093</v>
      </c>
      <c r="E105" s="23">
        <f>1850+19243</f>
        <v>21093</v>
      </c>
      <c r="F105" s="23">
        <f>2600+19243</f>
        <v>21843</v>
      </c>
      <c r="G105" s="23">
        <f t="shared" ref="G105:L105" si="47">1850+19820</f>
        <v>21670</v>
      </c>
      <c r="H105" s="23">
        <f t="shared" si="47"/>
        <v>21670</v>
      </c>
      <c r="I105" s="23">
        <f t="shared" si="47"/>
        <v>21670</v>
      </c>
      <c r="J105" s="23">
        <f t="shared" si="47"/>
        <v>21670</v>
      </c>
      <c r="K105" s="23">
        <f t="shared" si="47"/>
        <v>21670</v>
      </c>
      <c r="L105" s="23">
        <f t="shared" si="47"/>
        <v>21670</v>
      </c>
      <c r="M105" s="23">
        <f>2300+19820</f>
        <v>22120</v>
      </c>
      <c r="O105" s="23">
        <f>SUM(B105:M105)</f>
        <v>258355</v>
      </c>
      <c r="Q105" s="23">
        <f>SUM(B105:D105)</f>
        <v>63279</v>
      </c>
      <c r="R105" s="23">
        <f>SUM(E105:G105)</f>
        <v>64606</v>
      </c>
      <c r="S105" s="23">
        <f>SUM(H105:J105)</f>
        <v>65010</v>
      </c>
      <c r="T105" s="23">
        <f>SUM(K105:M105)</f>
        <v>65460</v>
      </c>
      <c r="V105" s="23">
        <f>SUM(Q105:U105)</f>
        <v>258355</v>
      </c>
    </row>
    <row r="106" spans="1:22" x14ac:dyDescent="0.2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41"/>
        <v>195000</v>
      </c>
      <c r="Q108" s="23">
        <f t="shared" si="42"/>
        <v>33429</v>
      </c>
      <c r="R108" s="23">
        <f t="shared" si="43"/>
        <v>57943</v>
      </c>
      <c r="S108" s="23">
        <f t="shared" si="44"/>
        <v>70200</v>
      </c>
      <c r="T108" s="23">
        <f t="shared" si="45"/>
        <v>33428</v>
      </c>
      <c r="V108" s="23">
        <f t="shared" si="46"/>
        <v>195000</v>
      </c>
    </row>
    <row r="109" spans="1:22" x14ac:dyDescent="0.2">
      <c r="A109" s="18" t="s">
        <v>74</v>
      </c>
      <c r="B109" s="23">
        <v>629</v>
      </c>
      <c r="C109" s="23">
        <v>629</v>
      </c>
      <c r="D109" s="23">
        <v>629</v>
      </c>
      <c r="E109" s="23">
        <v>629</v>
      </c>
      <c r="F109" s="23">
        <v>1320</v>
      </c>
      <c r="G109" s="23">
        <v>1320</v>
      </c>
      <c r="H109" s="23">
        <v>1320</v>
      </c>
      <c r="I109" s="23">
        <v>1320</v>
      </c>
      <c r="J109" s="23">
        <v>1320</v>
      </c>
      <c r="K109" s="23">
        <v>629</v>
      </c>
      <c r="L109" s="23">
        <v>629</v>
      </c>
      <c r="M109" s="23">
        <v>626</v>
      </c>
      <c r="O109" s="23">
        <f t="shared" si="41"/>
        <v>11000</v>
      </c>
      <c r="Q109" s="23">
        <f t="shared" si="42"/>
        <v>1887</v>
      </c>
      <c r="R109" s="23">
        <f t="shared" si="43"/>
        <v>3269</v>
      </c>
      <c r="S109" s="23">
        <f t="shared" si="44"/>
        <v>3960</v>
      </c>
      <c r="T109" s="23">
        <f t="shared" si="45"/>
        <v>1884</v>
      </c>
      <c r="V109" s="23">
        <f t="shared" si="46"/>
        <v>11000</v>
      </c>
    </row>
    <row r="110" spans="1:22" x14ac:dyDescent="0.2">
      <c r="A110" s="18" t="s">
        <v>96</v>
      </c>
      <c r="B110" s="23">
        <v>0</v>
      </c>
      <c r="O110" s="23">
        <f t="shared" si="41"/>
        <v>0</v>
      </c>
    </row>
    <row r="111" spans="1:22" x14ac:dyDescent="0.2">
      <c r="A111" s="18"/>
    </row>
    <row r="112" spans="1:22" x14ac:dyDescent="0.2">
      <c r="A112" s="19" t="s">
        <v>28</v>
      </c>
      <c r="B112" s="27">
        <f t="shared" ref="B112:M112" si="48">SUM(B83:B109)</f>
        <v>93668</v>
      </c>
      <c r="C112" s="27">
        <f t="shared" si="48"/>
        <v>93668</v>
      </c>
      <c r="D112" s="27">
        <f t="shared" si="48"/>
        <v>108668</v>
      </c>
      <c r="E112" s="27">
        <f t="shared" si="48"/>
        <v>99668</v>
      </c>
      <c r="F112" s="27">
        <f t="shared" si="48"/>
        <v>163596</v>
      </c>
      <c r="G112" s="27">
        <f t="shared" si="48"/>
        <v>148423</v>
      </c>
      <c r="H112" s="27">
        <f t="shared" si="48"/>
        <v>148423</v>
      </c>
      <c r="I112" s="27">
        <f t="shared" si="48"/>
        <v>148423</v>
      </c>
      <c r="J112" s="27">
        <f t="shared" si="48"/>
        <v>148423</v>
      </c>
      <c r="K112" s="27">
        <f t="shared" si="48"/>
        <v>130245</v>
      </c>
      <c r="L112" s="27">
        <f t="shared" si="48"/>
        <v>94245</v>
      </c>
      <c r="M112" s="27">
        <f t="shared" si="48"/>
        <v>94703</v>
      </c>
      <c r="O112" s="27">
        <f>SUM(O83:O109)</f>
        <v>1472153</v>
      </c>
      <c r="Q112" s="27">
        <f t="shared" si="42"/>
        <v>296004</v>
      </c>
      <c r="R112" s="27">
        <f t="shared" si="43"/>
        <v>411687</v>
      </c>
      <c r="S112" s="27">
        <f t="shared" si="44"/>
        <v>445269</v>
      </c>
      <c r="T112" s="27">
        <f t="shared" si="45"/>
        <v>319193</v>
      </c>
      <c r="V112" s="27">
        <f t="shared" si="46"/>
        <v>1472153</v>
      </c>
    </row>
    <row r="113" spans="1:22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v>17167</v>
      </c>
      <c r="H114" s="25">
        <v>17167</v>
      </c>
      <c r="I114" s="25">
        <v>17167</v>
      </c>
      <c r="J114" s="25">
        <v>17167</v>
      </c>
      <c r="K114" s="25">
        <v>17167</v>
      </c>
      <c r="L114" s="25">
        <v>17167</v>
      </c>
      <c r="M114" s="25">
        <v>17167</v>
      </c>
      <c r="O114" s="25">
        <f>SUM(B114:M114)</f>
        <v>203502.33333333334</v>
      </c>
      <c r="Q114" s="25">
        <f>SUM(B114:D114)</f>
        <v>50000</v>
      </c>
      <c r="R114" s="25">
        <f>SUM(E114:G114)</f>
        <v>50500.333333333336</v>
      </c>
      <c r="S114" s="25">
        <f>SUM(H114:J114)</f>
        <v>51501</v>
      </c>
      <c r="T114" s="25">
        <f>SUM(K114:M114)</f>
        <v>51501</v>
      </c>
      <c r="V114" s="25">
        <f>SUM(Q114:U114)</f>
        <v>203502.33333333334</v>
      </c>
    </row>
    <row r="115" spans="1:22" x14ac:dyDescent="0.2">
      <c r="A115" s="17"/>
    </row>
    <row r="116" spans="1:22" x14ac:dyDescent="0.2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24">
        <f t="shared" ref="B118:M118" si="49">+B112+B114+B116</f>
        <v>160334.66666666669</v>
      </c>
      <c r="C118" s="24">
        <f t="shared" si="49"/>
        <v>160334.66666666669</v>
      </c>
      <c r="D118" s="24">
        <f t="shared" si="49"/>
        <v>175334.66666666669</v>
      </c>
      <c r="E118" s="24">
        <f t="shared" si="49"/>
        <v>166334.66666666669</v>
      </c>
      <c r="F118" s="24">
        <f t="shared" si="49"/>
        <v>230262.66666666666</v>
      </c>
      <c r="G118" s="24">
        <f t="shared" si="49"/>
        <v>215590</v>
      </c>
      <c r="H118" s="24">
        <f t="shared" si="49"/>
        <v>215590</v>
      </c>
      <c r="I118" s="24">
        <f t="shared" si="49"/>
        <v>215590</v>
      </c>
      <c r="J118" s="24">
        <f t="shared" si="49"/>
        <v>215590</v>
      </c>
      <c r="K118" s="24">
        <f t="shared" si="49"/>
        <v>197412</v>
      </c>
      <c r="L118" s="24">
        <f t="shared" si="49"/>
        <v>161412</v>
      </c>
      <c r="M118" s="24">
        <f t="shared" si="49"/>
        <v>161870</v>
      </c>
      <c r="O118" s="24">
        <f>+O112+O114+O116</f>
        <v>2275655.333333333</v>
      </c>
      <c r="Q118" s="24">
        <f>SUM(B118:D118)</f>
        <v>496004.00000000006</v>
      </c>
      <c r="R118" s="24">
        <f>SUM(E118:G118)</f>
        <v>612187.33333333337</v>
      </c>
      <c r="S118" s="24">
        <f>SUM(H118:J118)</f>
        <v>646770</v>
      </c>
      <c r="T118" s="24">
        <f>SUM(K118:M118)</f>
        <v>520694</v>
      </c>
      <c r="V118" s="24">
        <f>SUM(Q118:U118)</f>
        <v>2275655.3333333335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23">
        <f>223760/12</f>
        <v>18646.666666666668</v>
      </c>
      <c r="C121" s="23">
        <f>223760/12</f>
        <v>18646.666666666668</v>
      </c>
      <c r="D121" s="23">
        <f>223760/12</f>
        <v>18646.666666666668</v>
      </c>
      <c r="E121" s="23">
        <f>223760/12</f>
        <v>18646.666666666668</v>
      </c>
      <c r="F121" s="23">
        <f>223760/12</f>
        <v>18646.666666666668</v>
      </c>
      <c r="G121" s="23">
        <f>230473/12</f>
        <v>19206.083333333332</v>
      </c>
      <c r="H121" s="23">
        <f t="shared" ref="H121:M121" si="50">230473/12</f>
        <v>19206.083333333332</v>
      </c>
      <c r="I121" s="23">
        <f t="shared" si="50"/>
        <v>19206.083333333332</v>
      </c>
      <c r="J121" s="23">
        <f t="shared" si="50"/>
        <v>19206.083333333332</v>
      </c>
      <c r="K121" s="23">
        <f t="shared" si="50"/>
        <v>19206.083333333332</v>
      </c>
      <c r="L121" s="23">
        <f t="shared" si="50"/>
        <v>19206.083333333332</v>
      </c>
      <c r="M121" s="23">
        <f t="shared" si="50"/>
        <v>19206.083333333332</v>
      </c>
      <c r="O121" s="23">
        <f t="shared" ref="O121:O127" si="51">SUM(B121:M121)</f>
        <v>227675.91666666672</v>
      </c>
      <c r="Q121" s="23">
        <f t="shared" ref="Q121:Q128" si="52">SUM(B121:D121)</f>
        <v>55940</v>
      </c>
      <c r="R121" s="23">
        <f t="shared" ref="R121:R128" si="53">SUM(E121:G121)</f>
        <v>56499.416666666672</v>
      </c>
      <c r="S121" s="23">
        <f t="shared" ref="S121:S128" si="54">SUM(H121:J121)</f>
        <v>57618.25</v>
      </c>
      <c r="T121" s="23">
        <f t="shared" ref="T121:T128" si="55">SUM(K121:M121)</f>
        <v>57618.25</v>
      </c>
      <c r="V121" s="23">
        <f t="shared" ref="V121:V128" si="56">SUM(Q121:U121)</f>
        <v>227675.91666666669</v>
      </c>
    </row>
    <row r="122" spans="1:22" x14ac:dyDescent="0.2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100000/12</f>
        <v>8333.3333333333339</v>
      </c>
      <c r="H122" s="23">
        <f t="shared" ref="H122:M122" si="57">100000/12</f>
        <v>8333.3333333333339</v>
      </c>
      <c r="I122" s="23">
        <f t="shared" si="57"/>
        <v>8333.3333333333339</v>
      </c>
      <c r="J122" s="23">
        <f t="shared" si="57"/>
        <v>8333.3333333333339</v>
      </c>
      <c r="K122" s="23">
        <f t="shared" si="57"/>
        <v>8333.3333333333339</v>
      </c>
      <c r="L122" s="23">
        <f t="shared" si="57"/>
        <v>8333.3333333333339</v>
      </c>
      <c r="M122" s="23">
        <f t="shared" si="57"/>
        <v>8333.3333333333339</v>
      </c>
      <c r="O122" s="23">
        <f t="shared" si="51"/>
        <v>58333.333333333343</v>
      </c>
      <c r="Q122" s="23">
        <f t="shared" si="52"/>
        <v>0</v>
      </c>
      <c r="R122" s="23">
        <f t="shared" si="53"/>
        <v>8333.3333333333339</v>
      </c>
      <c r="S122" s="23">
        <f t="shared" si="54"/>
        <v>25000</v>
      </c>
      <c r="T122" s="23">
        <f t="shared" si="55"/>
        <v>25000</v>
      </c>
      <c r="V122" s="23">
        <f t="shared" si="56"/>
        <v>58333.333333333336</v>
      </c>
    </row>
    <row r="123" spans="1:22" x14ac:dyDescent="0.2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8">103000/12</f>
        <v>8583.3333333333339</v>
      </c>
      <c r="I123" s="23">
        <f t="shared" si="58"/>
        <v>8583.3333333333339</v>
      </c>
      <c r="J123" s="23">
        <f t="shared" si="58"/>
        <v>8583.3333333333339</v>
      </c>
      <c r="K123" s="23">
        <f t="shared" si="58"/>
        <v>8583.3333333333339</v>
      </c>
      <c r="L123" s="23">
        <f t="shared" si="58"/>
        <v>8583.3333333333339</v>
      </c>
      <c r="M123" s="23">
        <f t="shared" si="58"/>
        <v>8583.3333333333339</v>
      </c>
      <c r="O123" s="23">
        <f t="shared" si="51"/>
        <v>101749.99999999999</v>
      </c>
      <c r="Q123" s="23">
        <f t="shared" si="52"/>
        <v>25000</v>
      </c>
      <c r="R123" s="23">
        <f t="shared" si="53"/>
        <v>25250</v>
      </c>
      <c r="S123" s="23">
        <f t="shared" si="54"/>
        <v>25750</v>
      </c>
      <c r="T123" s="23">
        <f t="shared" si="55"/>
        <v>25750</v>
      </c>
      <c r="V123" s="23">
        <f t="shared" si="56"/>
        <v>101750</v>
      </c>
    </row>
    <row r="124" spans="1:22" x14ac:dyDescent="0.2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51"/>
        <v>30525</v>
      </c>
      <c r="Q124" s="23">
        <f t="shared" si="52"/>
        <v>7500</v>
      </c>
      <c r="R124" s="23">
        <f t="shared" si="53"/>
        <v>7575</v>
      </c>
      <c r="S124" s="23">
        <f t="shared" si="54"/>
        <v>7725</v>
      </c>
      <c r="T124" s="23">
        <f t="shared" si="55"/>
        <v>7725</v>
      </c>
      <c r="V124" s="23">
        <f t="shared" si="56"/>
        <v>30525</v>
      </c>
    </row>
    <row r="125" spans="1:22" x14ac:dyDescent="0.2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f>77250/12</f>
        <v>6437.5</v>
      </c>
      <c r="H125" s="23">
        <f t="shared" ref="H125:M125" si="59">77250/12</f>
        <v>6437.5</v>
      </c>
      <c r="I125" s="23">
        <f t="shared" si="59"/>
        <v>6437.5</v>
      </c>
      <c r="J125" s="23">
        <f t="shared" si="59"/>
        <v>6437.5</v>
      </c>
      <c r="K125" s="23">
        <f t="shared" si="59"/>
        <v>6437.5</v>
      </c>
      <c r="L125" s="23">
        <f t="shared" si="59"/>
        <v>6437.5</v>
      </c>
      <c r="M125" s="23">
        <f t="shared" si="59"/>
        <v>6437.5</v>
      </c>
      <c r="O125" s="23">
        <f t="shared" si="51"/>
        <v>76312.5</v>
      </c>
      <c r="Q125" s="23">
        <f t="shared" si="52"/>
        <v>18750</v>
      </c>
      <c r="R125" s="23">
        <f t="shared" si="53"/>
        <v>18937.5</v>
      </c>
      <c r="S125" s="23">
        <f t="shared" si="54"/>
        <v>19312.5</v>
      </c>
      <c r="T125" s="23">
        <f t="shared" si="55"/>
        <v>19312.5</v>
      </c>
      <c r="V125" s="23">
        <f t="shared" si="56"/>
        <v>76312.5</v>
      </c>
    </row>
    <row r="126" spans="1:22" x14ac:dyDescent="0.2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51"/>
        <v>0</v>
      </c>
      <c r="Q126" s="23">
        <f t="shared" si="52"/>
        <v>0</v>
      </c>
      <c r="R126" s="23">
        <f t="shared" si="53"/>
        <v>0</v>
      </c>
      <c r="S126" s="23">
        <f t="shared" si="54"/>
        <v>0</v>
      </c>
      <c r="T126" s="23">
        <f t="shared" si="55"/>
        <v>0</v>
      </c>
      <c r="V126" s="23">
        <f t="shared" si="56"/>
        <v>0</v>
      </c>
    </row>
    <row r="127" spans="1:22" x14ac:dyDescent="0.2">
      <c r="A127" s="3"/>
      <c r="O127" s="23">
        <f t="shared" si="51"/>
        <v>0</v>
      </c>
      <c r="Q127" s="23">
        <f t="shared" si="52"/>
        <v>0</v>
      </c>
      <c r="R127" s="23">
        <f t="shared" si="53"/>
        <v>0</v>
      </c>
      <c r="S127" s="23">
        <f t="shared" si="54"/>
        <v>0</v>
      </c>
      <c r="T127" s="23">
        <f t="shared" si="55"/>
        <v>0</v>
      </c>
      <c r="V127" s="23">
        <f t="shared" si="56"/>
        <v>0</v>
      </c>
    </row>
    <row r="128" spans="1:22" ht="13.5" thickBot="1" x14ac:dyDescent="0.25">
      <c r="A128" s="4" t="s">
        <v>15</v>
      </c>
      <c r="B128" s="28">
        <f t="shared" ref="B128:M128" si="60">SUM(B120:B127)</f>
        <v>35730</v>
      </c>
      <c r="C128" s="28">
        <f t="shared" si="60"/>
        <v>35730</v>
      </c>
      <c r="D128" s="28">
        <f t="shared" si="60"/>
        <v>35730</v>
      </c>
      <c r="E128" s="28">
        <f t="shared" si="60"/>
        <v>35730</v>
      </c>
      <c r="F128" s="28">
        <f t="shared" si="60"/>
        <v>35730</v>
      </c>
      <c r="G128" s="28">
        <f t="shared" si="60"/>
        <v>45135.25</v>
      </c>
      <c r="H128" s="28">
        <f t="shared" si="60"/>
        <v>45135.25</v>
      </c>
      <c r="I128" s="28">
        <f t="shared" si="60"/>
        <v>45135.25</v>
      </c>
      <c r="J128" s="28">
        <f t="shared" si="60"/>
        <v>45135.25</v>
      </c>
      <c r="K128" s="28">
        <f t="shared" si="60"/>
        <v>45135.25</v>
      </c>
      <c r="L128" s="28">
        <f t="shared" si="60"/>
        <v>45135.25</v>
      </c>
      <c r="M128" s="28">
        <f t="shared" si="60"/>
        <v>45135.25</v>
      </c>
      <c r="O128" s="28">
        <f>SUM(O120:O127)</f>
        <v>494596.75000000006</v>
      </c>
      <c r="Q128" s="28">
        <f t="shared" si="52"/>
        <v>107190</v>
      </c>
      <c r="R128" s="28">
        <f t="shared" si="53"/>
        <v>116595.25</v>
      </c>
      <c r="S128" s="28">
        <f t="shared" si="54"/>
        <v>135405.75</v>
      </c>
      <c r="T128" s="28">
        <f t="shared" si="55"/>
        <v>135405.75</v>
      </c>
      <c r="V128" s="28">
        <f t="shared" si="56"/>
        <v>494596.75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">
      <c r="A132" s="3" t="s">
        <v>7</v>
      </c>
      <c r="B132" s="23">
        <v>572000</v>
      </c>
      <c r="C132" s="23">
        <v>576000</v>
      </c>
      <c r="D132" s="23">
        <v>586000</v>
      </c>
      <c r="E132" s="23">
        <v>583000</v>
      </c>
      <c r="F132" s="23">
        <v>585000</v>
      </c>
      <c r="G132" s="23">
        <v>581000</v>
      </c>
      <c r="H132" s="23">
        <v>581000</v>
      </c>
      <c r="I132" s="23">
        <v>584000</v>
      </c>
      <c r="J132" s="23">
        <v>582000</v>
      </c>
      <c r="K132" s="23">
        <v>586000</v>
      </c>
      <c r="L132" s="23">
        <v>589000</v>
      </c>
      <c r="M132" s="23">
        <v>593000</v>
      </c>
      <c r="O132" s="23">
        <f>SUM(B132:M132)</f>
        <v>6998000</v>
      </c>
      <c r="Q132" s="23">
        <f>SUM(B132:D132)</f>
        <v>1734000</v>
      </c>
      <c r="R132" s="23">
        <f>SUM(E132:G132)</f>
        <v>1749000</v>
      </c>
      <c r="S132" s="23">
        <f>SUM(H132:J132)</f>
        <v>1747000</v>
      </c>
      <c r="T132" s="23">
        <f>SUM(K132:M132)</f>
        <v>1768000</v>
      </c>
      <c r="V132" s="23">
        <f>SUM(Q132:U132)</f>
        <v>6998000</v>
      </c>
    </row>
    <row r="133" spans="1:22" x14ac:dyDescent="0.2">
      <c r="A133" s="3" t="s">
        <v>8</v>
      </c>
      <c r="B133" s="23">
        <v>315000</v>
      </c>
      <c r="C133" s="23">
        <v>315000</v>
      </c>
      <c r="D133" s="23">
        <v>315000</v>
      </c>
      <c r="E133" s="23">
        <v>315000</v>
      </c>
      <c r="F133" s="23">
        <v>315000</v>
      </c>
      <c r="G133" s="23">
        <v>315000</v>
      </c>
      <c r="H133" s="23">
        <v>315000</v>
      </c>
      <c r="I133" s="23">
        <v>315000</v>
      </c>
      <c r="J133" s="23">
        <v>315000</v>
      </c>
      <c r="K133" s="23">
        <v>315000</v>
      </c>
      <c r="L133" s="23">
        <v>315000</v>
      </c>
      <c r="M133" s="23">
        <v>319000</v>
      </c>
      <c r="O133" s="23">
        <f>SUM(B133:M133)</f>
        <v>3784000</v>
      </c>
      <c r="Q133" s="23">
        <f>SUM(B133:D133)</f>
        <v>945000</v>
      </c>
      <c r="R133" s="23">
        <f>SUM(E133:G133)</f>
        <v>945000</v>
      </c>
      <c r="S133" s="23">
        <f>SUM(H133:J133)</f>
        <v>945000</v>
      </c>
      <c r="T133" s="23">
        <f>SUM(K133:M133)</f>
        <v>949000</v>
      </c>
      <c r="V133" s="23">
        <f>SUM(Q133:U133)</f>
        <v>3784000</v>
      </c>
    </row>
    <row r="134" spans="1:22" x14ac:dyDescent="0.2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5" thickBot="1" x14ac:dyDescent="0.25">
      <c r="A135" s="4" t="s">
        <v>17</v>
      </c>
      <c r="B135" s="28">
        <f t="shared" ref="B135:M135" si="61">SUM(B130:B134)</f>
        <v>887000</v>
      </c>
      <c r="C135" s="28">
        <f t="shared" si="61"/>
        <v>891000</v>
      </c>
      <c r="D135" s="28">
        <f t="shared" si="61"/>
        <v>901000</v>
      </c>
      <c r="E135" s="28">
        <f t="shared" si="61"/>
        <v>898000</v>
      </c>
      <c r="F135" s="28">
        <f t="shared" si="61"/>
        <v>900000</v>
      </c>
      <c r="G135" s="28">
        <f t="shared" si="61"/>
        <v>896000</v>
      </c>
      <c r="H135" s="28">
        <f t="shared" si="61"/>
        <v>896000</v>
      </c>
      <c r="I135" s="28">
        <f t="shared" si="61"/>
        <v>899000</v>
      </c>
      <c r="J135" s="28">
        <f t="shared" si="61"/>
        <v>897000</v>
      </c>
      <c r="K135" s="28">
        <f t="shared" si="61"/>
        <v>901000</v>
      </c>
      <c r="L135" s="28">
        <f t="shared" si="61"/>
        <v>904000</v>
      </c>
      <c r="M135" s="28">
        <f t="shared" si="61"/>
        <v>912000</v>
      </c>
      <c r="O135" s="28">
        <f>SUM(O130:O134)</f>
        <v>10782000</v>
      </c>
      <c r="Q135" s="28">
        <f>SUM(B135:D135)</f>
        <v>2679000</v>
      </c>
      <c r="R135" s="28">
        <f>SUM(E135:G135)</f>
        <v>2694000</v>
      </c>
      <c r="S135" s="28">
        <f>SUM(H135:J135)</f>
        <v>2692000</v>
      </c>
      <c r="T135" s="28">
        <f>SUM(K135:M135)</f>
        <v>2717000</v>
      </c>
      <c r="V135" s="28">
        <f>SUM(Q135:U135)</f>
        <v>10782000</v>
      </c>
    </row>
    <row r="137" spans="1:22" ht="13.5" thickBot="1" x14ac:dyDescent="0.25">
      <c r="A137" s="1" t="s">
        <v>13</v>
      </c>
      <c r="B137" s="29">
        <f t="shared" ref="B137:M137" si="62">+B80+B118+B128+B135</f>
        <v>1083064.6666666667</v>
      </c>
      <c r="C137" s="29">
        <f t="shared" si="62"/>
        <v>1087064.6666666667</v>
      </c>
      <c r="D137" s="29">
        <f t="shared" si="62"/>
        <v>1112064.6666666667</v>
      </c>
      <c r="E137" s="29">
        <f t="shared" si="62"/>
        <v>1100064.6666666667</v>
      </c>
      <c r="F137" s="29">
        <f t="shared" si="62"/>
        <v>1165992.6666666665</v>
      </c>
      <c r="G137" s="29">
        <f t="shared" si="62"/>
        <v>1156725.25</v>
      </c>
      <c r="H137" s="29">
        <f t="shared" si="62"/>
        <v>1156725.25</v>
      </c>
      <c r="I137" s="29">
        <f t="shared" si="62"/>
        <v>1159725.25</v>
      </c>
      <c r="J137" s="29">
        <f t="shared" si="62"/>
        <v>1157725.25</v>
      </c>
      <c r="K137" s="29">
        <f t="shared" si="62"/>
        <v>1143547.25</v>
      </c>
      <c r="L137" s="29">
        <f t="shared" si="62"/>
        <v>1110547.25</v>
      </c>
      <c r="M137" s="29">
        <f t="shared" si="62"/>
        <v>1119005.25</v>
      </c>
      <c r="O137" s="29">
        <f>+O80+O118+O128+O135</f>
        <v>13552252.083333332</v>
      </c>
      <c r="Q137" s="29">
        <f>SUM(B137:D137)</f>
        <v>3282194</v>
      </c>
      <c r="R137" s="29">
        <f>SUM(E137:G137)</f>
        <v>3422782.583333333</v>
      </c>
      <c r="S137" s="29">
        <f>SUM(H137:J137)</f>
        <v>3474175.75</v>
      </c>
      <c r="T137" s="29">
        <f>SUM(K137:M137)</f>
        <v>3373099.75</v>
      </c>
      <c r="V137" s="29">
        <f>SUM(Q137:U137)</f>
        <v>13552252.083333332</v>
      </c>
    </row>
    <row r="138" spans="1:22" ht="13.5" thickTop="1" x14ac:dyDescent="0.2"/>
    <row r="141" spans="1:22" ht="15.75" x14ac:dyDescent="0.25">
      <c r="A141" s="43" t="str">
        <f>+A1</f>
        <v>GENCO - Brownsville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75" x14ac:dyDescent="0.25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75" x14ac:dyDescent="0.25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36697.489055555554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24">
        <f t="shared" ref="B150:M150" si="63">+B80-B10</f>
        <v>0</v>
      </c>
      <c r="C150" s="24">
        <f t="shared" si="63"/>
        <v>0</v>
      </c>
      <c r="D150" s="24">
        <f t="shared" si="63"/>
        <v>0</v>
      </c>
      <c r="E150" s="24">
        <f t="shared" si="63"/>
        <v>0</v>
      </c>
      <c r="F150" s="24">
        <f t="shared" si="63"/>
        <v>0</v>
      </c>
      <c r="G150" s="24">
        <f t="shared" si="63"/>
        <v>0</v>
      </c>
      <c r="H150" s="24">
        <f t="shared" si="63"/>
        <v>0</v>
      </c>
      <c r="I150" s="24">
        <f t="shared" si="63"/>
        <v>0</v>
      </c>
      <c r="J150" s="24">
        <f t="shared" si="63"/>
        <v>0</v>
      </c>
      <c r="K150" s="24">
        <f t="shared" si="63"/>
        <v>0</v>
      </c>
      <c r="L150" s="24">
        <f t="shared" si="63"/>
        <v>0</v>
      </c>
      <c r="M150" s="24">
        <f t="shared" si="63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">
      <c r="A152" s="1" t="s">
        <v>10</v>
      </c>
    </row>
    <row r="153" spans="1:22" x14ac:dyDescent="0.2">
      <c r="A153" s="17" t="s">
        <v>49</v>
      </c>
    </row>
    <row r="154" spans="1:22" x14ac:dyDescent="0.2">
      <c r="A154" s="18" t="s">
        <v>87</v>
      </c>
      <c r="B154" s="23">
        <f t="shared" ref="B154:M154" si="64">B84-B14</f>
        <v>0</v>
      </c>
      <c r="C154" s="23">
        <f t="shared" si="64"/>
        <v>0</v>
      </c>
      <c r="D154" s="23">
        <f t="shared" si="64"/>
        <v>0</v>
      </c>
      <c r="E154" s="23">
        <f t="shared" si="64"/>
        <v>0</v>
      </c>
      <c r="F154" s="23">
        <f t="shared" si="64"/>
        <v>0</v>
      </c>
      <c r="G154" s="23">
        <f t="shared" si="64"/>
        <v>0</v>
      </c>
      <c r="H154" s="23">
        <f t="shared" si="64"/>
        <v>0</v>
      </c>
      <c r="I154" s="23">
        <f t="shared" si="64"/>
        <v>0</v>
      </c>
      <c r="J154" s="23">
        <f t="shared" si="64"/>
        <v>0</v>
      </c>
      <c r="K154" s="23">
        <f t="shared" si="64"/>
        <v>0</v>
      </c>
      <c r="L154" s="23">
        <f t="shared" si="64"/>
        <v>0</v>
      </c>
      <c r="M154" s="23">
        <f t="shared" si="64"/>
        <v>0</v>
      </c>
      <c r="O154" s="23">
        <f>SUM(B154:M154)</f>
        <v>0</v>
      </c>
      <c r="Q154" s="23">
        <f>SUM(B154:D154)</f>
        <v>0</v>
      </c>
      <c r="R154" s="23">
        <f>SUM(E154:G154)</f>
        <v>0</v>
      </c>
      <c r="S154" s="23">
        <f>SUM(H154:J154)</f>
        <v>0</v>
      </c>
      <c r="T154" s="23">
        <f>SUM(K154:M154)</f>
        <v>0</v>
      </c>
      <c r="V154" s="23">
        <f>SUM(Q154:U154)</f>
        <v>0</v>
      </c>
    </row>
    <row r="155" spans="1:22" x14ac:dyDescent="0.2">
      <c r="A155" s="18" t="s">
        <v>63</v>
      </c>
      <c r="B155" s="23">
        <f t="shared" ref="B155:M155" si="65">B85-B15</f>
        <v>543</v>
      </c>
      <c r="C155" s="23">
        <f t="shared" si="65"/>
        <v>543</v>
      </c>
      <c r="D155" s="23">
        <f t="shared" si="65"/>
        <v>543</v>
      </c>
      <c r="E155" s="23">
        <f t="shared" si="65"/>
        <v>543</v>
      </c>
      <c r="F155" s="23">
        <f t="shared" si="65"/>
        <v>0</v>
      </c>
      <c r="G155" s="23">
        <f t="shared" si="65"/>
        <v>0</v>
      </c>
      <c r="H155" s="23">
        <f t="shared" si="65"/>
        <v>0</v>
      </c>
      <c r="I155" s="23">
        <f t="shared" si="65"/>
        <v>0</v>
      </c>
      <c r="J155" s="23">
        <f t="shared" si="65"/>
        <v>0</v>
      </c>
      <c r="K155" s="23">
        <f t="shared" si="65"/>
        <v>0</v>
      </c>
      <c r="L155" s="23">
        <f t="shared" si="65"/>
        <v>0</v>
      </c>
      <c r="M155" s="23">
        <f t="shared" si="65"/>
        <v>0</v>
      </c>
      <c r="O155" s="23">
        <f t="shared" ref="O155:O180" si="66">SUM(B155:M155)</f>
        <v>2172</v>
      </c>
      <c r="Q155" s="23">
        <f t="shared" ref="Q155:Q180" si="67">SUM(B155:D155)</f>
        <v>1629</v>
      </c>
      <c r="R155" s="23">
        <f t="shared" ref="R155:R180" si="68">SUM(E155:G155)</f>
        <v>543</v>
      </c>
      <c r="S155" s="23">
        <f t="shared" ref="S155:S180" si="69">SUM(H155:J155)</f>
        <v>0</v>
      </c>
      <c r="T155" s="23">
        <f t="shared" ref="T155:T180" si="70">SUM(K155:M155)</f>
        <v>0</v>
      </c>
      <c r="V155" s="23">
        <f t="shared" ref="V155:V180" si="71">SUM(Q155:U155)</f>
        <v>2172</v>
      </c>
    </row>
    <row r="156" spans="1:22" x14ac:dyDescent="0.2">
      <c r="A156" s="18" t="s">
        <v>88</v>
      </c>
      <c r="B156" s="23">
        <f t="shared" ref="B156:M156" si="72">B86-B16</f>
        <v>0</v>
      </c>
      <c r="C156" s="23">
        <f t="shared" si="72"/>
        <v>0</v>
      </c>
      <c r="D156" s="23">
        <f t="shared" si="72"/>
        <v>0</v>
      </c>
      <c r="E156" s="23">
        <f t="shared" si="72"/>
        <v>0</v>
      </c>
      <c r="F156" s="23">
        <f t="shared" si="72"/>
        <v>0</v>
      </c>
      <c r="G156" s="23">
        <f t="shared" si="72"/>
        <v>0</v>
      </c>
      <c r="H156" s="23">
        <f t="shared" si="72"/>
        <v>0</v>
      </c>
      <c r="I156" s="23">
        <f t="shared" si="72"/>
        <v>0</v>
      </c>
      <c r="J156" s="23">
        <f t="shared" si="72"/>
        <v>0</v>
      </c>
      <c r="K156" s="23">
        <f t="shared" si="72"/>
        <v>0</v>
      </c>
      <c r="L156" s="23">
        <f t="shared" si="72"/>
        <v>0</v>
      </c>
      <c r="M156" s="23">
        <f t="shared" si="72"/>
        <v>0</v>
      </c>
      <c r="O156" s="23">
        <f t="shared" si="66"/>
        <v>0</v>
      </c>
      <c r="Q156" s="23">
        <f t="shared" si="67"/>
        <v>0</v>
      </c>
      <c r="R156" s="23">
        <f t="shared" si="68"/>
        <v>0</v>
      </c>
      <c r="S156" s="23">
        <f t="shared" si="69"/>
        <v>0</v>
      </c>
      <c r="T156" s="23">
        <f t="shared" si="70"/>
        <v>0</v>
      </c>
      <c r="V156" s="23">
        <f t="shared" si="71"/>
        <v>0</v>
      </c>
    </row>
    <row r="157" spans="1:22" x14ac:dyDescent="0.2">
      <c r="A157" s="18" t="s">
        <v>89</v>
      </c>
      <c r="B157" s="23">
        <f t="shared" ref="B157:M157" si="73">B87-B17</f>
        <v>0</v>
      </c>
      <c r="C157" s="23">
        <f t="shared" si="73"/>
        <v>0</v>
      </c>
      <c r="D157" s="23">
        <f t="shared" si="73"/>
        <v>0</v>
      </c>
      <c r="E157" s="23">
        <f t="shared" si="73"/>
        <v>0</v>
      </c>
      <c r="F157" s="23">
        <f t="shared" si="73"/>
        <v>0</v>
      </c>
      <c r="G157" s="23">
        <f t="shared" si="73"/>
        <v>0</v>
      </c>
      <c r="H157" s="23">
        <f t="shared" si="73"/>
        <v>0</v>
      </c>
      <c r="I157" s="23">
        <f t="shared" si="73"/>
        <v>0</v>
      </c>
      <c r="J157" s="23">
        <f t="shared" si="73"/>
        <v>0</v>
      </c>
      <c r="K157" s="23">
        <f t="shared" si="73"/>
        <v>0</v>
      </c>
      <c r="L157" s="23">
        <f t="shared" si="73"/>
        <v>0</v>
      </c>
      <c r="M157" s="23">
        <f t="shared" si="73"/>
        <v>0</v>
      </c>
      <c r="O157" s="23">
        <f t="shared" si="66"/>
        <v>0</v>
      </c>
      <c r="Q157" s="23">
        <f t="shared" si="67"/>
        <v>0</v>
      </c>
      <c r="R157" s="23">
        <f t="shared" si="68"/>
        <v>0</v>
      </c>
      <c r="S157" s="23">
        <f t="shared" si="69"/>
        <v>0</v>
      </c>
      <c r="T157" s="23">
        <f t="shared" si="70"/>
        <v>0</v>
      </c>
      <c r="V157" s="23">
        <f t="shared" si="71"/>
        <v>0</v>
      </c>
    </row>
    <row r="158" spans="1:22" x14ac:dyDescent="0.2">
      <c r="A158" s="18" t="s">
        <v>90</v>
      </c>
      <c r="B158" s="23">
        <f t="shared" ref="B158:M158" si="74">B88-B18</f>
        <v>0</v>
      </c>
      <c r="C158" s="23">
        <f t="shared" si="74"/>
        <v>0</v>
      </c>
      <c r="D158" s="23">
        <f t="shared" si="74"/>
        <v>0</v>
      </c>
      <c r="E158" s="23">
        <f t="shared" si="74"/>
        <v>0</v>
      </c>
      <c r="F158" s="23">
        <f t="shared" si="74"/>
        <v>0</v>
      </c>
      <c r="G158" s="23">
        <f t="shared" si="74"/>
        <v>0</v>
      </c>
      <c r="H158" s="23">
        <f t="shared" si="74"/>
        <v>0</v>
      </c>
      <c r="I158" s="23">
        <f t="shared" si="74"/>
        <v>0</v>
      </c>
      <c r="J158" s="23">
        <f t="shared" si="74"/>
        <v>0</v>
      </c>
      <c r="K158" s="23">
        <f t="shared" si="74"/>
        <v>0</v>
      </c>
      <c r="L158" s="23">
        <f t="shared" si="74"/>
        <v>0</v>
      </c>
      <c r="M158" s="23">
        <f t="shared" si="74"/>
        <v>0</v>
      </c>
      <c r="O158" s="23">
        <f t="shared" si="66"/>
        <v>0</v>
      </c>
      <c r="Q158" s="23">
        <f t="shared" si="67"/>
        <v>0</v>
      </c>
      <c r="R158" s="23">
        <f t="shared" si="68"/>
        <v>0</v>
      </c>
      <c r="S158" s="23">
        <f t="shared" si="69"/>
        <v>0</v>
      </c>
      <c r="T158" s="23">
        <f t="shared" si="70"/>
        <v>0</v>
      </c>
      <c r="V158" s="23">
        <f t="shared" si="71"/>
        <v>0</v>
      </c>
    </row>
    <row r="159" spans="1:22" x14ac:dyDescent="0.2">
      <c r="A159" s="18" t="s">
        <v>91</v>
      </c>
      <c r="B159" s="23">
        <f t="shared" ref="B159:M159" si="75">B89-B19</f>
        <v>0</v>
      </c>
      <c r="C159" s="23">
        <f t="shared" si="75"/>
        <v>0</v>
      </c>
      <c r="D159" s="23">
        <f t="shared" si="75"/>
        <v>0</v>
      </c>
      <c r="E159" s="23">
        <f t="shared" si="75"/>
        <v>0</v>
      </c>
      <c r="F159" s="23">
        <f t="shared" si="75"/>
        <v>0</v>
      </c>
      <c r="G159" s="23">
        <f t="shared" si="75"/>
        <v>0</v>
      </c>
      <c r="H159" s="23">
        <f t="shared" si="75"/>
        <v>0</v>
      </c>
      <c r="I159" s="23">
        <f t="shared" si="75"/>
        <v>0</v>
      </c>
      <c r="J159" s="23">
        <f t="shared" si="75"/>
        <v>0</v>
      </c>
      <c r="K159" s="23">
        <f t="shared" si="75"/>
        <v>0</v>
      </c>
      <c r="L159" s="23">
        <f t="shared" si="75"/>
        <v>0</v>
      </c>
      <c r="M159" s="23">
        <f t="shared" si="75"/>
        <v>0</v>
      </c>
      <c r="O159" s="23">
        <f t="shared" si="66"/>
        <v>0</v>
      </c>
      <c r="Q159" s="23">
        <f t="shared" si="67"/>
        <v>0</v>
      </c>
      <c r="R159" s="23">
        <f t="shared" si="68"/>
        <v>0</v>
      </c>
      <c r="S159" s="23">
        <f t="shared" si="69"/>
        <v>0</v>
      </c>
      <c r="T159" s="23">
        <f t="shared" si="70"/>
        <v>0</v>
      </c>
      <c r="V159" s="23">
        <f t="shared" si="71"/>
        <v>0</v>
      </c>
    </row>
    <row r="160" spans="1:22" x14ac:dyDescent="0.2">
      <c r="A160" s="18" t="s">
        <v>92</v>
      </c>
      <c r="B160" s="23">
        <f t="shared" ref="B160:M160" si="76">B90-B20</f>
        <v>0</v>
      </c>
      <c r="C160" s="23">
        <f t="shared" si="76"/>
        <v>0</v>
      </c>
      <c r="D160" s="23">
        <f t="shared" si="76"/>
        <v>0</v>
      </c>
      <c r="E160" s="23">
        <f t="shared" si="76"/>
        <v>0</v>
      </c>
      <c r="F160" s="23">
        <f t="shared" si="76"/>
        <v>0</v>
      </c>
      <c r="G160" s="23">
        <f t="shared" si="76"/>
        <v>0</v>
      </c>
      <c r="H160" s="23">
        <f t="shared" si="76"/>
        <v>0</v>
      </c>
      <c r="I160" s="23">
        <f t="shared" si="76"/>
        <v>0</v>
      </c>
      <c r="J160" s="23">
        <f t="shared" si="76"/>
        <v>0</v>
      </c>
      <c r="K160" s="23">
        <f t="shared" si="76"/>
        <v>0</v>
      </c>
      <c r="L160" s="23">
        <f t="shared" si="76"/>
        <v>0</v>
      </c>
      <c r="M160" s="23">
        <f t="shared" si="76"/>
        <v>0</v>
      </c>
      <c r="O160" s="23">
        <f t="shared" si="66"/>
        <v>0</v>
      </c>
      <c r="Q160" s="23">
        <f t="shared" si="67"/>
        <v>0</v>
      </c>
      <c r="R160" s="23">
        <f t="shared" si="68"/>
        <v>0</v>
      </c>
      <c r="S160" s="23">
        <f t="shared" si="69"/>
        <v>0</v>
      </c>
      <c r="T160" s="23">
        <f t="shared" si="70"/>
        <v>0</v>
      </c>
      <c r="V160" s="23">
        <f t="shared" si="71"/>
        <v>0</v>
      </c>
    </row>
    <row r="161" spans="1:22" x14ac:dyDescent="0.2">
      <c r="A161" s="18" t="s">
        <v>64</v>
      </c>
      <c r="B161" s="23">
        <f t="shared" ref="B161:M161" si="77">B91-B21</f>
        <v>743</v>
      </c>
      <c r="C161" s="23">
        <f t="shared" si="77"/>
        <v>743</v>
      </c>
      <c r="D161" s="23">
        <f t="shared" si="77"/>
        <v>743</v>
      </c>
      <c r="E161" s="23">
        <f t="shared" si="77"/>
        <v>743</v>
      </c>
      <c r="F161" s="23">
        <f t="shared" si="77"/>
        <v>0</v>
      </c>
      <c r="G161" s="23">
        <f t="shared" si="77"/>
        <v>0</v>
      </c>
      <c r="H161" s="23">
        <f t="shared" si="77"/>
        <v>0</v>
      </c>
      <c r="I161" s="23">
        <f t="shared" si="77"/>
        <v>0</v>
      </c>
      <c r="J161" s="23">
        <f t="shared" si="77"/>
        <v>0</v>
      </c>
      <c r="K161" s="23">
        <f t="shared" si="77"/>
        <v>0</v>
      </c>
      <c r="L161" s="23">
        <f t="shared" si="77"/>
        <v>0</v>
      </c>
      <c r="M161" s="23">
        <f t="shared" si="77"/>
        <v>0</v>
      </c>
      <c r="O161" s="23">
        <f t="shared" si="66"/>
        <v>2972</v>
      </c>
      <c r="Q161" s="23">
        <f t="shared" si="67"/>
        <v>2229</v>
      </c>
      <c r="R161" s="23">
        <f t="shared" si="68"/>
        <v>743</v>
      </c>
      <c r="S161" s="23">
        <f t="shared" si="69"/>
        <v>0</v>
      </c>
      <c r="T161" s="23">
        <f t="shared" si="70"/>
        <v>0</v>
      </c>
      <c r="V161" s="23">
        <f t="shared" si="71"/>
        <v>2972</v>
      </c>
    </row>
    <row r="162" spans="1:22" x14ac:dyDescent="0.2">
      <c r="A162" s="18" t="s">
        <v>65</v>
      </c>
      <c r="B162" s="23">
        <f t="shared" ref="B162:M162" si="78">B92-B22</f>
        <v>458</v>
      </c>
      <c r="C162" s="23">
        <f t="shared" si="78"/>
        <v>458</v>
      </c>
      <c r="D162" s="23">
        <f t="shared" si="78"/>
        <v>458</v>
      </c>
      <c r="E162" s="23">
        <f t="shared" si="78"/>
        <v>458</v>
      </c>
      <c r="F162" s="23">
        <f t="shared" si="78"/>
        <v>0</v>
      </c>
      <c r="G162" s="23">
        <f t="shared" si="78"/>
        <v>0</v>
      </c>
      <c r="H162" s="23">
        <f t="shared" si="78"/>
        <v>0</v>
      </c>
      <c r="I162" s="23">
        <f t="shared" si="78"/>
        <v>0</v>
      </c>
      <c r="J162" s="23">
        <f t="shared" si="78"/>
        <v>0</v>
      </c>
      <c r="K162" s="23">
        <f t="shared" si="78"/>
        <v>0</v>
      </c>
      <c r="L162" s="23">
        <f t="shared" si="78"/>
        <v>0</v>
      </c>
      <c r="M162" s="23">
        <f t="shared" si="78"/>
        <v>0</v>
      </c>
      <c r="O162" s="23">
        <f t="shared" si="66"/>
        <v>1832</v>
      </c>
      <c r="Q162" s="23">
        <f t="shared" si="67"/>
        <v>1374</v>
      </c>
      <c r="R162" s="23">
        <f t="shared" si="68"/>
        <v>458</v>
      </c>
      <c r="S162" s="23">
        <f t="shared" si="69"/>
        <v>0</v>
      </c>
      <c r="T162" s="23">
        <f t="shared" si="70"/>
        <v>0</v>
      </c>
      <c r="V162" s="23">
        <f t="shared" si="71"/>
        <v>1832</v>
      </c>
    </row>
    <row r="163" spans="1:22" x14ac:dyDescent="0.2">
      <c r="A163" s="18" t="s">
        <v>45</v>
      </c>
      <c r="B163" s="23">
        <f t="shared" ref="B163:M163" si="79">B93-B23</f>
        <v>457</v>
      </c>
      <c r="C163" s="23">
        <f t="shared" si="79"/>
        <v>-4993</v>
      </c>
      <c r="D163" s="23">
        <f t="shared" si="79"/>
        <v>-6795</v>
      </c>
      <c r="E163" s="23">
        <f t="shared" si="79"/>
        <v>6457</v>
      </c>
      <c r="F163" s="23">
        <f t="shared" si="79"/>
        <v>0</v>
      </c>
      <c r="G163" s="23">
        <f t="shared" si="79"/>
        <v>0</v>
      </c>
      <c r="H163" s="23">
        <f t="shared" si="79"/>
        <v>0</v>
      </c>
      <c r="I163" s="23">
        <f t="shared" si="79"/>
        <v>0</v>
      </c>
      <c r="J163" s="23">
        <f t="shared" si="79"/>
        <v>0</v>
      </c>
      <c r="K163" s="23">
        <f t="shared" si="79"/>
        <v>0</v>
      </c>
      <c r="L163" s="23">
        <f t="shared" si="79"/>
        <v>0</v>
      </c>
      <c r="M163" s="23">
        <f t="shared" si="79"/>
        <v>0</v>
      </c>
      <c r="O163" s="23">
        <f t="shared" si="66"/>
        <v>-4874</v>
      </c>
      <c r="Q163" s="23">
        <f t="shared" si="67"/>
        <v>-11331</v>
      </c>
      <c r="R163" s="23">
        <f t="shared" si="68"/>
        <v>6457</v>
      </c>
      <c r="S163" s="23">
        <f t="shared" si="69"/>
        <v>0</v>
      </c>
      <c r="T163" s="23">
        <f t="shared" si="70"/>
        <v>0</v>
      </c>
      <c r="V163" s="23">
        <f t="shared" si="71"/>
        <v>-4874</v>
      </c>
    </row>
    <row r="164" spans="1:22" x14ac:dyDescent="0.2">
      <c r="A164" s="18" t="s">
        <v>66</v>
      </c>
      <c r="B164" s="23">
        <f t="shared" ref="B164:M164" si="80">B94-B24</f>
        <v>86</v>
      </c>
      <c r="C164" s="23">
        <f t="shared" si="80"/>
        <v>86</v>
      </c>
      <c r="D164" s="23">
        <f t="shared" si="80"/>
        <v>86</v>
      </c>
      <c r="E164" s="23">
        <f t="shared" si="80"/>
        <v>86</v>
      </c>
      <c r="F164" s="23">
        <f t="shared" si="80"/>
        <v>0</v>
      </c>
      <c r="G164" s="23">
        <f t="shared" si="80"/>
        <v>0</v>
      </c>
      <c r="H164" s="23">
        <f t="shared" si="80"/>
        <v>0</v>
      </c>
      <c r="I164" s="23">
        <f t="shared" si="80"/>
        <v>0</v>
      </c>
      <c r="J164" s="23">
        <f t="shared" si="80"/>
        <v>0</v>
      </c>
      <c r="K164" s="23">
        <f t="shared" si="80"/>
        <v>0</v>
      </c>
      <c r="L164" s="23">
        <f t="shared" si="80"/>
        <v>0</v>
      </c>
      <c r="M164" s="23">
        <f t="shared" si="80"/>
        <v>0</v>
      </c>
      <c r="O164" s="23">
        <f t="shared" si="66"/>
        <v>344</v>
      </c>
      <c r="Q164" s="23">
        <f t="shared" si="67"/>
        <v>258</v>
      </c>
      <c r="R164" s="23">
        <f t="shared" si="68"/>
        <v>86</v>
      </c>
      <c r="S164" s="23">
        <f t="shared" si="69"/>
        <v>0</v>
      </c>
      <c r="T164" s="23">
        <f t="shared" si="70"/>
        <v>0</v>
      </c>
      <c r="V164" s="23">
        <f t="shared" si="71"/>
        <v>344</v>
      </c>
    </row>
    <row r="165" spans="1:22" x14ac:dyDescent="0.2">
      <c r="A165" s="18" t="s">
        <v>67</v>
      </c>
      <c r="B165" s="23">
        <f t="shared" ref="B165:M165" si="81">B95-B25</f>
        <v>286</v>
      </c>
      <c r="C165" s="23">
        <f t="shared" si="81"/>
        <v>286</v>
      </c>
      <c r="D165" s="23">
        <f t="shared" si="81"/>
        <v>286</v>
      </c>
      <c r="E165" s="23">
        <f t="shared" si="81"/>
        <v>286</v>
      </c>
      <c r="F165" s="23">
        <f t="shared" si="81"/>
        <v>0</v>
      </c>
      <c r="G165" s="23">
        <f t="shared" si="81"/>
        <v>0</v>
      </c>
      <c r="H165" s="23">
        <f t="shared" si="81"/>
        <v>0</v>
      </c>
      <c r="I165" s="23">
        <f t="shared" si="81"/>
        <v>0</v>
      </c>
      <c r="J165" s="23">
        <f t="shared" si="81"/>
        <v>0</v>
      </c>
      <c r="K165" s="23">
        <f t="shared" si="81"/>
        <v>0</v>
      </c>
      <c r="L165" s="23">
        <f t="shared" si="81"/>
        <v>0</v>
      </c>
      <c r="M165" s="23">
        <f t="shared" si="81"/>
        <v>0</v>
      </c>
      <c r="O165" s="23">
        <f t="shared" si="66"/>
        <v>1144</v>
      </c>
      <c r="Q165" s="23">
        <f t="shared" si="67"/>
        <v>858</v>
      </c>
      <c r="R165" s="23">
        <f t="shared" si="68"/>
        <v>286</v>
      </c>
      <c r="S165" s="23">
        <f t="shared" si="69"/>
        <v>0</v>
      </c>
      <c r="T165" s="23">
        <f t="shared" si="70"/>
        <v>0</v>
      </c>
      <c r="V165" s="23">
        <f t="shared" si="71"/>
        <v>1144</v>
      </c>
    </row>
    <row r="166" spans="1:22" x14ac:dyDescent="0.2">
      <c r="A166" s="18" t="s">
        <v>93</v>
      </c>
      <c r="B166" s="23">
        <f t="shared" ref="B166:M166" si="82">B96-B26</f>
        <v>0</v>
      </c>
      <c r="C166" s="23">
        <f t="shared" si="82"/>
        <v>0</v>
      </c>
      <c r="D166" s="23">
        <f t="shared" si="82"/>
        <v>0</v>
      </c>
      <c r="E166" s="23">
        <f t="shared" si="82"/>
        <v>0</v>
      </c>
      <c r="F166" s="23">
        <f t="shared" si="82"/>
        <v>0</v>
      </c>
      <c r="G166" s="23">
        <f t="shared" si="82"/>
        <v>0</v>
      </c>
      <c r="H166" s="23">
        <f t="shared" si="82"/>
        <v>0</v>
      </c>
      <c r="I166" s="23">
        <f t="shared" si="82"/>
        <v>0</v>
      </c>
      <c r="J166" s="23">
        <f t="shared" si="82"/>
        <v>0</v>
      </c>
      <c r="K166" s="23">
        <f t="shared" si="82"/>
        <v>0</v>
      </c>
      <c r="L166" s="23">
        <f t="shared" si="82"/>
        <v>0</v>
      </c>
      <c r="M166" s="23">
        <f t="shared" si="82"/>
        <v>0</v>
      </c>
      <c r="O166" s="23">
        <f t="shared" si="66"/>
        <v>0</v>
      </c>
      <c r="Q166" s="23">
        <f t="shared" si="67"/>
        <v>0</v>
      </c>
      <c r="R166" s="23">
        <f t="shared" si="68"/>
        <v>0</v>
      </c>
      <c r="S166" s="23">
        <f t="shared" si="69"/>
        <v>0</v>
      </c>
      <c r="T166" s="23">
        <f t="shared" si="70"/>
        <v>0</v>
      </c>
      <c r="V166" s="23">
        <f t="shared" si="71"/>
        <v>0</v>
      </c>
    </row>
    <row r="167" spans="1:22" x14ac:dyDescent="0.2">
      <c r="A167" s="18" t="s">
        <v>69</v>
      </c>
      <c r="B167" s="23">
        <f t="shared" ref="B167:M167" si="83">B97-B27</f>
        <v>333</v>
      </c>
      <c r="C167" s="23">
        <f t="shared" si="83"/>
        <v>-431</v>
      </c>
      <c r="D167" s="23">
        <f t="shared" si="83"/>
        <v>49.06</v>
      </c>
      <c r="E167" s="23">
        <f t="shared" si="83"/>
        <v>-5459</v>
      </c>
      <c r="F167" s="23">
        <f t="shared" si="83"/>
        <v>0</v>
      </c>
      <c r="G167" s="23">
        <f t="shared" si="83"/>
        <v>0</v>
      </c>
      <c r="H167" s="23">
        <f t="shared" si="83"/>
        <v>0</v>
      </c>
      <c r="I167" s="23">
        <f t="shared" si="83"/>
        <v>0</v>
      </c>
      <c r="J167" s="23">
        <f t="shared" si="83"/>
        <v>0</v>
      </c>
      <c r="K167" s="23">
        <f t="shared" si="83"/>
        <v>0</v>
      </c>
      <c r="L167" s="23">
        <f t="shared" si="83"/>
        <v>0</v>
      </c>
      <c r="M167" s="23">
        <f t="shared" si="83"/>
        <v>0</v>
      </c>
      <c r="O167" s="23">
        <f t="shared" si="66"/>
        <v>-5507.94</v>
      </c>
      <c r="Q167" s="23">
        <f t="shared" si="67"/>
        <v>-48.94</v>
      </c>
      <c r="R167" s="23">
        <f t="shared" si="68"/>
        <v>-5459</v>
      </c>
      <c r="S167" s="23">
        <f t="shared" si="69"/>
        <v>0</v>
      </c>
      <c r="T167" s="23">
        <f t="shared" si="70"/>
        <v>0</v>
      </c>
      <c r="V167" s="23">
        <f t="shared" si="71"/>
        <v>-5507.94</v>
      </c>
    </row>
    <row r="168" spans="1:22" x14ac:dyDescent="0.2">
      <c r="A168" s="18" t="s">
        <v>68</v>
      </c>
      <c r="B168" s="23">
        <f t="shared" ref="B168:M168" si="84">B98-B28</f>
        <v>833</v>
      </c>
      <c r="C168" s="23">
        <f t="shared" si="84"/>
        <v>-584</v>
      </c>
      <c r="D168" s="23">
        <f t="shared" si="84"/>
        <v>11242.560000000001</v>
      </c>
      <c r="E168" s="23">
        <f t="shared" si="84"/>
        <v>-4849.28</v>
      </c>
      <c r="F168" s="23">
        <f t="shared" si="84"/>
        <v>0</v>
      </c>
      <c r="G168" s="23">
        <f t="shared" si="84"/>
        <v>0</v>
      </c>
      <c r="H168" s="23">
        <f t="shared" si="84"/>
        <v>0</v>
      </c>
      <c r="I168" s="23">
        <f t="shared" si="84"/>
        <v>0</v>
      </c>
      <c r="J168" s="23">
        <f t="shared" si="84"/>
        <v>0</v>
      </c>
      <c r="K168" s="23">
        <f t="shared" si="84"/>
        <v>0</v>
      </c>
      <c r="L168" s="23">
        <f t="shared" si="84"/>
        <v>0</v>
      </c>
      <c r="M168" s="23">
        <f t="shared" si="84"/>
        <v>0</v>
      </c>
      <c r="O168" s="23">
        <f t="shared" si="66"/>
        <v>6642.2800000000016</v>
      </c>
      <c r="Q168" s="23">
        <f t="shared" si="67"/>
        <v>11491.560000000001</v>
      </c>
      <c r="R168" s="23">
        <f t="shared" si="68"/>
        <v>-4849.28</v>
      </c>
      <c r="S168" s="23">
        <f t="shared" si="69"/>
        <v>0</v>
      </c>
      <c r="T168" s="23">
        <f t="shared" si="70"/>
        <v>0</v>
      </c>
      <c r="V168" s="23">
        <f t="shared" si="71"/>
        <v>6642.2800000000016</v>
      </c>
    </row>
    <row r="169" spans="1:22" x14ac:dyDescent="0.2">
      <c r="A169" s="18" t="s">
        <v>94</v>
      </c>
      <c r="B169" s="23">
        <f t="shared" ref="B169:M169" si="85">B99-B29</f>
        <v>0</v>
      </c>
      <c r="C169" s="23">
        <f t="shared" si="85"/>
        <v>0</v>
      </c>
      <c r="D169" s="23">
        <f t="shared" si="85"/>
        <v>0</v>
      </c>
      <c r="E169" s="23">
        <f t="shared" si="85"/>
        <v>0</v>
      </c>
      <c r="F169" s="23">
        <f t="shared" si="85"/>
        <v>0</v>
      </c>
      <c r="G169" s="23">
        <f t="shared" si="85"/>
        <v>0</v>
      </c>
      <c r="H169" s="23">
        <f t="shared" si="85"/>
        <v>0</v>
      </c>
      <c r="I169" s="23">
        <f t="shared" si="85"/>
        <v>0</v>
      </c>
      <c r="J169" s="23">
        <f t="shared" si="85"/>
        <v>0</v>
      </c>
      <c r="K169" s="23">
        <f t="shared" si="85"/>
        <v>0</v>
      </c>
      <c r="L169" s="23">
        <f t="shared" si="85"/>
        <v>0</v>
      </c>
      <c r="M169" s="23">
        <f t="shared" si="85"/>
        <v>0</v>
      </c>
      <c r="O169" s="23">
        <f t="shared" si="66"/>
        <v>0</v>
      </c>
      <c r="Q169" s="23">
        <f t="shared" si="67"/>
        <v>0</v>
      </c>
      <c r="R169" s="23">
        <f t="shared" si="68"/>
        <v>0</v>
      </c>
      <c r="S169" s="23">
        <f t="shared" si="69"/>
        <v>0</v>
      </c>
      <c r="T169" s="23">
        <f t="shared" si="70"/>
        <v>0</v>
      </c>
      <c r="V169" s="23">
        <f t="shared" si="71"/>
        <v>0</v>
      </c>
    </row>
    <row r="170" spans="1:22" x14ac:dyDescent="0.2">
      <c r="A170" s="18" t="s">
        <v>46</v>
      </c>
      <c r="B170" s="23">
        <f t="shared" ref="B170:M170" si="86">B100-B30</f>
        <v>600</v>
      </c>
      <c r="C170" s="23">
        <f t="shared" si="86"/>
        <v>600</v>
      </c>
      <c r="D170" s="23">
        <f t="shared" si="86"/>
        <v>-56.850000000000023</v>
      </c>
      <c r="E170" s="23">
        <f t="shared" si="86"/>
        <v>295.5</v>
      </c>
      <c r="F170" s="23">
        <f t="shared" si="86"/>
        <v>0</v>
      </c>
      <c r="G170" s="23">
        <f t="shared" si="86"/>
        <v>0</v>
      </c>
      <c r="H170" s="23">
        <f t="shared" si="86"/>
        <v>0</v>
      </c>
      <c r="I170" s="23">
        <f t="shared" si="86"/>
        <v>0</v>
      </c>
      <c r="J170" s="23">
        <f t="shared" si="86"/>
        <v>0</v>
      </c>
      <c r="K170" s="23">
        <f t="shared" si="86"/>
        <v>0</v>
      </c>
      <c r="L170" s="23">
        <f t="shared" si="86"/>
        <v>0</v>
      </c>
      <c r="M170" s="23">
        <f t="shared" si="86"/>
        <v>0</v>
      </c>
      <c r="O170" s="23">
        <f t="shared" si="66"/>
        <v>1438.65</v>
      </c>
      <c r="Q170" s="23">
        <f t="shared" si="67"/>
        <v>1143.1500000000001</v>
      </c>
      <c r="R170" s="23">
        <f t="shared" si="68"/>
        <v>295.5</v>
      </c>
      <c r="S170" s="23">
        <f t="shared" si="69"/>
        <v>0</v>
      </c>
      <c r="T170" s="23">
        <f t="shared" si="70"/>
        <v>0</v>
      </c>
      <c r="V170" s="23">
        <f t="shared" si="71"/>
        <v>1438.65</v>
      </c>
    </row>
    <row r="171" spans="1:22" x14ac:dyDescent="0.2">
      <c r="A171" s="18" t="s">
        <v>70</v>
      </c>
      <c r="B171" s="23">
        <f t="shared" ref="B171:M171" si="87">B101-B31</f>
        <v>3208</v>
      </c>
      <c r="C171" s="23">
        <f t="shared" si="87"/>
        <v>-208</v>
      </c>
      <c r="D171" s="23">
        <f t="shared" si="87"/>
        <v>-546.82000000000016</v>
      </c>
      <c r="E171" s="23">
        <f t="shared" si="87"/>
        <v>-3766.6099999999997</v>
      </c>
      <c r="F171" s="23">
        <f t="shared" si="87"/>
        <v>0</v>
      </c>
      <c r="G171" s="23">
        <f t="shared" si="87"/>
        <v>0</v>
      </c>
      <c r="H171" s="23">
        <f t="shared" si="87"/>
        <v>0</v>
      </c>
      <c r="I171" s="23">
        <f t="shared" si="87"/>
        <v>0</v>
      </c>
      <c r="J171" s="23">
        <f t="shared" si="87"/>
        <v>0</v>
      </c>
      <c r="K171" s="23">
        <f t="shared" si="87"/>
        <v>0</v>
      </c>
      <c r="L171" s="23">
        <f t="shared" si="87"/>
        <v>0</v>
      </c>
      <c r="M171" s="23">
        <f t="shared" si="87"/>
        <v>0</v>
      </c>
      <c r="O171" s="23">
        <f t="shared" si="66"/>
        <v>-1313.4299999999998</v>
      </c>
      <c r="Q171" s="23">
        <f t="shared" si="67"/>
        <v>2453.1799999999998</v>
      </c>
      <c r="R171" s="23">
        <f t="shared" si="68"/>
        <v>-3766.6099999999997</v>
      </c>
      <c r="S171" s="23">
        <f t="shared" si="69"/>
        <v>0</v>
      </c>
      <c r="T171" s="23">
        <f t="shared" si="70"/>
        <v>0</v>
      </c>
      <c r="V171" s="23">
        <f t="shared" si="71"/>
        <v>-1313.4299999999998</v>
      </c>
    </row>
    <row r="172" spans="1:22" x14ac:dyDescent="0.2">
      <c r="A172" s="18" t="s">
        <v>71</v>
      </c>
      <c r="B172" s="23">
        <f t="shared" ref="B172:M172" si="88">B102-B32</f>
        <v>3614</v>
      </c>
      <c r="C172" s="23">
        <f t="shared" si="88"/>
        <v>-5194</v>
      </c>
      <c r="D172" s="23">
        <f t="shared" si="88"/>
        <v>-18669</v>
      </c>
      <c r="E172" s="23">
        <f t="shared" si="88"/>
        <v>-132734.04999999999</v>
      </c>
      <c r="F172" s="23">
        <f t="shared" si="88"/>
        <v>0</v>
      </c>
      <c r="G172" s="23">
        <f t="shared" si="88"/>
        <v>0</v>
      </c>
      <c r="H172" s="23">
        <f t="shared" si="88"/>
        <v>0</v>
      </c>
      <c r="I172" s="23">
        <f t="shared" si="88"/>
        <v>0</v>
      </c>
      <c r="J172" s="23">
        <f t="shared" si="88"/>
        <v>0</v>
      </c>
      <c r="K172" s="23">
        <f t="shared" si="88"/>
        <v>0</v>
      </c>
      <c r="L172" s="23">
        <f t="shared" si="88"/>
        <v>0</v>
      </c>
      <c r="M172" s="23">
        <f t="shared" si="88"/>
        <v>0</v>
      </c>
      <c r="O172" s="23">
        <f t="shared" si="66"/>
        <v>-152983.04999999999</v>
      </c>
      <c r="Q172" s="23">
        <f t="shared" si="67"/>
        <v>-20249</v>
      </c>
      <c r="R172" s="23">
        <f t="shared" si="68"/>
        <v>-132734.04999999999</v>
      </c>
      <c r="S172" s="23">
        <f t="shared" si="69"/>
        <v>0</v>
      </c>
      <c r="T172" s="23">
        <f t="shared" si="70"/>
        <v>0</v>
      </c>
      <c r="V172" s="23">
        <f t="shared" si="71"/>
        <v>-152983.04999999999</v>
      </c>
    </row>
    <row r="173" spans="1:22" x14ac:dyDescent="0.2">
      <c r="A173" s="18" t="s">
        <v>44</v>
      </c>
      <c r="B173" s="23">
        <f t="shared" ref="B173:M173" si="89">B103-B33</f>
        <v>-8025</v>
      </c>
      <c r="C173" s="23">
        <f t="shared" si="89"/>
        <v>-21763</v>
      </c>
      <c r="D173" s="23">
        <f t="shared" si="89"/>
        <v>-21603.369999999995</v>
      </c>
      <c r="E173" s="23">
        <f t="shared" si="89"/>
        <v>-29029.699999999997</v>
      </c>
      <c r="F173" s="23">
        <f t="shared" si="89"/>
        <v>0</v>
      </c>
      <c r="G173" s="23">
        <f t="shared" si="89"/>
        <v>0</v>
      </c>
      <c r="H173" s="23">
        <f t="shared" si="89"/>
        <v>0</v>
      </c>
      <c r="I173" s="23">
        <f t="shared" si="89"/>
        <v>0</v>
      </c>
      <c r="J173" s="23">
        <f t="shared" si="89"/>
        <v>0</v>
      </c>
      <c r="K173" s="23">
        <f t="shared" si="89"/>
        <v>0</v>
      </c>
      <c r="L173" s="23">
        <f t="shared" si="89"/>
        <v>0</v>
      </c>
      <c r="M173" s="23">
        <f t="shared" si="89"/>
        <v>0</v>
      </c>
      <c r="O173" s="23">
        <f t="shared" si="66"/>
        <v>-80421.069999999992</v>
      </c>
      <c r="Q173" s="23">
        <f t="shared" si="67"/>
        <v>-51391.369999999995</v>
      </c>
      <c r="R173" s="23">
        <f t="shared" si="68"/>
        <v>-29029.699999999997</v>
      </c>
      <c r="S173" s="23">
        <f t="shared" si="69"/>
        <v>0</v>
      </c>
      <c r="T173" s="23">
        <f t="shared" si="70"/>
        <v>0</v>
      </c>
      <c r="V173" s="23">
        <f t="shared" si="71"/>
        <v>-80421.069999999992</v>
      </c>
    </row>
    <row r="174" spans="1:22" x14ac:dyDescent="0.2">
      <c r="A174" s="18" t="s">
        <v>47</v>
      </c>
      <c r="B174" s="23">
        <f t="shared" ref="B174:M174" si="90">B104-B34</f>
        <v>2975</v>
      </c>
      <c r="C174" s="23">
        <f t="shared" si="90"/>
        <v>-34800</v>
      </c>
      <c r="D174" s="23">
        <f t="shared" si="90"/>
        <v>-2760</v>
      </c>
      <c r="E174" s="23">
        <f t="shared" si="90"/>
        <v>-3344.04</v>
      </c>
      <c r="F174" s="23">
        <f t="shared" si="90"/>
        <v>0</v>
      </c>
      <c r="G174" s="23">
        <f t="shared" si="90"/>
        <v>0</v>
      </c>
      <c r="H174" s="23">
        <f t="shared" si="90"/>
        <v>0</v>
      </c>
      <c r="I174" s="23">
        <f t="shared" si="90"/>
        <v>0</v>
      </c>
      <c r="J174" s="23">
        <f t="shared" si="90"/>
        <v>0</v>
      </c>
      <c r="K174" s="23">
        <f t="shared" si="90"/>
        <v>0</v>
      </c>
      <c r="L174" s="23">
        <f t="shared" si="90"/>
        <v>0</v>
      </c>
      <c r="M174" s="23">
        <f t="shared" si="90"/>
        <v>0</v>
      </c>
      <c r="O174" s="23">
        <f t="shared" si="66"/>
        <v>-37929.040000000001</v>
      </c>
      <c r="Q174" s="23">
        <f t="shared" si="67"/>
        <v>-34585</v>
      </c>
      <c r="R174" s="23">
        <f t="shared" si="68"/>
        <v>-3344.04</v>
      </c>
      <c r="S174" s="23">
        <f t="shared" si="69"/>
        <v>0</v>
      </c>
      <c r="T174" s="23">
        <f t="shared" si="70"/>
        <v>0</v>
      </c>
      <c r="V174" s="23">
        <f t="shared" si="71"/>
        <v>-37929.040000000001</v>
      </c>
    </row>
    <row r="175" spans="1:22" x14ac:dyDescent="0.2">
      <c r="A175" s="18" t="s">
        <v>2</v>
      </c>
      <c r="B175" s="23">
        <f t="shared" ref="B175:M175" si="91">B105-B35</f>
        <v>21093</v>
      </c>
      <c r="C175" s="23">
        <f t="shared" si="91"/>
        <v>9087</v>
      </c>
      <c r="D175" s="23">
        <f t="shared" si="91"/>
        <v>-67158.539999999994</v>
      </c>
      <c r="E175" s="23">
        <f t="shared" si="91"/>
        <v>-64079.33</v>
      </c>
      <c r="F175" s="23">
        <f t="shared" si="91"/>
        <v>0</v>
      </c>
      <c r="G175" s="23">
        <f t="shared" si="91"/>
        <v>0</v>
      </c>
      <c r="H175" s="23">
        <f t="shared" si="91"/>
        <v>0</v>
      </c>
      <c r="I175" s="23">
        <f t="shared" si="91"/>
        <v>0</v>
      </c>
      <c r="J175" s="23">
        <f t="shared" si="91"/>
        <v>0</v>
      </c>
      <c r="K175" s="23">
        <f t="shared" si="91"/>
        <v>0</v>
      </c>
      <c r="L175" s="23">
        <f t="shared" si="91"/>
        <v>0</v>
      </c>
      <c r="M175" s="23">
        <f t="shared" si="91"/>
        <v>0</v>
      </c>
      <c r="O175" s="23">
        <f t="shared" si="66"/>
        <v>-101057.87</v>
      </c>
      <c r="Q175" s="23">
        <f t="shared" si="67"/>
        <v>-36978.539999999994</v>
      </c>
      <c r="R175" s="23">
        <f t="shared" si="68"/>
        <v>-64079.33</v>
      </c>
      <c r="S175" s="23">
        <f t="shared" si="69"/>
        <v>0</v>
      </c>
      <c r="T175" s="23">
        <f t="shared" si="70"/>
        <v>0</v>
      </c>
      <c r="V175" s="23">
        <f t="shared" si="71"/>
        <v>-101057.87</v>
      </c>
    </row>
    <row r="176" spans="1:22" x14ac:dyDescent="0.2">
      <c r="A176" s="18" t="s">
        <v>95</v>
      </c>
      <c r="B176" s="23">
        <f t="shared" ref="B176:M176" si="92">B106-B36</f>
        <v>0</v>
      </c>
      <c r="C176" s="23">
        <f t="shared" si="92"/>
        <v>0</v>
      </c>
      <c r="D176" s="23">
        <f t="shared" si="92"/>
        <v>0</v>
      </c>
      <c r="E176" s="23">
        <f t="shared" si="92"/>
        <v>0</v>
      </c>
      <c r="F176" s="23">
        <f t="shared" si="92"/>
        <v>0</v>
      </c>
      <c r="G176" s="23">
        <f t="shared" si="92"/>
        <v>0</v>
      </c>
      <c r="H176" s="23">
        <f t="shared" si="92"/>
        <v>0</v>
      </c>
      <c r="I176" s="23">
        <f t="shared" si="92"/>
        <v>0</v>
      </c>
      <c r="J176" s="23">
        <f t="shared" si="92"/>
        <v>0</v>
      </c>
      <c r="K176" s="23">
        <f t="shared" si="92"/>
        <v>0</v>
      </c>
      <c r="L176" s="23">
        <f t="shared" si="92"/>
        <v>0</v>
      </c>
      <c r="M176" s="23">
        <f t="shared" si="92"/>
        <v>0</v>
      </c>
      <c r="O176" s="23">
        <f t="shared" si="66"/>
        <v>0</v>
      </c>
      <c r="Q176" s="23">
        <f t="shared" si="67"/>
        <v>0</v>
      </c>
      <c r="R176" s="23">
        <f t="shared" si="68"/>
        <v>0</v>
      </c>
      <c r="S176" s="23">
        <f t="shared" si="69"/>
        <v>0</v>
      </c>
      <c r="T176" s="23">
        <f t="shared" si="70"/>
        <v>0</v>
      </c>
      <c r="V176" s="23">
        <f t="shared" si="71"/>
        <v>0</v>
      </c>
    </row>
    <row r="177" spans="1:22" x14ac:dyDescent="0.2">
      <c r="A177" s="18" t="s">
        <v>72</v>
      </c>
      <c r="B177" s="23">
        <f t="shared" ref="B177:M177" si="93">B107-B37</f>
        <v>146</v>
      </c>
      <c r="C177" s="23">
        <f t="shared" si="93"/>
        <v>-360</v>
      </c>
      <c r="D177" s="23">
        <f t="shared" si="93"/>
        <v>146</v>
      </c>
      <c r="E177" s="23">
        <f t="shared" si="93"/>
        <v>146</v>
      </c>
      <c r="F177" s="23">
        <f t="shared" si="93"/>
        <v>0</v>
      </c>
      <c r="G177" s="23">
        <f t="shared" si="93"/>
        <v>0</v>
      </c>
      <c r="H177" s="23">
        <f t="shared" si="93"/>
        <v>0</v>
      </c>
      <c r="I177" s="23">
        <f t="shared" si="93"/>
        <v>0</v>
      </c>
      <c r="J177" s="23">
        <f t="shared" si="93"/>
        <v>0</v>
      </c>
      <c r="K177" s="23">
        <f t="shared" si="93"/>
        <v>0</v>
      </c>
      <c r="L177" s="23">
        <f t="shared" si="93"/>
        <v>0</v>
      </c>
      <c r="M177" s="23">
        <f t="shared" si="93"/>
        <v>0</v>
      </c>
      <c r="O177" s="23">
        <f t="shared" si="66"/>
        <v>78</v>
      </c>
      <c r="Q177" s="23">
        <f t="shared" si="67"/>
        <v>-68</v>
      </c>
      <c r="R177" s="23">
        <f t="shared" si="68"/>
        <v>146</v>
      </c>
      <c r="S177" s="23">
        <f t="shared" si="69"/>
        <v>0</v>
      </c>
      <c r="T177" s="23">
        <f t="shared" si="70"/>
        <v>0</v>
      </c>
      <c r="V177" s="23">
        <f t="shared" si="71"/>
        <v>78</v>
      </c>
    </row>
    <row r="178" spans="1:22" x14ac:dyDescent="0.2">
      <c r="A178" s="18" t="s">
        <v>48</v>
      </c>
      <c r="B178" s="23">
        <f t="shared" ref="B178:M178" si="94">B108-B38</f>
        <v>11143</v>
      </c>
      <c r="C178" s="23">
        <f t="shared" si="94"/>
        <v>-30813</v>
      </c>
      <c r="D178" s="23">
        <f t="shared" si="94"/>
        <v>-12085.779999999999</v>
      </c>
      <c r="E178" s="23">
        <f t="shared" si="94"/>
        <v>-8446.48</v>
      </c>
      <c r="F178" s="23">
        <f t="shared" si="94"/>
        <v>0</v>
      </c>
      <c r="G178" s="23">
        <f t="shared" si="94"/>
        <v>0</v>
      </c>
      <c r="H178" s="23">
        <f t="shared" si="94"/>
        <v>0</v>
      </c>
      <c r="I178" s="23">
        <f t="shared" si="94"/>
        <v>0</v>
      </c>
      <c r="J178" s="23">
        <f t="shared" si="94"/>
        <v>0</v>
      </c>
      <c r="K178" s="23">
        <f t="shared" si="94"/>
        <v>0</v>
      </c>
      <c r="L178" s="23">
        <f t="shared" si="94"/>
        <v>0</v>
      </c>
      <c r="M178" s="23">
        <f t="shared" si="94"/>
        <v>0</v>
      </c>
      <c r="O178" s="23">
        <f t="shared" si="66"/>
        <v>-40202.259999999995</v>
      </c>
      <c r="Q178" s="23">
        <f t="shared" si="67"/>
        <v>-31755.78</v>
      </c>
      <c r="R178" s="23">
        <f t="shared" si="68"/>
        <v>-8446.48</v>
      </c>
      <c r="S178" s="23">
        <f t="shared" si="69"/>
        <v>0</v>
      </c>
      <c r="T178" s="23">
        <f t="shared" si="70"/>
        <v>0</v>
      </c>
      <c r="V178" s="23">
        <f t="shared" si="71"/>
        <v>-40202.259999999995</v>
      </c>
    </row>
    <row r="179" spans="1:22" x14ac:dyDescent="0.2">
      <c r="A179" s="18" t="s">
        <v>74</v>
      </c>
      <c r="B179" s="23">
        <f t="shared" ref="B179:M179" si="95">B109-B39</f>
        <v>629</v>
      </c>
      <c r="C179" s="23">
        <f t="shared" si="95"/>
        <v>20</v>
      </c>
      <c r="D179" s="23">
        <f t="shared" si="95"/>
        <v>-41571.26</v>
      </c>
      <c r="E179" s="23">
        <f t="shared" si="95"/>
        <v>-9724.57</v>
      </c>
      <c r="F179" s="23">
        <f t="shared" si="95"/>
        <v>0</v>
      </c>
      <c r="G179" s="23">
        <f t="shared" si="95"/>
        <v>0</v>
      </c>
      <c r="H179" s="23">
        <f t="shared" si="95"/>
        <v>0</v>
      </c>
      <c r="I179" s="23">
        <f t="shared" si="95"/>
        <v>0</v>
      </c>
      <c r="J179" s="23">
        <f t="shared" si="95"/>
        <v>0</v>
      </c>
      <c r="K179" s="23">
        <f t="shared" si="95"/>
        <v>0</v>
      </c>
      <c r="L179" s="23">
        <f t="shared" si="95"/>
        <v>0</v>
      </c>
      <c r="M179" s="23">
        <f t="shared" si="95"/>
        <v>0</v>
      </c>
      <c r="O179" s="23">
        <f t="shared" si="66"/>
        <v>-50646.83</v>
      </c>
      <c r="Q179" s="23">
        <f t="shared" si="67"/>
        <v>-40922.26</v>
      </c>
      <c r="R179" s="23">
        <f t="shared" si="68"/>
        <v>-9724.57</v>
      </c>
      <c r="S179" s="23">
        <f t="shared" si="69"/>
        <v>0</v>
      </c>
      <c r="T179" s="23">
        <f t="shared" si="70"/>
        <v>0</v>
      </c>
      <c r="V179" s="23">
        <f t="shared" si="71"/>
        <v>-50646.83</v>
      </c>
    </row>
    <row r="180" spans="1:22" x14ac:dyDescent="0.2">
      <c r="A180" s="18" t="s">
        <v>96</v>
      </c>
      <c r="B180" s="23">
        <f t="shared" ref="B180:M180" si="96">B110-B40</f>
        <v>-222</v>
      </c>
      <c r="C180" s="23">
        <f t="shared" si="96"/>
        <v>-1537</v>
      </c>
      <c r="D180" s="23">
        <f t="shared" si="96"/>
        <v>-48682</v>
      </c>
      <c r="E180" s="23">
        <f t="shared" si="96"/>
        <v>-9088</v>
      </c>
      <c r="F180" s="23">
        <f t="shared" si="96"/>
        <v>0</v>
      </c>
      <c r="G180" s="23">
        <f t="shared" si="96"/>
        <v>0</v>
      </c>
      <c r="H180" s="23">
        <f t="shared" si="96"/>
        <v>0</v>
      </c>
      <c r="I180" s="23">
        <f t="shared" si="96"/>
        <v>0</v>
      </c>
      <c r="J180" s="23">
        <f t="shared" si="96"/>
        <v>0</v>
      </c>
      <c r="K180" s="23">
        <f t="shared" si="96"/>
        <v>0</v>
      </c>
      <c r="L180" s="23">
        <f t="shared" si="96"/>
        <v>0</v>
      </c>
      <c r="M180" s="23">
        <f t="shared" si="96"/>
        <v>0</v>
      </c>
      <c r="O180" s="23">
        <f t="shared" si="66"/>
        <v>-59529</v>
      </c>
      <c r="Q180" s="23">
        <f t="shared" si="67"/>
        <v>-50441</v>
      </c>
      <c r="R180" s="23">
        <f t="shared" si="68"/>
        <v>-9088</v>
      </c>
      <c r="S180" s="23">
        <f t="shared" si="69"/>
        <v>0</v>
      </c>
      <c r="T180" s="23">
        <f t="shared" si="70"/>
        <v>0</v>
      </c>
      <c r="V180" s="23">
        <f t="shared" si="71"/>
        <v>-59529</v>
      </c>
    </row>
    <row r="181" spans="1:22" x14ac:dyDescent="0.2">
      <c r="A181" s="18"/>
    </row>
    <row r="182" spans="1:22" x14ac:dyDescent="0.2">
      <c r="A182" s="19" t="s">
        <v>28</v>
      </c>
      <c r="B182" s="27">
        <f t="shared" ref="B182:M182" si="97">SUM(B153:B180)</f>
        <v>38900</v>
      </c>
      <c r="C182" s="27">
        <f t="shared" si="97"/>
        <v>-88860</v>
      </c>
      <c r="D182" s="27">
        <f t="shared" si="97"/>
        <v>-206375</v>
      </c>
      <c r="E182" s="27">
        <f t="shared" si="97"/>
        <v>-261506.56000000003</v>
      </c>
      <c r="F182" s="27">
        <f t="shared" si="97"/>
        <v>0</v>
      </c>
      <c r="G182" s="27">
        <f t="shared" si="97"/>
        <v>0</v>
      </c>
      <c r="H182" s="27">
        <f t="shared" si="97"/>
        <v>0</v>
      </c>
      <c r="I182" s="27">
        <f t="shared" si="97"/>
        <v>0</v>
      </c>
      <c r="J182" s="27">
        <f t="shared" si="97"/>
        <v>0</v>
      </c>
      <c r="K182" s="27">
        <f t="shared" si="97"/>
        <v>0</v>
      </c>
      <c r="L182" s="27">
        <f t="shared" si="97"/>
        <v>0</v>
      </c>
      <c r="M182" s="27">
        <f t="shared" si="97"/>
        <v>0</v>
      </c>
      <c r="O182" s="27">
        <f>SUM(O153:O180)</f>
        <v>-517841.56</v>
      </c>
      <c r="Q182" s="27">
        <f>SUM(B182:D182)</f>
        <v>-256335</v>
      </c>
      <c r="R182" s="27">
        <f>SUM(E182:G182)</f>
        <v>-261506.56000000003</v>
      </c>
      <c r="S182" s="27">
        <f>SUM(H182:J182)</f>
        <v>0</v>
      </c>
      <c r="T182" s="27">
        <f>SUM(K182:M182)</f>
        <v>0</v>
      </c>
      <c r="V182" s="27">
        <f>SUM(Q182:U182)</f>
        <v>-517841.56000000006</v>
      </c>
    </row>
    <row r="183" spans="1:22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">
      <c r="A184" s="17" t="s">
        <v>29</v>
      </c>
      <c r="B184" s="25">
        <f t="shared" ref="B184:M184" si="98">+B114-B44</f>
        <v>-1515.3333333333321</v>
      </c>
      <c r="C184" s="25">
        <f t="shared" si="98"/>
        <v>-1515.3333333333321</v>
      </c>
      <c r="D184" s="25">
        <f t="shared" si="98"/>
        <v>514.66666666666788</v>
      </c>
      <c r="E184" s="25">
        <f t="shared" si="98"/>
        <v>-500.33333333333212</v>
      </c>
      <c r="F184" s="25">
        <f t="shared" si="98"/>
        <v>-500.33333333333212</v>
      </c>
      <c r="G184" s="25">
        <f t="shared" si="98"/>
        <v>0</v>
      </c>
      <c r="H184" s="25">
        <f t="shared" si="98"/>
        <v>0</v>
      </c>
      <c r="I184" s="25">
        <f t="shared" si="98"/>
        <v>0</v>
      </c>
      <c r="J184" s="25">
        <f t="shared" si="98"/>
        <v>0</v>
      </c>
      <c r="K184" s="25">
        <f t="shared" si="98"/>
        <v>0</v>
      </c>
      <c r="L184" s="25">
        <f t="shared" si="98"/>
        <v>0</v>
      </c>
      <c r="M184" s="25">
        <f t="shared" si="98"/>
        <v>0</v>
      </c>
      <c r="O184" s="25">
        <f>SUM(B184:M184)</f>
        <v>-3516.6666666666606</v>
      </c>
      <c r="Q184" s="25">
        <f>SUM(B184:D184)</f>
        <v>-2515.9999999999964</v>
      </c>
      <c r="R184" s="25">
        <f>SUM(E184:G184)</f>
        <v>-1000.6666666666642</v>
      </c>
      <c r="S184" s="25">
        <f>SUM(H184:J184)</f>
        <v>0</v>
      </c>
      <c r="T184" s="25">
        <f>SUM(K184:M184)</f>
        <v>0</v>
      </c>
      <c r="V184" s="25">
        <f>SUM(Q184:U184)</f>
        <v>-3516.6666666666606</v>
      </c>
    </row>
    <row r="185" spans="1:22" x14ac:dyDescent="0.2">
      <c r="A185" s="17"/>
    </row>
    <row r="186" spans="1:22" x14ac:dyDescent="0.2">
      <c r="A186" s="17" t="s">
        <v>30</v>
      </c>
      <c r="B186" s="25">
        <f t="shared" ref="B186:M186" si="99">+B116-B46</f>
        <v>-83333</v>
      </c>
      <c r="C186" s="25">
        <f t="shared" si="99"/>
        <v>-83333</v>
      </c>
      <c r="D186" s="25">
        <f t="shared" si="99"/>
        <v>50000</v>
      </c>
      <c r="E186" s="25">
        <f t="shared" si="99"/>
        <v>-16667</v>
      </c>
      <c r="F186" s="25">
        <f t="shared" si="99"/>
        <v>-33333</v>
      </c>
      <c r="G186" s="25">
        <f t="shared" si="99"/>
        <v>-33334</v>
      </c>
      <c r="H186" s="25">
        <f t="shared" si="99"/>
        <v>-33333</v>
      </c>
      <c r="I186" s="25">
        <f t="shared" si="99"/>
        <v>-33333</v>
      </c>
      <c r="J186" s="25">
        <f t="shared" si="99"/>
        <v>-33334</v>
      </c>
      <c r="K186" s="25">
        <f t="shared" si="99"/>
        <v>-33333</v>
      </c>
      <c r="L186" s="25">
        <f t="shared" si="99"/>
        <v>-33333</v>
      </c>
      <c r="M186" s="25">
        <f t="shared" si="99"/>
        <v>-33334</v>
      </c>
      <c r="O186" s="25">
        <f>SUM(B186:M186)</f>
        <v>-400000</v>
      </c>
      <c r="Q186" s="25">
        <f>SUM(B186:D186)</f>
        <v>-116666</v>
      </c>
      <c r="R186" s="25">
        <f>SUM(E186:G186)</f>
        <v>-83334</v>
      </c>
      <c r="S186" s="25">
        <f>SUM(H186:J186)</f>
        <v>-100000</v>
      </c>
      <c r="T186" s="25">
        <f>SUM(K186:M186)</f>
        <v>-100000</v>
      </c>
      <c r="V186" s="25">
        <f>SUM(Q186:U186)</f>
        <v>-400000</v>
      </c>
    </row>
    <row r="187" spans="1:22" x14ac:dyDescent="0.2">
      <c r="A187" s="17"/>
    </row>
    <row r="188" spans="1:22" ht="13.5" thickBot="1" x14ac:dyDescent="0.25">
      <c r="A188" s="4" t="s">
        <v>16</v>
      </c>
      <c r="B188" s="24">
        <f t="shared" ref="B188:M188" si="100">+B182+B184+B186</f>
        <v>-45948.333333333328</v>
      </c>
      <c r="C188" s="24">
        <f t="shared" si="100"/>
        <v>-173708.33333333331</v>
      </c>
      <c r="D188" s="24">
        <f t="shared" si="100"/>
        <v>-155860.33333333334</v>
      </c>
      <c r="E188" s="24">
        <f t="shared" si="100"/>
        <v>-278673.89333333337</v>
      </c>
      <c r="F188" s="24">
        <f t="shared" si="100"/>
        <v>-33833.333333333328</v>
      </c>
      <c r="G188" s="24">
        <f t="shared" si="100"/>
        <v>-33334</v>
      </c>
      <c r="H188" s="24">
        <f t="shared" si="100"/>
        <v>-33333</v>
      </c>
      <c r="I188" s="24">
        <f t="shared" si="100"/>
        <v>-33333</v>
      </c>
      <c r="J188" s="24">
        <f t="shared" si="100"/>
        <v>-33334</v>
      </c>
      <c r="K188" s="24">
        <f t="shared" si="100"/>
        <v>-33333</v>
      </c>
      <c r="L188" s="24">
        <f t="shared" si="100"/>
        <v>-33333</v>
      </c>
      <c r="M188" s="24">
        <f t="shared" si="100"/>
        <v>-33334</v>
      </c>
      <c r="O188" s="24">
        <f>+O182+O184+O186</f>
        <v>-921358.22666666668</v>
      </c>
      <c r="Q188" s="24">
        <f>+Q182+Q184+Q186</f>
        <v>-375517</v>
      </c>
      <c r="R188" s="24">
        <f>+R182+R184+R186</f>
        <v>-345841.22666666668</v>
      </c>
      <c r="S188" s="24">
        <f>+S182+S184+S186</f>
        <v>-100000</v>
      </c>
      <c r="T188" s="24">
        <f>+T182+T184+T186</f>
        <v>-100000</v>
      </c>
      <c r="V188" s="24">
        <f>+V182+V184+V186</f>
        <v>-921358.2266666668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23">
        <f t="shared" ref="B191:M191" si="101">+B121-B51</f>
        <v>3291.6666666666679</v>
      </c>
      <c r="C191" s="23">
        <f t="shared" si="101"/>
        <v>3291.6666666666679</v>
      </c>
      <c r="D191" s="23">
        <f t="shared" si="101"/>
        <v>3291.6666666666679</v>
      </c>
      <c r="E191" s="23">
        <f t="shared" si="101"/>
        <v>-7797.3333333333321</v>
      </c>
      <c r="F191" s="23">
        <f t="shared" si="101"/>
        <v>-7797.3333333333321</v>
      </c>
      <c r="G191" s="23">
        <f t="shared" si="101"/>
        <v>-7237.9166666666679</v>
      </c>
      <c r="H191" s="23">
        <f t="shared" si="101"/>
        <v>-7237.9166666666679</v>
      </c>
      <c r="I191" s="23">
        <f t="shared" si="101"/>
        <v>-7237.9166666666679</v>
      </c>
      <c r="J191" s="23">
        <f t="shared" si="101"/>
        <v>-7237.9166666666679</v>
      </c>
      <c r="K191" s="23">
        <f t="shared" si="101"/>
        <v>-7237.9166666666679</v>
      </c>
      <c r="L191" s="23">
        <f t="shared" si="101"/>
        <v>-7237.9166666666679</v>
      </c>
      <c r="M191" s="23">
        <f t="shared" si="101"/>
        <v>-7237.9166666666679</v>
      </c>
      <c r="O191" s="23">
        <f t="shared" ref="O191:O197" si="102">SUM(B191:M191)</f>
        <v>-56385.083333333343</v>
      </c>
      <c r="Q191" s="23">
        <f t="shared" ref="Q191:Q198" si="103">SUM(B191:D191)</f>
        <v>9875.0000000000036</v>
      </c>
      <c r="R191" s="23">
        <f t="shared" ref="R191:R198" si="104">SUM(E191:G191)</f>
        <v>-22832.583333333332</v>
      </c>
      <c r="S191" s="23">
        <f t="shared" ref="S191:S198" si="105">SUM(H191:J191)</f>
        <v>-21713.750000000004</v>
      </c>
      <c r="T191" s="23">
        <f t="shared" ref="T191:T198" si="106">SUM(K191:M191)</f>
        <v>-21713.750000000004</v>
      </c>
      <c r="V191" s="23">
        <f t="shared" ref="V191:V198" si="107">SUM(Q191:U191)</f>
        <v>-56385.083333333328</v>
      </c>
    </row>
    <row r="192" spans="1:22" x14ac:dyDescent="0.2">
      <c r="A192" s="3" t="s">
        <v>1</v>
      </c>
      <c r="B192" s="23">
        <f t="shared" ref="B192:M192" si="108">+B122-B52</f>
        <v>-21200</v>
      </c>
      <c r="C192" s="23">
        <f t="shared" si="108"/>
        <v>-14800</v>
      </c>
      <c r="D192" s="23">
        <f t="shared" si="108"/>
        <v>-20800</v>
      </c>
      <c r="E192" s="23">
        <f t="shared" si="108"/>
        <v>-20800</v>
      </c>
      <c r="F192" s="23">
        <f t="shared" si="108"/>
        <v>-21550</v>
      </c>
      <c r="G192" s="23">
        <f t="shared" si="108"/>
        <v>-13216.666666666666</v>
      </c>
      <c r="H192" s="23">
        <f t="shared" si="108"/>
        <v>-13216.666666666666</v>
      </c>
      <c r="I192" s="23">
        <f t="shared" si="108"/>
        <v>-13216.666666666666</v>
      </c>
      <c r="J192" s="23">
        <f t="shared" si="108"/>
        <v>-13216.666666666666</v>
      </c>
      <c r="K192" s="23">
        <f t="shared" si="108"/>
        <v>-13216.666666666666</v>
      </c>
      <c r="L192" s="23">
        <f t="shared" si="108"/>
        <v>-13216.666666666666</v>
      </c>
      <c r="M192" s="23">
        <f t="shared" si="108"/>
        <v>-13216.666666666666</v>
      </c>
      <c r="O192" s="23">
        <f t="shared" si="102"/>
        <v>-191666.66666666663</v>
      </c>
      <c r="Q192" s="23">
        <f t="shared" si="103"/>
        <v>-56800</v>
      </c>
      <c r="R192" s="23">
        <f t="shared" si="104"/>
        <v>-55566.666666666664</v>
      </c>
      <c r="S192" s="23">
        <f t="shared" si="105"/>
        <v>-39650</v>
      </c>
      <c r="T192" s="23">
        <f t="shared" si="106"/>
        <v>-39650</v>
      </c>
      <c r="V192" s="23">
        <f t="shared" si="107"/>
        <v>-191666.66666666666</v>
      </c>
    </row>
    <row r="193" spans="1:22" x14ac:dyDescent="0.2">
      <c r="A193" s="3" t="s">
        <v>3</v>
      </c>
      <c r="B193" s="23">
        <f t="shared" ref="B193:M193" si="109">+B123-B53</f>
        <v>8333.3333333333339</v>
      </c>
      <c r="C193" s="23">
        <f t="shared" si="109"/>
        <v>8333.3333333333339</v>
      </c>
      <c r="D193" s="23">
        <f t="shared" si="109"/>
        <v>8333.3333333333339</v>
      </c>
      <c r="E193" s="23">
        <f t="shared" si="109"/>
        <v>8333.3333333333339</v>
      </c>
      <c r="F193" s="23">
        <f t="shared" si="109"/>
        <v>0</v>
      </c>
      <c r="G193" s="23">
        <f t="shared" si="109"/>
        <v>0</v>
      </c>
      <c r="H193" s="23">
        <f t="shared" si="109"/>
        <v>0</v>
      </c>
      <c r="I193" s="23">
        <f t="shared" si="109"/>
        <v>0</v>
      </c>
      <c r="J193" s="23">
        <f t="shared" si="109"/>
        <v>0</v>
      </c>
      <c r="K193" s="23">
        <f t="shared" si="109"/>
        <v>0</v>
      </c>
      <c r="L193" s="23">
        <f t="shared" si="109"/>
        <v>0</v>
      </c>
      <c r="M193" s="23">
        <f t="shared" si="109"/>
        <v>0</v>
      </c>
      <c r="O193" s="23">
        <f t="shared" si="102"/>
        <v>33333.333333333336</v>
      </c>
      <c r="Q193" s="23">
        <f t="shared" si="103"/>
        <v>25000</v>
      </c>
      <c r="R193" s="23">
        <f t="shared" si="104"/>
        <v>8333.3333333333339</v>
      </c>
      <c r="S193" s="23">
        <f t="shared" si="105"/>
        <v>0</v>
      </c>
      <c r="T193" s="23">
        <f t="shared" si="106"/>
        <v>0</v>
      </c>
      <c r="V193" s="23">
        <f t="shared" si="107"/>
        <v>33333.333333333336</v>
      </c>
    </row>
    <row r="194" spans="1:22" x14ac:dyDescent="0.2">
      <c r="A194" s="3" t="s">
        <v>4</v>
      </c>
      <c r="B194" s="23">
        <f t="shared" ref="B194:M194" si="110">+B124-B54</f>
        <v>2500</v>
      </c>
      <c r="C194" s="23">
        <f t="shared" si="110"/>
        <v>2500</v>
      </c>
      <c r="D194" s="23">
        <f t="shared" si="110"/>
        <v>2500</v>
      </c>
      <c r="E194" s="23">
        <f t="shared" si="110"/>
        <v>2500</v>
      </c>
      <c r="F194" s="23">
        <f t="shared" si="110"/>
        <v>0</v>
      </c>
      <c r="G194" s="23">
        <f t="shared" si="110"/>
        <v>0</v>
      </c>
      <c r="H194" s="23">
        <f t="shared" si="110"/>
        <v>0</v>
      </c>
      <c r="I194" s="23">
        <f t="shared" si="110"/>
        <v>0</v>
      </c>
      <c r="J194" s="23">
        <f t="shared" si="110"/>
        <v>0</v>
      </c>
      <c r="K194" s="23">
        <f t="shared" si="110"/>
        <v>0</v>
      </c>
      <c r="L194" s="23">
        <f t="shared" si="110"/>
        <v>0</v>
      </c>
      <c r="M194" s="23">
        <f t="shared" si="110"/>
        <v>0</v>
      </c>
      <c r="O194" s="23">
        <f t="shared" si="102"/>
        <v>10000</v>
      </c>
      <c r="Q194" s="23">
        <f t="shared" si="103"/>
        <v>7500</v>
      </c>
      <c r="R194" s="23">
        <f t="shared" si="104"/>
        <v>2500</v>
      </c>
      <c r="S194" s="23">
        <f t="shared" si="105"/>
        <v>0</v>
      </c>
      <c r="T194" s="23">
        <f t="shared" si="106"/>
        <v>0</v>
      </c>
      <c r="V194" s="23">
        <f t="shared" si="107"/>
        <v>10000</v>
      </c>
    </row>
    <row r="195" spans="1:22" x14ac:dyDescent="0.2">
      <c r="A195" s="3" t="s">
        <v>5</v>
      </c>
      <c r="B195" s="23">
        <f t="shared" ref="B195:M195" si="111">+B125-B55</f>
        <v>6250</v>
      </c>
      <c r="C195" s="23">
        <f t="shared" si="111"/>
        <v>4658</v>
      </c>
      <c r="D195" s="23">
        <f t="shared" si="111"/>
        <v>372</v>
      </c>
      <c r="E195" s="23">
        <f t="shared" si="111"/>
        <v>6250</v>
      </c>
      <c r="F195" s="23">
        <f t="shared" si="111"/>
        <v>0</v>
      </c>
      <c r="G195" s="23">
        <f t="shared" si="111"/>
        <v>0</v>
      </c>
      <c r="H195" s="23">
        <f t="shared" si="111"/>
        <v>0</v>
      </c>
      <c r="I195" s="23">
        <f t="shared" si="111"/>
        <v>0</v>
      </c>
      <c r="J195" s="23">
        <f t="shared" si="111"/>
        <v>0</v>
      </c>
      <c r="K195" s="23">
        <f t="shared" si="111"/>
        <v>0</v>
      </c>
      <c r="L195" s="23">
        <f t="shared" si="111"/>
        <v>0</v>
      </c>
      <c r="M195" s="23">
        <f t="shared" si="111"/>
        <v>0</v>
      </c>
      <c r="O195" s="23">
        <f t="shared" si="102"/>
        <v>17530</v>
      </c>
      <c r="Q195" s="23">
        <f t="shared" si="103"/>
        <v>11280</v>
      </c>
      <c r="R195" s="23">
        <f t="shared" si="104"/>
        <v>6250</v>
      </c>
      <c r="S195" s="23">
        <f t="shared" si="105"/>
        <v>0</v>
      </c>
      <c r="T195" s="23">
        <f t="shared" si="106"/>
        <v>0</v>
      </c>
      <c r="V195" s="23">
        <f t="shared" si="107"/>
        <v>17530</v>
      </c>
    </row>
    <row r="196" spans="1:22" x14ac:dyDescent="0.2">
      <c r="A196" s="3" t="s">
        <v>14</v>
      </c>
      <c r="B196" s="23">
        <f t="shared" ref="B196:M196" si="112">+B126-B56</f>
        <v>0</v>
      </c>
      <c r="C196" s="23">
        <f t="shared" si="112"/>
        <v>0</v>
      </c>
      <c r="D196" s="23">
        <f t="shared" si="112"/>
        <v>0</v>
      </c>
      <c r="E196" s="23">
        <f t="shared" si="112"/>
        <v>0</v>
      </c>
      <c r="F196" s="23">
        <f t="shared" si="112"/>
        <v>0</v>
      </c>
      <c r="G196" s="23">
        <f t="shared" si="112"/>
        <v>0</v>
      </c>
      <c r="H196" s="23">
        <f t="shared" si="112"/>
        <v>0</v>
      </c>
      <c r="I196" s="23">
        <f t="shared" si="112"/>
        <v>0</v>
      </c>
      <c r="J196" s="23">
        <f t="shared" si="112"/>
        <v>0</v>
      </c>
      <c r="K196" s="23">
        <f t="shared" si="112"/>
        <v>0</v>
      </c>
      <c r="L196" s="23">
        <f t="shared" si="112"/>
        <v>0</v>
      </c>
      <c r="M196" s="23">
        <f t="shared" si="112"/>
        <v>0</v>
      </c>
      <c r="O196" s="23">
        <f t="shared" si="102"/>
        <v>0</v>
      </c>
      <c r="Q196" s="23">
        <f t="shared" si="103"/>
        <v>0</v>
      </c>
      <c r="R196" s="23">
        <f t="shared" si="104"/>
        <v>0</v>
      </c>
      <c r="S196" s="23">
        <f t="shared" si="105"/>
        <v>0</v>
      </c>
      <c r="T196" s="23">
        <f t="shared" si="106"/>
        <v>0</v>
      </c>
      <c r="V196" s="23">
        <f t="shared" si="107"/>
        <v>0</v>
      </c>
    </row>
    <row r="197" spans="1:22" x14ac:dyDescent="0.2">
      <c r="A197" s="3"/>
      <c r="B197" s="23">
        <f t="shared" ref="B197:M197" si="113">+B127-B57</f>
        <v>0</v>
      </c>
      <c r="C197" s="23">
        <f t="shared" si="113"/>
        <v>0</v>
      </c>
      <c r="D197" s="23">
        <f t="shared" si="113"/>
        <v>0</v>
      </c>
      <c r="E197" s="23">
        <f t="shared" si="113"/>
        <v>0</v>
      </c>
      <c r="F197" s="23">
        <f t="shared" si="113"/>
        <v>0</v>
      </c>
      <c r="G197" s="23">
        <f t="shared" si="113"/>
        <v>0</v>
      </c>
      <c r="H197" s="23">
        <f t="shared" si="113"/>
        <v>0</v>
      </c>
      <c r="I197" s="23">
        <f t="shared" si="113"/>
        <v>0</v>
      </c>
      <c r="J197" s="23">
        <f t="shared" si="113"/>
        <v>0</v>
      </c>
      <c r="K197" s="23">
        <f t="shared" si="113"/>
        <v>0</v>
      </c>
      <c r="L197" s="23">
        <f t="shared" si="113"/>
        <v>0</v>
      </c>
      <c r="M197" s="23">
        <f t="shared" si="113"/>
        <v>0</v>
      </c>
      <c r="O197" s="23">
        <f t="shared" si="102"/>
        <v>0</v>
      </c>
      <c r="Q197" s="23">
        <f t="shared" si="103"/>
        <v>0</v>
      </c>
      <c r="R197" s="23">
        <f t="shared" si="104"/>
        <v>0</v>
      </c>
      <c r="S197" s="23">
        <f t="shared" si="105"/>
        <v>0</v>
      </c>
      <c r="T197" s="23">
        <f t="shared" si="106"/>
        <v>0</v>
      </c>
      <c r="V197" s="23">
        <f t="shared" si="107"/>
        <v>0</v>
      </c>
    </row>
    <row r="198" spans="1:22" ht="13.5" thickBot="1" x14ac:dyDescent="0.25">
      <c r="A198" s="4" t="s">
        <v>15</v>
      </c>
      <c r="B198" s="28">
        <f t="shared" ref="B198:M198" si="114">SUM(B190:B197)</f>
        <v>-824.99999999999818</v>
      </c>
      <c r="C198" s="28">
        <f t="shared" si="114"/>
        <v>3983.0000000000018</v>
      </c>
      <c r="D198" s="28">
        <f t="shared" si="114"/>
        <v>-6302.9999999999982</v>
      </c>
      <c r="E198" s="28">
        <f t="shared" si="114"/>
        <v>-11514</v>
      </c>
      <c r="F198" s="28">
        <f t="shared" si="114"/>
        <v>-29347.333333333332</v>
      </c>
      <c r="G198" s="28">
        <f t="shared" si="114"/>
        <v>-20454.583333333336</v>
      </c>
      <c r="H198" s="28">
        <f t="shared" si="114"/>
        <v>-20454.583333333336</v>
      </c>
      <c r="I198" s="28">
        <f t="shared" si="114"/>
        <v>-20454.583333333336</v>
      </c>
      <c r="J198" s="28">
        <f t="shared" si="114"/>
        <v>-20454.583333333336</v>
      </c>
      <c r="K198" s="28">
        <f t="shared" si="114"/>
        <v>-20454.583333333336</v>
      </c>
      <c r="L198" s="28">
        <f t="shared" si="114"/>
        <v>-20454.583333333336</v>
      </c>
      <c r="M198" s="28">
        <f t="shared" si="114"/>
        <v>-20454.583333333336</v>
      </c>
      <c r="O198" s="28">
        <f>SUM(O190:O197)</f>
        <v>-187188.41666666663</v>
      </c>
      <c r="Q198" s="28">
        <f t="shared" si="103"/>
        <v>-3144.9999999999945</v>
      </c>
      <c r="R198" s="28">
        <f t="shared" si="104"/>
        <v>-61315.916666666664</v>
      </c>
      <c r="S198" s="28">
        <f t="shared" si="105"/>
        <v>-61363.750000000007</v>
      </c>
      <c r="T198" s="28">
        <f t="shared" si="106"/>
        <v>-61363.750000000007</v>
      </c>
      <c r="V198" s="28">
        <f t="shared" si="107"/>
        <v>-187188.41666666666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23">
        <f t="shared" ref="B201:M201" si="115">+B131-B61</f>
        <v>0</v>
      </c>
      <c r="C201" s="23">
        <f t="shared" si="115"/>
        <v>0</v>
      </c>
      <c r="D201" s="23">
        <f t="shared" si="115"/>
        <v>0</v>
      </c>
      <c r="E201" s="23">
        <f t="shared" si="115"/>
        <v>0</v>
      </c>
      <c r="F201" s="23">
        <f t="shared" si="115"/>
        <v>0</v>
      </c>
      <c r="G201" s="23">
        <f t="shared" si="115"/>
        <v>0</v>
      </c>
      <c r="H201" s="23">
        <f t="shared" si="115"/>
        <v>0</v>
      </c>
      <c r="I201" s="23">
        <f t="shared" si="115"/>
        <v>0</v>
      </c>
      <c r="J201" s="23">
        <f t="shared" si="115"/>
        <v>0</v>
      </c>
      <c r="K201" s="23">
        <f t="shared" si="115"/>
        <v>0</v>
      </c>
      <c r="L201" s="23">
        <f t="shared" si="115"/>
        <v>0</v>
      </c>
      <c r="M201" s="23">
        <f t="shared" si="115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">
      <c r="A202" s="3" t="s">
        <v>7</v>
      </c>
      <c r="B202" s="23">
        <f t="shared" ref="B202:M202" si="116">+B132-B62</f>
        <v>-98886</v>
      </c>
      <c r="C202" s="23">
        <f t="shared" si="116"/>
        <v>98000</v>
      </c>
      <c r="D202" s="23">
        <f t="shared" si="116"/>
        <v>168020</v>
      </c>
      <c r="E202" s="23">
        <f t="shared" si="116"/>
        <v>58604</v>
      </c>
      <c r="F202" s="23">
        <f t="shared" si="116"/>
        <v>47963.969457115978</v>
      </c>
      <c r="G202" s="23">
        <f t="shared" si="116"/>
        <v>41060.00040278642</v>
      </c>
      <c r="H202" s="23">
        <f t="shared" si="116"/>
        <v>65817.916307746083</v>
      </c>
      <c r="I202" s="23">
        <f t="shared" si="116"/>
        <v>154989.89550719073</v>
      </c>
      <c r="J202" s="23">
        <f t="shared" si="116"/>
        <v>249486.16042729915</v>
      </c>
      <c r="K202" s="23">
        <f t="shared" si="116"/>
        <v>255038.07511572476</v>
      </c>
      <c r="L202" s="23">
        <f t="shared" si="116"/>
        <v>254974.03059204598</v>
      </c>
      <c r="M202" s="23">
        <f t="shared" si="116"/>
        <v>255929.55624386412</v>
      </c>
      <c r="O202" s="23">
        <f>SUM(B202:M202)</f>
        <v>1550997.6040537732</v>
      </c>
      <c r="Q202" s="23">
        <f>SUM(B202:D202)</f>
        <v>167134</v>
      </c>
      <c r="R202" s="23">
        <f>SUM(E202:G202)</f>
        <v>147627.9698599024</v>
      </c>
      <c r="S202" s="23">
        <f>SUM(H202:J202)</f>
        <v>470293.97224223596</v>
      </c>
      <c r="T202" s="23">
        <f>SUM(K202:M202)</f>
        <v>765941.6619516348</v>
      </c>
      <c r="V202" s="23">
        <f>SUM(Q202:U202)</f>
        <v>1550997.6040537732</v>
      </c>
    </row>
    <row r="203" spans="1:22" x14ac:dyDescent="0.2">
      <c r="A203" s="3" t="s">
        <v>8</v>
      </c>
      <c r="B203" s="23">
        <f t="shared" ref="B203:M203" si="117">+B133-B63</f>
        <v>-8549</v>
      </c>
      <c r="C203" s="23">
        <f t="shared" si="117"/>
        <v>13776</v>
      </c>
      <c r="D203" s="23">
        <f t="shared" si="117"/>
        <v>1444</v>
      </c>
      <c r="E203" s="23">
        <f t="shared" si="117"/>
        <v>-3547</v>
      </c>
      <c r="F203" s="23">
        <f t="shared" si="117"/>
        <v>-3547</v>
      </c>
      <c r="G203" s="23">
        <f t="shared" si="117"/>
        <v>-3547</v>
      </c>
      <c r="H203" s="23">
        <f t="shared" si="117"/>
        <v>-3547</v>
      </c>
      <c r="I203" s="23">
        <f t="shared" si="117"/>
        <v>-3547</v>
      </c>
      <c r="J203" s="23">
        <f t="shared" si="117"/>
        <v>-3547</v>
      </c>
      <c r="K203" s="23">
        <f t="shared" si="117"/>
        <v>-3547</v>
      </c>
      <c r="L203" s="23">
        <f t="shared" si="117"/>
        <v>-3547</v>
      </c>
      <c r="M203" s="23">
        <f t="shared" si="117"/>
        <v>453</v>
      </c>
      <c r="O203" s="23">
        <f>SUM(B203:M203)</f>
        <v>-21252</v>
      </c>
      <c r="Q203" s="23">
        <f>SUM(B203:D203)</f>
        <v>6671</v>
      </c>
      <c r="R203" s="23">
        <f>SUM(E203:G203)</f>
        <v>-10641</v>
      </c>
      <c r="S203" s="23">
        <f>SUM(H203:J203)</f>
        <v>-10641</v>
      </c>
      <c r="T203" s="23">
        <f>SUM(K203:M203)</f>
        <v>-6641</v>
      </c>
      <c r="V203" s="23">
        <f>SUM(Q203:U203)</f>
        <v>-21252</v>
      </c>
    </row>
    <row r="204" spans="1:22" x14ac:dyDescent="0.2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5" thickBot="1" x14ac:dyDescent="0.25">
      <c r="A205" s="4" t="s">
        <v>17</v>
      </c>
      <c r="B205" s="28">
        <f t="shared" ref="B205:M205" si="118">SUM(B200:B204)</f>
        <v>-107435</v>
      </c>
      <c r="C205" s="28">
        <f t="shared" si="118"/>
        <v>111776</v>
      </c>
      <c r="D205" s="28">
        <f t="shared" si="118"/>
        <v>169464</v>
      </c>
      <c r="E205" s="28">
        <f t="shared" si="118"/>
        <v>55057</v>
      </c>
      <c r="F205" s="28">
        <f t="shared" si="118"/>
        <v>44416.969457115978</v>
      </c>
      <c r="G205" s="28">
        <f t="shared" si="118"/>
        <v>37513.00040278642</v>
      </c>
      <c r="H205" s="28">
        <f t="shared" si="118"/>
        <v>62270.916307746083</v>
      </c>
      <c r="I205" s="28">
        <f t="shared" si="118"/>
        <v>151442.89550719073</v>
      </c>
      <c r="J205" s="28">
        <f t="shared" si="118"/>
        <v>245939.16042729915</v>
      </c>
      <c r="K205" s="28">
        <f t="shared" si="118"/>
        <v>251491.07511572476</v>
      </c>
      <c r="L205" s="28">
        <f t="shared" si="118"/>
        <v>251427.03059204598</v>
      </c>
      <c r="M205" s="28">
        <f t="shared" si="118"/>
        <v>256382.55624386412</v>
      </c>
      <c r="O205" s="28">
        <f>SUM(O200:O204)</f>
        <v>1529745.6040537732</v>
      </c>
      <c r="Q205" s="28">
        <f>SUM(B205:D205)</f>
        <v>173805</v>
      </c>
      <c r="R205" s="28">
        <f>SUM(E205:G205)</f>
        <v>136986.9698599024</v>
      </c>
      <c r="S205" s="28">
        <f>SUM(H205:J205)</f>
        <v>459652.97224223596</v>
      </c>
      <c r="T205" s="28">
        <f>SUM(K205:M205)</f>
        <v>759300.6619516348</v>
      </c>
      <c r="V205" s="28">
        <f>SUM(Q205:U205)</f>
        <v>1529745.6040537732</v>
      </c>
    </row>
    <row r="207" spans="1:22" ht="13.5" thickBot="1" x14ac:dyDescent="0.25">
      <c r="A207" s="1" t="s">
        <v>13</v>
      </c>
      <c r="B207" s="29">
        <f t="shared" ref="B207:M207" si="119">+B150+B188+B198+B205</f>
        <v>-154208.33333333331</v>
      </c>
      <c r="C207" s="29">
        <f t="shared" si="119"/>
        <v>-57949.333333333314</v>
      </c>
      <c r="D207" s="29">
        <f t="shared" si="119"/>
        <v>7300.666666666657</v>
      </c>
      <c r="E207" s="29">
        <f t="shared" si="119"/>
        <v>-235130.89333333337</v>
      </c>
      <c r="F207" s="29">
        <f t="shared" si="119"/>
        <v>-18763.697209550679</v>
      </c>
      <c r="G207" s="29">
        <f t="shared" si="119"/>
        <v>-16275.582930546916</v>
      </c>
      <c r="H207" s="29">
        <f t="shared" si="119"/>
        <v>8483.3329744127477</v>
      </c>
      <c r="I207" s="29">
        <f t="shared" si="119"/>
        <v>97655.312173857383</v>
      </c>
      <c r="J207" s="29">
        <f t="shared" si="119"/>
        <v>192150.57709396581</v>
      </c>
      <c r="K207" s="29">
        <f t="shared" si="119"/>
        <v>197703.49178239141</v>
      </c>
      <c r="L207" s="29">
        <f t="shared" si="119"/>
        <v>197639.44725871264</v>
      </c>
      <c r="M207" s="29">
        <f t="shared" si="119"/>
        <v>202593.97291053078</v>
      </c>
      <c r="O207" s="29">
        <f>+O150+O188+O198+O205</f>
        <v>421198.96072043991</v>
      </c>
      <c r="Q207" s="29">
        <f>SUM(B207:D207)</f>
        <v>-204856.99999999997</v>
      </c>
      <c r="R207" s="29">
        <f>SUM(E207:G207)</f>
        <v>-270170.17347343097</v>
      </c>
      <c r="S207" s="29">
        <f>SUM(H207:J207)</f>
        <v>298289.2222422359</v>
      </c>
      <c r="T207" s="29">
        <f>SUM(K207:M207)</f>
        <v>597936.9119516348</v>
      </c>
      <c r="V207" s="29">
        <f>SUM(Q207:U207)</f>
        <v>421198.96072043979</v>
      </c>
    </row>
    <row r="208" spans="1:22" ht="13.5" thickTop="1" x14ac:dyDescent="0.2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H79" activePane="bottomRight" state="frozen"/>
      <selection activeCell="B7" sqref="B7:D7"/>
      <selection pane="topRight" activeCell="B7" sqref="B7:D7"/>
      <selection pane="bottomLeft" activeCell="B7" sqref="B7:D7"/>
      <selection pane="bottomRight" activeCell="A91" sqref="A91"/>
    </sheetView>
  </sheetViews>
  <sheetFormatPr defaultColWidth="8.85546875" defaultRowHeight="12.75" x14ac:dyDescent="0.2"/>
  <cols>
    <col min="1" max="1" width="41.140625" customWidth="1"/>
    <col min="2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71" s="2" customFormat="1" ht="15.75" x14ac:dyDescent="0.25">
      <c r="A1" s="43" t="str">
        <f>+'BRN MO'!A1:V1</f>
        <v>GENCO - Brownsville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75" x14ac:dyDescent="0.25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75" x14ac:dyDescent="0.25">
      <c r="A4" s="45">
        <f>'BRN MO'!A4:V4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75" x14ac:dyDescent="0.25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5" thickBot="1" x14ac:dyDescent="0.25">
      <c r="A10" s="1" t="s">
        <v>9</v>
      </c>
      <c r="B10" s="24">
        <f>SUM('BRN MO'!$B10:B10)</f>
        <v>0</v>
      </c>
      <c r="C10" s="24">
        <f>SUM('BRN MO'!$B10:C10)</f>
        <v>0</v>
      </c>
      <c r="D10" s="24">
        <f>SUM('BRN MO'!$B10:D10)</f>
        <v>0</v>
      </c>
      <c r="E10" s="24">
        <f>SUM('BRN MO'!$B10:E10)</f>
        <v>0</v>
      </c>
      <c r="F10" s="24">
        <f>SUM('BRN MO'!$B10:F10)</f>
        <v>0</v>
      </c>
      <c r="G10" s="24">
        <f>SUM('BRN MO'!$B10:G10)</f>
        <v>0</v>
      </c>
      <c r="H10" s="24">
        <f>SUM('BRN MO'!$B10:H10)</f>
        <v>0</v>
      </c>
      <c r="I10" s="24">
        <f>SUM('BRN MO'!$B10:I10)</f>
        <v>0</v>
      </c>
      <c r="J10" s="24">
        <f>SUM('BRN MO'!$B10:J10)</f>
        <v>0</v>
      </c>
      <c r="K10" s="24">
        <f>SUM('BRN MO'!$B10:K10)</f>
        <v>0</v>
      </c>
      <c r="L10" s="24">
        <f>SUM('BRN MO'!$B10:L10)</f>
        <v>0</v>
      </c>
      <c r="M10" s="24">
        <f>SUM('BRN MO'!$B10:M10)</f>
        <v>0</v>
      </c>
    </row>
    <row r="12" spans="1:71" x14ac:dyDescent="0.2">
      <c r="A12" s="1" t="s">
        <v>10</v>
      </c>
    </row>
    <row r="13" spans="1:71" x14ac:dyDescent="0.2">
      <c r="A13" s="17" t="s">
        <v>49</v>
      </c>
    </row>
    <row r="14" spans="1:71" x14ac:dyDescent="0.2">
      <c r="A14" s="18" t="s">
        <v>87</v>
      </c>
      <c r="B14" s="23">
        <f>SUM('BRN MO'!$B14:B14)</f>
        <v>0</v>
      </c>
      <c r="C14" s="23">
        <f>SUM('BRN MO'!$B14:C14)</f>
        <v>0</v>
      </c>
      <c r="D14" s="23">
        <f>SUM('BRN MO'!$B14:D14)</f>
        <v>0</v>
      </c>
      <c r="E14" s="23">
        <f>SUM('BRN MO'!$B14:E14)</f>
        <v>0</v>
      </c>
      <c r="F14" s="23">
        <f>SUM('BRN MO'!$B14:F14)</f>
        <v>0</v>
      </c>
      <c r="G14" s="23">
        <f>SUM('BRN MO'!$B14:G14)</f>
        <v>0</v>
      </c>
      <c r="H14" s="23">
        <f>SUM('BRN MO'!$B14:H14)</f>
        <v>0</v>
      </c>
      <c r="I14" s="23">
        <f>SUM('BRN MO'!$B14:I14)</f>
        <v>0</v>
      </c>
      <c r="J14" s="23">
        <f>SUM('BRN MO'!$B14:J14)</f>
        <v>0</v>
      </c>
      <c r="K14" s="23">
        <f>SUM('BRN MO'!$B14:K14)</f>
        <v>0</v>
      </c>
      <c r="L14" s="23">
        <f>SUM('BRN MO'!$B14:L14)</f>
        <v>0</v>
      </c>
      <c r="M14" s="23">
        <f>SUM('BRN MO'!$B14:M14)</f>
        <v>0</v>
      </c>
    </row>
    <row r="15" spans="1:71" x14ac:dyDescent="0.2">
      <c r="A15" s="18" t="s">
        <v>63</v>
      </c>
      <c r="B15" s="23">
        <f>SUM('BRN MO'!$B15:B15)</f>
        <v>0</v>
      </c>
      <c r="C15" s="23">
        <f>SUM('BRN MO'!$B15:C15)</f>
        <v>0</v>
      </c>
      <c r="D15" s="23">
        <f>SUM('BRN MO'!$B15:D15)</f>
        <v>0</v>
      </c>
      <c r="E15" s="23">
        <f>SUM('BRN MO'!$B15:E15)</f>
        <v>0</v>
      </c>
      <c r="F15" s="23">
        <f>SUM('BRN MO'!$B15:F15)</f>
        <v>1140</v>
      </c>
      <c r="G15" s="23">
        <f>SUM('BRN MO'!$B15:G15)</f>
        <v>2280</v>
      </c>
      <c r="H15" s="23">
        <f>SUM('BRN MO'!$B15:H15)</f>
        <v>3420</v>
      </c>
      <c r="I15" s="23">
        <f>SUM('BRN MO'!$B15:I15)</f>
        <v>4560</v>
      </c>
      <c r="J15" s="23">
        <f>SUM('BRN MO'!$B15:J15)</f>
        <v>5700</v>
      </c>
      <c r="K15" s="23">
        <f>SUM('BRN MO'!$B15:K15)</f>
        <v>6243</v>
      </c>
      <c r="L15" s="23">
        <f>SUM('BRN MO'!$B15:L15)</f>
        <v>6786</v>
      </c>
      <c r="M15" s="23">
        <f>SUM('BRN MO'!$B15:M15)</f>
        <v>7328</v>
      </c>
    </row>
    <row r="16" spans="1:71" x14ac:dyDescent="0.2">
      <c r="A16" s="18" t="s">
        <v>88</v>
      </c>
      <c r="B16" s="23">
        <f>SUM('BRN MO'!$B16:B16)</f>
        <v>0</v>
      </c>
      <c r="C16" s="23">
        <f>SUM('BRN MO'!$B16:C16)</f>
        <v>0</v>
      </c>
      <c r="D16" s="23">
        <f>SUM('BRN MO'!$B16:D16)</f>
        <v>0</v>
      </c>
      <c r="E16" s="23">
        <f>SUM('BRN MO'!$B16:E16)</f>
        <v>0</v>
      </c>
      <c r="F16" s="23">
        <f>SUM('BRN MO'!$B16:F16)</f>
        <v>0</v>
      </c>
      <c r="G16" s="23">
        <f>SUM('BRN MO'!$B16:G16)</f>
        <v>0</v>
      </c>
      <c r="H16" s="23">
        <f>SUM('BRN MO'!$B16:H16)</f>
        <v>0</v>
      </c>
      <c r="I16" s="23">
        <f>SUM('BRN MO'!$B16:I16)</f>
        <v>0</v>
      </c>
      <c r="J16" s="23">
        <f>SUM('BRN MO'!$B16:J16)</f>
        <v>0</v>
      </c>
      <c r="K16" s="23">
        <f>SUM('BRN MO'!$B16:K16)</f>
        <v>0</v>
      </c>
      <c r="L16" s="23">
        <f>SUM('BRN MO'!$B16:L16)</f>
        <v>0</v>
      </c>
      <c r="M16" s="23">
        <f>SUM('BRN MO'!$B16:M16)</f>
        <v>0</v>
      </c>
    </row>
    <row r="17" spans="1:13" x14ac:dyDescent="0.2">
      <c r="A17" s="18" t="s">
        <v>89</v>
      </c>
      <c r="B17" s="23">
        <f>SUM('BRN MO'!$B17:B17)</f>
        <v>0</v>
      </c>
      <c r="C17" s="23">
        <f>SUM('BRN MO'!$B17:C17)</f>
        <v>0</v>
      </c>
      <c r="D17" s="23">
        <f>SUM('BRN MO'!$B17:D17)</f>
        <v>0</v>
      </c>
      <c r="E17" s="23">
        <f>SUM('BRN MO'!$B17:E17)</f>
        <v>0</v>
      </c>
      <c r="F17" s="23">
        <f>SUM('BRN MO'!$B17:F17)</f>
        <v>0</v>
      </c>
      <c r="G17" s="23">
        <f>SUM('BRN MO'!$B17:G17)</f>
        <v>0</v>
      </c>
      <c r="H17" s="23">
        <f>SUM('BRN MO'!$B17:H17)</f>
        <v>0</v>
      </c>
      <c r="I17" s="23">
        <f>SUM('BRN MO'!$B17:I17)</f>
        <v>0</v>
      </c>
      <c r="J17" s="23">
        <f>SUM('BRN MO'!$B17:J17)</f>
        <v>0</v>
      </c>
      <c r="K17" s="23">
        <f>SUM('BRN MO'!$B17:K17)</f>
        <v>0</v>
      </c>
      <c r="L17" s="23">
        <f>SUM('BRN MO'!$B17:L17)</f>
        <v>0</v>
      </c>
      <c r="M17" s="23">
        <f>SUM('BRN MO'!$B17:M17)</f>
        <v>0</v>
      </c>
    </row>
    <row r="18" spans="1:13" x14ac:dyDescent="0.2">
      <c r="A18" s="18" t="s">
        <v>90</v>
      </c>
      <c r="B18" s="23">
        <f>SUM('BRN MO'!$B18:B18)</f>
        <v>0</v>
      </c>
      <c r="C18" s="23">
        <f>SUM('BRN MO'!$B18:C18)</f>
        <v>0</v>
      </c>
      <c r="D18" s="23">
        <f>SUM('BRN MO'!$B18:D18)</f>
        <v>0</v>
      </c>
      <c r="E18" s="23">
        <f>SUM('BRN MO'!$B18:E18)</f>
        <v>0</v>
      </c>
      <c r="F18" s="23">
        <f>SUM('BRN MO'!$B18:F18)</f>
        <v>0</v>
      </c>
      <c r="G18" s="23">
        <f>SUM('BRN MO'!$B18:G18)</f>
        <v>0</v>
      </c>
      <c r="H18" s="23">
        <f>SUM('BRN MO'!$B18:H18)</f>
        <v>0</v>
      </c>
      <c r="I18" s="23">
        <f>SUM('BRN MO'!$B18:I18)</f>
        <v>0</v>
      </c>
      <c r="J18" s="23">
        <f>SUM('BRN MO'!$B18:J18)</f>
        <v>0</v>
      </c>
      <c r="K18" s="23">
        <f>SUM('BRN MO'!$B18:K18)</f>
        <v>0</v>
      </c>
      <c r="L18" s="23">
        <f>SUM('BRN MO'!$B18:L18)</f>
        <v>0</v>
      </c>
      <c r="M18" s="23">
        <f>SUM('BRN MO'!$B18:M18)</f>
        <v>0</v>
      </c>
    </row>
    <row r="19" spans="1:13" x14ac:dyDescent="0.2">
      <c r="A19" s="18" t="s">
        <v>64</v>
      </c>
      <c r="B19" s="23">
        <f>SUM('BRN MO'!$B19:B19)</f>
        <v>0</v>
      </c>
      <c r="C19" s="23">
        <f>SUM('BRN MO'!$B19:C19)</f>
        <v>0</v>
      </c>
      <c r="D19" s="23">
        <f>SUM('BRN MO'!$B19:D19)</f>
        <v>0</v>
      </c>
      <c r="E19" s="23">
        <f>SUM('BRN MO'!$B19:E19)</f>
        <v>0</v>
      </c>
      <c r="F19" s="23">
        <f>SUM('BRN MO'!$B19:F19)</f>
        <v>0</v>
      </c>
      <c r="G19" s="23">
        <f>SUM('BRN MO'!$B19:G19)</f>
        <v>0</v>
      </c>
      <c r="H19" s="23">
        <f>SUM('BRN MO'!$B19:H19)</f>
        <v>0</v>
      </c>
      <c r="I19" s="23">
        <f>SUM('BRN MO'!$B19:I19)</f>
        <v>0</v>
      </c>
      <c r="J19" s="23">
        <f>SUM('BRN MO'!$B19:J19)</f>
        <v>0</v>
      </c>
      <c r="K19" s="23">
        <f>SUM('BRN MO'!$B19:K19)</f>
        <v>0</v>
      </c>
      <c r="L19" s="23">
        <f>SUM('BRN MO'!$B19:L19)</f>
        <v>0</v>
      </c>
      <c r="M19" s="23">
        <f>SUM('BRN MO'!$B19:M19)</f>
        <v>0</v>
      </c>
    </row>
    <row r="20" spans="1:13" x14ac:dyDescent="0.2">
      <c r="A20" s="18" t="s">
        <v>91</v>
      </c>
      <c r="B20" s="23">
        <f>SUM('BRN MO'!$B20:B20)</f>
        <v>0</v>
      </c>
      <c r="C20" s="23">
        <f>SUM('BRN MO'!$B20:C20)</f>
        <v>0</v>
      </c>
      <c r="D20" s="23">
        <f>SUM('BRN MO'!$B20:D20)</f>
        <v>0</v>
      </c>
      <c r="E20" s="23">
        <f>SUM('BRN MO'!$B20:E20)</f>
        <v>0</v>
      </c>
      <c r="F20" s="23">
        <f>SUM('BRN MO'!$B20:F20)</f>
        <v>0</v>
      </c>
      <c r="G20" s="23">
        <f>SUM('BRN MO'!$B20:G20)</f>
        <v>0</v>
      </c>
      <c r="H20" s="23">
        <f>SUM('BRN MO'!$B20:H20)</f>
        <v>0</v>
      </c>
      <c r="I20" s="23">
        <f>SUM('BRN MO'!$B20:I20)</f>
        <v>0</v>
      </c>
      <c r="J20" s="23">
        <f>SUM('BRN MO'!$B20:J20)</f>
        <v>0</v>
      </c>
      <c r="K20" s="23">
        <f>SUM('BRN MO'!$B20:K20)</f>
        <v>0</v>
      </c>
      <c r="L20" s="23">
        <f>SUM('BRN MO'!$B20:L20)</f>
        <v>0</v>
      </c>
      <c r="M20" s="23">
        <f>SUM('BRN MO'!$B20:M20)</f>
        <v>0</v>
      </c>
    </row>
    <row r="21" spans="1:13" x14ac:dyDescent="0.2">
      <c r="A21" s="18" t="s">
        <v>92</v>
      </c>
      <c r="B21" s="23">
        <f>SUM('BRN MO'!$B21:B21)</f>
        <v>0</v>
      </c>
      <c r="C21" s="23">
        <f>SUM('BRN MO'!$B21:C21)</f>
        <v>0</v>
      </c>
      <c r="D21" s="23">
        <f>SUM('BRN MO'!$B21:D21)</f>
        <v>0</v>
      </c>
      <c r="E21" s="23">
        <f>SUM('BRN MO'!$B21:E21)</f>
        <v>0</v>
      </c>
      <c r="F21" s="23">
        <f>SUM('BRN MO'!$B21:F21)</f>
        <v>1560</v>
      </c>
      <c r="G21" s="23">
        <f>SUM('BRN MO'!$B21:G21)</f>
        <v>3120</v>
      </c>
      <c r="H21" s="23">
        <f>SUM('BRN MO'!$B21:H21)</f>
        <v>4680</v>
      </c>
      <c r="I21" s="23">
        <f>SUM('BRN MO'!$B21:I21)</f>
        <v>6240</v>
      </c>
      <c r="J21" s="23">
        <f>SUM('BRN MO'!$B21:J21)</f>
        <v>7800</v>
      </c>
      <c r="K21" s="23">
        <f>SUM('BRN MO'!$B21:K21)</f>
        <v>8543</v>
      </c>
      <c r="L21" s="23">
        <f>SUM('BRN MO'!$B21:L21)</f>
        <v>9286</v>
      </c>
      <c r="M21" s="23">
        <f>SUM('BRN MO'!$B21:M21)</f>
        <v>10028</v>
      </c>
    </row>
    <row r="22" spans="1:13" x14ac:dyDescent="0.2">
      <c r="A22" s="18" t="s">
        <v>65</v>
      </c>
      <c r="B22" s="23">
        <f>SUM('BRN MO'!$B22:B22)</f>
        <v>0</v>
      </c>
      <c r="C22" s="23">
        <f>SUM('BRN MO'!$B22:C22)</f>
        <v>0</v>
      </c>
      <c r="D22" s="23">
        <f>SUM('BRN MO'!$B22:D22)</f>
        <v>0</v>
      </c>
      <c r="E22" s="23">
        <f>SUM('BRN MO'!$B22:E22)</f>
        <v>0</v>
      </c>
      <c r="F22" s="23">
        <f>SUM('BRN MO'!$B22:F22)</f>
        <v>458</v>
      </c>
      <c r="G22" s="23">
        <f>SUM('BRN MO'!$B22:G22)</f>
        <v>916</v>
      </c>
      <c r="H22" s="23">
        <f>SUM('BRN MO'!$B22:H22)</f>
        <v>1374</v>
      </c>
      <c r="I22" s="23">
        <f>SUM('BRN MO'!$B22:I22)</f>
        <v>1832</v>
      </c>
      <c r="J22" s="23">
        <f>SUM('BRN MO'!$B22:J22)</f>
        <v>2290</v>
      </c>
      <c r="K22" s="23">
        <f>SUM('BRN MO'!$B22:K22)</f>
        <v>2748</v>
      </c>
      <c r="L22" s="23">
        <f>SUM('BRN MO'!$B22:L22)</f>
        <v>3206</v>
      </c>
      <c r="M22" s="23">
        <f>SUM('BRN MO'!$B22:M22)</f>
        <v>3668</v>
      </c>
    </row>
    <row r="23" spans="1:13" x14ac:dyDescent="0.2">
      <c r="A23" s="18" t="s">
        <v>45</v>
      </c>
      <c r="B23" s="23">
        <f>SUM('BRN MO'!$B23:B23)</f>
        <v>0</v>
      </c>
      <c r="C23" s="23">
        <f>SUM('BRN MO'!$B23:C23)</f>
        <v>5450</v>
      </c>
      <c r="D23" s="23">
        <f>SUM('BRN MO'!$B23:D23)</f>
        <v>12702</v>
      </c>
      <c r="E23" s="23">
        <f>SUM('BRN MO'!$B23:E23)</f>
        <v>12702</v>
      </c>
      <c r="F23" s="23">
        <f>SUM('BRN MO'!$B23:F23)</f>
        <v>34590</v>
      </c>
      <c r="G23" s="23">
        <f>SUM('BRN MO'!$B23:G23)</f>
        <v>56478</v>
      </c>
      <c r="H23" s="23">
        <f>SUM('BRN MO'!$B23:H23)</f>
        <v>78366</v>
      </c>
      <c r="I23" s="23">
        <f>SUM('BRN MO'!$B23:I23)</f>
        <v>100254</v>
      </c>
      <c r="J23" s="23">
        <f>SUM('BRN MO'!$B23:J23)</f>
        <v>122142</v>
      </c>
      <c r="K23" s="23">
        <f>SUM('BRN MO'!$B23:K23)</f>
        <v>128599</v>
      </c>
      <c r="L23" s="23">
        <f>SUM('BRN MO'!$B23:L23)</f>
        <v>129056</v>
      </c>
      <c r="M23" s="23">
        <f>SUM('BRN MO'!$B23:M23)</f>
        <v>129514</v>
      </c>
    </row>
    <row r="24" spans="1:13" x14ac:dyDescent="0.2">
      <c r="A24" s="18" t="s">
        <v>66</v>
      </c>
      <c r="B24" s="23">
        <f>SUM('BRN MO'!$B24:B24)</f>
        <v>0</v>
      </c>
      <c r="C24" s="23">
        <f>SUM('BRN MO'!$B24:C24)</f>
        <v>0</v>
      </c>
      <c r="D24" s="23">
        <f>SUM('BRN MO'!$B24:D24)</f>
        <v>0</v>
      </c>
      <c r="E24" s="23">
        <f>SUM('BRN MO'!$B24:E24)</f>
        <v>0</v>
      </c>
      <c r="F24" s="23">
        <f>SUM('BRN MO'!$B24:F24)</f>
        <v>180</v>
      </c>
      <c r="G24" s="23">
        <f>SUM('BRN MO'!$B24:G24)</f>
        <v>360</v>
      </c>
      <c r="H24" s="23">
        <f>SUM('BRN MO'!$B24:H24)</f>
        <v>540</v>
      </c>
      <c r="I24" s="23">
        <f>SUM('BRN MO'!$B24:I24)</f>
        <v>720</v>
      </c>
      <c r="J24" s="23">
        <f>SUM('BRN MO'!$B24:J24)</f>
        <v>900</v>
      </c>
      <c r="K24" s="23">
        <f>SUM('BRN MO'!$B24:K24)</f>
        <v>986</v>
      </c>
      <c r="L24" s="23">
        <f>SUM('BRN MO'!$B24:L24)</f>
        <v>1072</v>
      </c>
      <c r="M24" s="23">
        <f>SUM('BRN MO'!$B24:M24)</f>
        <v>1156</v>
      </c>
    </row>
    <row r="25" spans="1:13" x14ac:dyDescent="0.2">
      <c r="A25" s="18" t="s">
        <v>67</v>
      </c>
      <c r="B25" s="23">
        <f>SUM('BRN MO'!$B25:B25)</f>
        <v>0</v>
      </c>
      <c r="C25" s="23">
        <f>SUM('BRN MO'!$B25:C25)</f>
        <v>0</v>
      </c>
      <c r="D25" s="23">
        <f>SUM('BRN MO'!$B25:D25)</f>
        <v>0</v>
      </c>
      <c r="E25" s="23">
        <f>SUM('BRN MO'!$B25:E25)</f>
        <v>0</v>
      </c>
      <c r="F25" s="23">
        <f>SUM('BRN MO'!$B25:F25)</f>
        <v>600</v>
      </c>
      <c r="G25" s="23">
        <f>SUM('BRN MO'!$B25:G25)</f>
        <v>1200</v>
      </c>
      <c r="H25" s="23">
        <f>SUM('BRN MO'!$B25:H25)</f>
        <v>1800</v>
      </c>
      <c r="I25" s="23">
        <f>SUM('BRN MO'!$B25:I25)</f>
        <v>2400</v>
      </c>
      <c r="J25" s="23">
        <f>SUM('BRN MO'!$B25:J25)</f>
        <v>3000</v>
      </c>
      <c r="K25" s="23">
        <f>SUM('BRN MO'!$B25:K25)</f>
        <v>3286</v>
      </c>
      <c r="L25" s="23">
        <f>SUM('BRN MO'!$B25:L25)</f>
        <v>3572</v>
      </c>
      <c r="M25" s="23">
        <f>SUM('BRN MO'!$B25:M25)</f>
        <v>3856</v>
      </c>
    </row>
    <row r="26" spans="1:13" x14ac:dyDescent="0.2">
      <c r="A26" s="18" t="s">
        <v>93</v>
      </c>
      <c r="B26" s="23">
        <f>SUM('BRN MO'!$B26:B26)</f>
        <v>0</v>
      </c>
      <c r="C26" s="23">
        <f>SUM('BRN MO'!$B26:C26)</f>
        <v>0</v>
      </c>
      <c r="D26" s="23">
        <f>SUM('BRN MO'!$B26:D26)</f>
        <v>0</v>
      </c>
      <c r="E26" s="23">
        <f>SUM('BRN MO'!$B26:E26)</f>
        <v>0</v>
      </c>
      <c r="F26" s="23">
        <f>SUM('BRN MO'!$B26:F26)</f>
        <v>0</v>
      </c>
      <c r="G26" s="23">
        <f>SUM('BRN MO'!$B26:G26)</f>
        <v>0</v>
      </c>
      <c r="H26" s="23">
        <f>SUM('BRN MO'!$B26:H26)</f>
        <v>0</v>
      </c>
      <c r="I26" s="23">
        <f>SUM('BRN MO'!$B26:I26)</f>
        <v>0</v>
      </c>
      <c r="J26" s="23">
        <f>SUM('BRN MO'!$B26:J26)</f>
        <v>0</v>
      </c>
      <c r="K26" s="23">
        <f>SUM('BRN MO'!$B26:K26)</f>
        <v>0</v>
      </c>
      <c r="L26" s="23">
        <f>SUM('BRN MO'!$B26:L26)</f>
        <v>0</v>
      </c>
      <c r="M26" s="23">
        <f>SUM('BRN MO'!$B26:M26)</f>
        <v>0</v>
      </c>
    </row>
    <row r="27" spans="1:13" x14ac:dyDescent="0.2">
      <c r="A27" s="18" t="s">
        <v>69</v>
      </c>
      <c r="B27" s="23">
        <f>SUM('BRN MO'!$B27:B27)</f>
        <v>0</v>
      </c>
      <c r="C27" s="23">
        <f>SUM('BRN MO'!$B27:C27)</f>
        <v>764</v>
      </c>
      <c r="D27" s="23">
        <f>SUM('BRN MO'!$B27:D27)</f>
        <v>1047.94</v>
      </c>
      <c r="E27" s="23">
        <f>SUM('BRN MO'!$B27:E27)</f>
        <v>6839.9400000000005</v>
      </c>
      <c r="F27" s="23">
        <f>SUM('BRN MO'!$B27:F27)</f>
        <v>7172.9400000000005</v>
      </c>
      <c r="G27" s="23">
        <f>SUM('BRN MO'!$B27:G27)</f>
        <v>7505.9400000000005</v>
      </c>
      <c r="H27" s="23">
        <f>SUM('BRN MO'!$B27:H27)</f>
        <v>7838.9400000000005</v>
      </c>
      <c r="I27" s="23">
        <f>SUM('BRN MO'!$B27:I27)</f>
        <v>8171.9400000000005</v>
      </c>
      <c r="J27" s="23">
        <f>SUM('BRN MO'!$B27:J27)</f>
        <v>8504.94</v>
      </c>
      <c r="K27" s="23">
        <f>SUM('BRN MO'!$B27:K27)</f>
        <v>8837.94</v>
      </c>
      <c r="L27" s="23">
        <f>SUM('BRN MO'!$B27:L27)</f>
        <v>9170.94</v>
      </c>
      <c r="M27" s="23">
        <f>SUM('BRN MO'!$B27:M27)</f>
        <v>9507.94</v>
      </c>
    </row>
    <row r="28" spans="1:13" x14ac:dyDescent="0.2">
      <c r="A28" s="18" t="s">
        <v>68</v>
      </c>
      <c r="B28" s="23">
        <f>SUM('BRN MO'!$B28:B28)</f>
        <v>0</v>
      </c>
      <c r="C28" s="23">
        <f>SUM('BRN MO'!$B28:C28)</f>
        <v>1417</v>
      </c>
      <c r="D28" s="23">
        <f>SUM('BRN MO'!$B28:D28)</f>
        <v>6007.44</v>
      </c>
      <c r="E28" s="23">
        <f>SUM('BRN MO'!$B28:E28)</f>
        <v>11689.72</v>
      </c>
      <c r="F28" s="23">
        <f>SUM('BRN MO'!$B28:F28)</f>
        <v>12522.72</v>
      </c>
      <c r="G28" s="23">
        <f>SUM('BRN MO'!$B28:G28)</f>
        <v>13355.72</v>
      </c>
      <c r="H28" s="23">
        <f>SUM('BRN MO'!$B28:H28)</f>
        <v>14188.72</v>
      </c>
      <c r="I28" s="23">
        <f>SUM('BRN MO'!$B28:I28)</f>
        <v>15021.72</v>
      </c>
      <c r="J28" s="23">
        <f>SUM('BRN MO'!$B28:J28)</f>
        <v>15854.72</v>
      </c>
      <c r="K28" s="23">
        <f>SUM('BRN MO'!$B28:K28)</f>
        <v>16687.72</v>
      </c>
      <c r="L28" s="23">
        <f>SUM('BRN MO'!$B28:L28)</f>
        <v>17520.72</v>
      </c>
      <c r="M28" s="23">
        <f>SUM('BRN MO'!$B28:M28)</f>
        <v>18357.72</v>
      </c>
    </row>
    <row r="29" spans="1:13" x14ac:dyDescent="0.2">
      <c r="A29" s="18" t="s">
        <v>94</v>
      </c>
      <c r="B29" s="23">
        <f>SUM('BRN MO'!$B29:B29)</f>
        <v>0</v>
      </c>
      <c r="C29" s="23">
        <f>SUM('BRN MO'!$B29:C29)</f>
        <v>0</v>
      </c>
      <c r="D29" s="23">
        <f>SUM('BRN MO'!$B29:D29)</f>
        <v>0</v>
      </c>
      <c r="E29" s="23">
        <f>SUM('BRN MO'!$B29:E29)</f>
        <v>0</v>
      </c>
      <c r="F29" s="23">
        <f>SUM('BRN MO'!$B29:F29)</f>
        <v>0</v>
      </c>
      <c r="G29" s="23">
        <f>SUM('BRN MO'!$B29:G29)</f>
        <v>0</v>
      </c>
      <c r="H29" s="23">
        <f>SUM('BRN MO'!$B29:H29)</f>
        <v>0</v>
      </c>
      <c r="I29" s="23">
        <f>SUM('BRN MO'!$B29:I29)</f>
        <v>0</v>
      </c>
      <c r="J29" s="23">
        <f>SUM('BRN MO'!$B29:J29)</f>
        <v>0</v>
      </c>
      <c r="K29" s="23">
        <f>SUM('BRN MO'!$B29:K29)</f>
        <v>0</v>
      </c>
      <c r="L29" s="23">
        <f>SUM('BRN MO'!$B29:L29)</f>
        <v>0</v>
      </c>
      <c r="M29" s="23">
        <f>SUM('BRN MO'!$B29:M29)</f>
        <v>0</v>
      </c>
    </row>
    <row r="30" spans="1:13" x14ac:dyDescent="0.2">
      <c r="A30" s="18" t="s">
        <v>46</v>
      </c>
      <c r="B30" s="23">
        <f>SUM('BRN MO'!$B30:B30)</f>
        <v>0</v>
      </c>
      <c r="C30" s="23">
        <f>SUM('BRN MO'!$B30:C30)</f>
        <v>0</v>
      </c>
      <c r="D30" s="23">
        <f>SUM('BRN MO'!$B30:D30)</f>
        <v>656.85</v>
      </c>
      <c r="E30" s="23">
        <f>SUM('BRN MO'!$B30:E30)</f>
        <v>961.35</v>
      </c>
      <c r="F30" s="23">
        <f>SUM('BRN MO'!$B30:F30)</f>
        <v>2221.35</v>
      </c>
      <c r="G30" s="23">
        <f>SUM('BRN MO'!$B30:G30)</f>
        <v>3481.35</v>
      </c>
      <c r="H30" s="23">
        <f>SUM('BRN MO'!$B30:H30)</f>
        <v>4741.3500000000004</v>
      </c>
      <c r="I30" s="23">
        <f>SUM('BRN MO'!$B30:I30)</f>
        <v>6001.35</v>
      </c>
      <c r="J30" s="23">
        <f>SUM('BRN MO'!$B30:J30)</f>
        <v>7261.35</v>
      </c>
      <c r="K30" s="23">
        <f>SUM('BRN MO'!$B30:K30)</f>
        <v>7861.35</v>
      </c>
      <c r="L30" s="23">
        <f>SUM('BRN MO'!$B30:L30)</f>
        <v>8461.35</v>
      </c>
      <c r="M30" s="23">
        <f>SUM('BRN MO'!$B30:M30)</f>
        <v>9061.35</v>
      </c>
    </row>
    <row r="31" spans="1:13" x14ac:dyDescent="0.2">
      <c r="A31" s="18" t="s">
        <v>70</v>
      </c>
      <c r="B31" s="23">
        <f>SUM('BRN MO'!$B31:B31)</f>
        <v>0</v>
      </c>
      <c r="C31" s="23">
        <f>SUM('BRN MO'!$B31:C31)</f>
        <v>3416</v>
      </c>
      <c r="D31" s="23">
        <f>SUM('BRN MO'!$B31:D31)</f>
        <v>7170.82</v>
      </c>
      <c r="E31" s="23">
        <f>SUM('BRN MO'!$B31:E31)</f>
        <v>14145.43</v>
      </c>
      <c r="F31" s="23">
        <f>SUM('BRN MO'!$B31:F31)</f>
        <v>18893.43</v>
      </c>
      <c r="G31" s="23">
        <f>SUM('BRN MO'!$B31:G31)</f>
        <v>23641.43</v>
      </c>
      <c r="H31" s="23">
        <f>SUM('BRN MO'!$B31:H31)</f>
        <v>28389.43</v>
      </c>
      <c r="I31" s="23">
        <f>SUM('BRN MO'!$B31:I31)</f>
        <v>33137.43</v>
      </c>
      <c r="J31" s="23">
        <f>SUM('BRN MO'!$B31:J31)</f>
        <v>37885.43</v>
      </c>
      <c r="K31" s="23">
        <f>SUM('BRN MO'!$B31:K31)</f>
        <v>41093.43</v>
      </c>
      <c r="L31" s="23">
        <f>SUM('BRN MO'!$B31:L31)</f>
        <v>44301.43</v>
      </c>
      <c r="M31" s="23">
        <f>SUM('BRN MO'!$B31:M31)</f>
        <v>47513.43</v>
      </c>
    </row>
    <row r="32" spans="1:13" x14ac:dyDescent="0.2">
      <c r="A32" s="18" t="s">
        <v>71</v>
      </c>
      <c r="B32" s="23">
        <f>SUM('BRN MO'!$B32:B32)</f>
        <v>1838</v>
      </c>
      <c r="C32" s="23">
        <f>SUM('BRN MO'!$B32:C32)</f>
        <v>12484</v>
      </c>
      <c r="D32" s="23">
        <f>SUM('BRN MO'!$B32:D32)</f>
        <v>36605</v>
      </c>
      <c r="E32" s="23">
        <f>SUM('BRN MO'!$B32:E32)</f>
        <v>174791.05</v>
      </c>
      <c r="F32" s="23">
        <f>SUM('BRN MO'!$B32:F32)</f>
        <v>195558.05</v>
      </c>
      <c r="G32" s="23">
        <f>SUM('BRN MO'!$B32:G32)</f>
        <v>201325.05</v>
      </c>
      <c r="H32" s="23">
        <f>SUM('BRN MO'!$B32:H32)</f>
        <v>207092.05</v>
      </c>
      <c r="I32" s="23">
        <f>SUM('BRN MO'!$B32:I32)</f>
        <v>212859.05</v>
      </c>
      <c r="J32" s="23">
        <f>SUM('BRN MO'!$B32:J32)</f>
        <v>218626.05</v>
      </c>
      <c r="K32" s="23">
        <f>SUM('BRN MO'!$B32:K32)</f>
        <v>224078.05</v>
      </c>
      <c r="L32" s="23">
        <f>SUM('BRN MO'!$B32:L32)</f>
        <v>229530.05</v>
      </c>
      <c r="M32" s="23">
        <f>SUM('BRN MO'!$B32:M32)</f>
        <v>234983.05</v>
      </c>
    </row>
    <row r="33" spans="1:13" x14ac:dyDescent="0.2">
      <c r="A33" s="18" t="s">
        <v>44</v>
      </c>
      <c r="B33" s="23">
        <f>SUM('BRN MO'!$B33:B33)</f>
        <v>52708</v>
      </c>
      <c r="C33" s="23">
        <f>SUM('BRN MO'!$B33:C33)</f>
        <v>119154</v>
      </c>
      <c r="D33" s="23">
        <f>SUM('BRN MO'!$B33:D33)</f>
        <v>185440.37</v>
      </c>
      <c r="E33" s="23">
        <f>SUM('BRN MO'!$B33:E33)</f>
        <v>259153.07</v>
      </c>
      <c r="F33" s="23">
        <f>SUM('BRN MO'!$B33:F33)</f>
        <v>319298.07</v>
      </c>
      <c r="G33" s="23">
        <f>SUM('BRN MO'!$B33:G33)</f>
        <v>379443.07</v>
      </c>
      <c r="H33" s="23">
        <f>SUM('BRN MO'!$B33:H33)</f>
        <v>439588.07</v>
      </c>
      <c r="I33" s="23">
        <f>SUM('BRN MO'!$B33:I33)</f>
        <v>499733.07</v>
      </c>
      <c r="J33" s="23">
        <f>SUM('BRN MO'!$B33:J33)</f>
        <v>559878.07000000007</v>
      </c>
      <c r="K33" s="23">
        <f>SUM('BRN MO'!$B33:K33)</f>
        <v>634561.07000000007</v>
      </c>
      <c r="L33" s="23">
        <f>SUM('BRN MO'!$B33:L33)</f>
        <v>679244.07000000007</v>
      </c>
      <c r="M33" s="23">
        <f>SUM('BRN MO'!$B33:M33)</f>
        <v>723929.07000000007</v>
      </c>
    </row>
    <row r="34" spans="1:13" x14ac:dyDescent="0.2">
      <c r="A34" s="18" t="s">
        <v>47</v>
      </c>
      <c r="B34" s="23">
        <f>SUM('BRN MO'!$B34:B34)</f>
        <v>0</v>
      </c>
      <c r="C34" s="23">
        <f>SUM('BRN MO'!$B34:C34)</f>
        <v>37775</v>
      </c>
      <c r="D34" s="23">
        <f>SUM('BRN MO'!$B34:D34)</f>
        <v>43510</v>
      </c>
      <c r="E34" s="23">
        <f>SUM('BRN MO'!$B34:E34)</f>
        <v>49829.04</v>
      </c>
      <c r="F34" s="23">
        <f>SUM('BRN MO'!$B34:F34)</f>
        <v>52804.04</v>
      </c>
      <c r="G34" s="23">
        <f>SUM('BRN MO'!$B34:G34)</f>
        <v>55779.040000000001</v>
      </c>
      <c r="H34" s="23">
        <f>SUM('BRN MO'!$B34:H34)</f>
        <v>58754.04</v>
      </c>
      <c r="I34" s="23">
        <f>SUM('BRN MO'!$B34:I34)</f>
        <v>61729.04</v>
      </c>
      <c r="J34" s="23">
        <f>SUM('BRN MO'!$B34:J34)</f>
        <v>64704.04</v>
      </c>
      <c r="K34" s="23">
        <f>SUM('BRN MO'!$B34:K34)</f>
        <v>67679.040000000008</v>
      </c>
      <c r="L34" s="23">
        <f>SUM('BRN MO'!$B34:L34)</f>
        <v>70654.040000000008</v>
      </c>
      <c r="M34" s="23">
        <f>SUM('BRN MO'!$B34:M34)</f>
        <v>73629.040000000008</v>
      </c>
    </row>
    <row r="35" spans="1:13" x14ac:dyDescent="0.2">
      <c r="A35" s="18" t="s">
        <v>2</v>
      </c>
      <c r="B35" s="23">
        <f>SUM('BRN MO'!$B35:B35)</f>
        <v>0</v>
      </c>
      <c r="C35" s="23">
        <f>SUM('BRN MO'!$B35:C35)</f>
        <v>12006</v>
      </c>
      <c r="D35" s="23">
        <f>SUM('BRN MO'!$B35:D35)</f>
        <v>100257.54</v>
      </c>
      <c r="E35" s="23">
        <f>SUM('BRN MO'!$B35:E35)</f>
        <v>185429.87</v>
      </c>
      <c r="F35" s="23">
        <f>SUM('BRN MO'!$B35:F35)</f>
        <v>207272.87</v>
      </c>
      <c r="G35" s="23">
        <f>SUM('BRN MO'!$B35:G35)</f>
        <v>228942.87</v>
      </c>
      <c r="H35" s="23">
        <f>SUM('BRN MO'!$B35:H35)</f>
        <v>250612.87</v>
      </c>
      <c r="I35" s="23">
        <f>SUM('BRN MO'!$B35:I35)</f>
        <v>272282.87</v>
      </c>
      <c r="J35" s="23">
        <f>SUM('BRN MO'!$B35:J35)</f>
        <v>293952.87</v>
      </c>
      <c r="K35" s="23">
        <f>SUM('BRN MO'!$B35:K35)</f>
        <v>315622.87</v>
      </c>
      <c r="L35" s="23">
        <f>SUM('BRN MO'!$B35:L35)</f>
        <v>337292.87</v>
      </c>
      <c r="M35" s="23">
        <f>SUM('BRN MO'!$B35:M35)</f>
        <v>359412.87</v>
      </c>
    </row>
    <row r="36" spans="1:13" x14ac:dyDescent="0.2">
      <c r="A36" s="18" t="s">
        <v>95</v>
      </c>
      <c r="B36" s="23">
        <f>SUM('BRN MO'!$B36:B36)</f>
        <v>0</v>
      </c>
      <c r="C36" s="23">
        <f>SUM('BRN MO'!$B36:C36)</f>
        <v>0</v>
      </c>
      <c r="D36" s="23">
        <f>SUM('BRN MO'!$B36:D36)</f>
        <v>0</v>
      </c>
      <c r="E36" s="23">
        <f>SUM('BRN MO'!$B36:E36)</f>
        <v>0</v>
      </c>
      <c r="F36" s="23">
        <f>SUM('BRN MO'!$B36:F36)</f>
        <v>0</v>
      </c>
      <c r="G36" s="23">
        <f>SUM('BRN MO'!$B36:G36)</f>
        <v>0</v>
      </c>
      <c r="H36" s="23">
        <f>SUM('BRN MO'!$B36:H36)</f>
        <v>0</v>
      </c>
      <c r="I36" s="23">
        <f>SUM('BRN MO'!$B36:I36)</f>
        <v>0</v>
      </c>
      <c r="J36" s="23">
        <f>SUM('BRN MO'!$B36:J36)</f>
        <v>0</v>
      </c>
      <c r="K36" s="23">
        <f>SUM('BRN MO'!$B36:K36)</f>
        <v>0</v>
      </c>
      <c r="L36" s="23">
        <f>SUM('BRN MO'!$B36:L36)</f>
        <v>0</v>
      </c>
      <c r="M36" s="23">
        <f>SUM('BRN MO'!$B36:M36)</f>
        <v>0</v>
      </c>
    </row>
    <row r="37" spans="1:13" x14ac:dyDescent="0.2">
      <c r="A37" s="18" t="s">
        <v>72</v>
      </c>
      <c r="B37" s="23">
        <f>SUM('BRN MO'!$B37:B37)</f>
        <v>0</v>
      </c>
      <c r="C37" s="23">
        <f>SUM('BRN MO'!$B37:C37)</f>
        <v>506</v>
      </c>
      <c r="D37" s="23">
        <f>SUM('BRN MO'!$B37:D37)</f>
        <v>506</v>
      </c>
      <c r="E37" s="23">
        <f>SUM('BRN MO'!$B37:E37)</f>
        <v>506</v>
      </c>
      <c r="F37" s="23">
        <f>SUM('BRN MO'!$B37:F37)</f>
        <v>652</v>
      </c>
      <c r="G37" s="23">
        <f>SUM('BRN MO'!$B37:G37)</f>
        <v>798</v>
      </c>
      <c r="H37" s="23">
        <f>SUM('BRN MO'!$B37:H37)</f>
        <v>944</v>
      </c>
      <c r="I37" s="23">
        <f>SUM('BRN MO'!$B37:I37)</f>
        <v>1090</v>
      </c>
      <c r="J37" s="23">
        <f>SUM('BRN MO'!$B37:J37)</f>
        <v>1236</v>
      </c>
      <c r="K37" s="23">
        <f>SUM('BRN MO'!$B37:K37)</f>
        <v>1382</v>
      </c>
      <c r="L37" s="23">
        <f>SUM('BRN MO'!$B37:L37)</f>
        <v>1528</v>
      </c>
      <c r="M37" s="23">
        <f>SUM('BRN MO'!$B37:M37)</f>
        <v>1672</v>
      </c>
    </row>
    <row r="38" spans="1:13" x14ac:dyDescent="0.2">
      <c r="A38" s="18" t="s">
        <v>48</v>
      </c>
      <c r="B38" s="23">
        <f>SUM('BRN MO'!$B38:B38)</f>
        <v>0</v>
      </c>
      <c r="C38" s="23">
        <f>SUM('BRN MO'!$B38:C38)</f>
        <v>41956</v>
      </c>
      <c r="D38" s="23">
        <f>SUM('BRN MO'!$B38:D38)</f>
        <v>65184.78</v>
      </c>
      <c r="E38" s="23">
        <f>SUM('BRN MO'!$B38:E38)</f>
        <v>84774.26</v>
      </c>
      <c r="F38" s="23">
        <f>SUM('BRN MO'!$B38:F38)</f>
        <v>108174.26</v>
      </c>
      <c r="G38" s="23">
        <f>SUM('BRN MO'!$B38:G38)</f>
        <v>131574.26</v>
      </c>
      <c r="H38" s="23">
        <f>SUM('BRN MO'!$B38:H38)</f>
        <v>154974.26</v>
      </c>
      <c r="I38" s="23">
        <f>SUM('BRN MO'!$B38:I38)</f>
        <v>178374.26</v>
      </c>
      <c r="J38" s="23">
        <f>SUM('BRN MO'!$B38:J38)</f>
        <v>201774.26</v>
      </c>
      <c r="K38" s="23">
        <f>SUM('BRN MO'!$B38:K38)</f>
        <v>212917.26</v>
      </c>
      <c r="L38" s="23">
        <f>SUM('BRN MO'!$B38:L38)</f>
        <v>224060.26</v>
      </c>
      <c r="M38" s="23">
        <f>SUM('BRN MO'!$B38:M38)</f>
        <v>235202.26</v>
      </c>
    </row>
    <row r="39" spans="1:13" x14ac:dyDescent="0.2">
      <c r="A39" s="18" t="s">
        <v>74</v>
      </c>
      <c r="B39" s="23">
        <f>SUM('BRN MO'!$B39:B39)</f>
        <v>0</v>
      </c>
      <c r="C39" s="23">
        <f>SUM('BRN MO'!$B39:C39)</f>
        <v>609</v>
      </c>
      <c r="D39" s="23">
        <f>SUM('BRN MO'!$B39:D39)</f>
        <v>42809.26</v>
      </c>
      <c r="E39" s="23">
        <f>SUM('BRN MO'!$B39:E39)</f>
        <v>53162.83</v>
      </c>
      <c r="F39" s="23">
        <f>SUM('BRN MO'!$B39:F39)</f>
        <v>54482.83</v>
      </c>
      <c r="G39" s="23">
        <f>SUM('BRN MO'!$B39:G39)</f>
        <v>55802.83</v>
      </c>
      <c r="H39" s="23">
        <f>SUM('BRN MO'!$B39:H39)</f>
        <v>57122.83</v>
      </c>
      <c r="I39" s="23">
        <f>SUM('BRN MO'!$B39:I39)</f>
        <v>58442.83</v>
      </c>
      <c r="J39" s="23">
        <f>SUM('BRN MO'!$B39:J39)</f>
        <v>59762.83</v>
      </c>
      <c r="K39" s="23">
        <f>SUM('BRN MO'!$B39:K39)</f>
        <v>60391.83</v>
      </c>
      <c r="L39" s="23">
        <f>SUM('BRN MO'!$B39:L39)</f>
        <v>61020.83</v>
      </c>
      <c r="M39" s="23">
        <f>SUM('BRN MO'!$B39:M39)</f>
        <v>61646.83</v>
      </c>
    </row>
    <row r="40" spans="1:13" x14ac:dyDescent="0.2">
      <c r="A40" s="18" t="s">
        <v>96</v>
      </c>
      <c r="B40" s="23">
        <f>SUM('BRN MO'!$B40:B40)</f>
        <v>222</v>
      </c>
      <c r="C40" s="23">
        <f>SUM('BRN MO'!$B40:C40)</f>
        <v>1759</v>
      </c>
      <c r="D40" s="23">
        <f>SUM('BRN MO'!$B40:D40)</f>
        <v>50441</v>
      </c>
      <c r="E40" s="23">
        <f>SUM('BRN MO'!$B40:E40)</f>
        <v>59529</v>
      </c>
      <c r="F40" s="23">
        <f>SUM('BRN MO'!$B40:F40)</f>
        <v>59529</v>
      </c>
      <c r="G40" s="23">
        <f>SUM('BRN MO'!$B40:G40)</f>
        <v>59529</v>
      </c>
      <c r="H40" s="23">
        <f>SUM('BRN MO'!$B40:H40)</f>
        <v>59529</v>
      </c>
      <c r="I40" s="23">
        <f>SUM('BRN MO'!$B40:I40)</f>
        <v>59529</v>
      </c>
      <c r="J40" s="23">
        <f>SUM('BRN MO'!$B40:J40)</f>
        <v>59529</v>
      </c>
      <c r="K40" s="23">
        <f>SUM('BRN MO'!$B40:K40)</f>
        <v>59529</v>
      </c>
      <c r="L40" s="23">
        <f>SUM('BRN MO'!$B40:L40)</f>
        <v>59529</v>
      </c>
      <c r="M40" s="23">
        <f>SUM('BRN MO'!$B40:M40)</f>
        <v>59529</v>
      </c>
    </row>
    <row r="41" spans="1:13" x14ac:dyDescent="0.2">
      <c r="A41" s="18"/>
    </row>
    <row r="42" spans="1:13" x14ac:dyDescent="0.2">
      <c r="A42" s="19" t="s">
        <v>28</v>
      </c>
      <c r="B42" s="27">
        <f t="shared" ref="B42:M42" si="0">SUM(B14:B40)</f>
        <v>54768</v>
      </c>
      <c r="C42" s="27">
        <f t="shared" si="0"/>
        <v>237296</v>
      </c>
      <c r="D42" s="27">
        <f t="shared" si="0"/>
        <v>552339</v>
      </c>
      <c r="E42" s="27">
        <f t="shared" si="0"/>
        <v>913513.55999999994</v>
      </c>
      <c r="F42" s="27">
        <f t="shared" si="0"/>
        <v>1077109.56</v>
      </c>
      <c r="G42" s="27">
        <f t="shared" si="0"/>
        <v>1225532.56</v>
      </c>
      <c r="H42" s="27">
        <f t="shared" si="0"/>
        <v>1373955.5600000003</v>
      </c>
      <c r="I42" s="27">
        <f t="shared" si="0"/>
        <v>1522378.5600000003</v>
      </c>
      <c r="J42" s="27">
        <f t="shared" si="0"/>
        <v>1670801.5600000003</v>
      </c>
      <c r="K42" s="27">
        <f t="shared" si="0"/>
        <v>1801046.5600000003</v>
      </c>
      <c r="L42" s="27">
        <f t="shared" si="0"/>
        <v>1895291.5600000003</v>
      </c>
      <c r="M42" s="27">
        <f t="shared" si="0"/>
        <v>1989994.5600000003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SUM('BRN MO'!$B44:B44)</f>
        <v>18182</v>
      </c>
      <c r="C44" s="25">
        <f>SUM('BRN MO'!$B44:C44)</f>
        <v>36364</v>
      </c>
      <c r="D44" s="25">
        <f>SUM('BRN MO'!$B44:D44)</f>
        <v>52516</v>
      </c>
      <c r="E44" s="25">
        <f>SUM('BRN MO'!$B44:E44)</f>
        <v>69683</v>
      </c>
      <c r="F44" s="25">
        <f>SUM('BRN MO'!$B44:F44)</f>
        <v>86850</v>
      </c>
      <c r="G44" s="25">
        <f>SUM('BRN MO'!$B44:G44)</f>
        <v>104017</v>
      </c>
      <c r="H44" s="25">
        <f>SUM('BRN MO'!$B44:H44)</f>
        <v>121184</v>
      </c>
      <c r="I44" s="25">
        <f>SUM('BRN MO'!$B44:I44)</f>
        <v>138351</v>
      </c>
      <c r="J44" s="25">
        <f>SUM('BRN MO'!$B44:J44)</f>
        <v>155518</v>
      </c>
      <c r="K44" s="25">
        <f>SUM('BRN MO'!$B44:K44)</f>
        <v>172685</v>
      </c>
      <c r="L44" s="25">
        <f>SUM('BRN MO'!$B44:L44)</f>
        <v>189852</v>
      </c>
      <c r="M44" s="25">
        <f>SUM('BRN MO'!$B44:M44)</f>
        <v>207019</v>
      </c>
    </row>
    <row r="45" spans="1:13" x14ac:dyDescent="0.2">
      <c r="A45" s="17"/>
    </row>
    <row r="46" spans="1:13" x14ac:dyDescent="0.2">
      <c r="A46" s="17" t="s">
        <v>30</v>
      </c>
      <c r="B46" s="25">
        <f>SUM('BRN MO'!$B46:B46)</f>
        <v>133333</v>
      </c>
      <c r="C46" s="25">
        <f>SUM('BRN MO'!$B46:C46)</f>
        <v>266666</v>
      </c>
      <c r="D46" s="25">
        <f>SUM('BRN MO'!$B46:D46)</f>
        <v>266666</v>
      </c>
      <c r="E46" s="25">
        <f>SUM('BRN MO'!$B46:E46)</f>
        <v>333333</v>
      </c>
      <c r="F46" s="25">
        <f>SUM('BRN MO'!$B46:F46)</f>
        <v>416666</v>
      </c>
      <c r="G46" s="25">
        <f>SUM('BRN MO'!$B46:G46)</f>
        <v>500000</v>
      </c>
      <c r="H46" s="25">
        <f>SUM('BRN MO'!$B46:H46)</f>
        <v>583333</v>
      </c>
      <c r="I46" s="25">
        <f>SUM('BRN MO'!$B46:I46)</f>
        <v>666666</v>
      </c>
      <c r="J46" s="25">
        <f>SUM('BRN MO'!$B46:J46)</f>
        <v>750000</v>
      </c>
      <c r="K46" s="25">
        <f>SUM('BRN MO'!$B46:K46)</f>
        <v>833333</v>
      </c>
      <c r="L46" s="25">
        <f>SUM('BRN MO'!$B46:L46)</f>
        <v>916666</v>
      </c>
      <c r="M46" s="25">
        <f>SUM('BRN MO'!$B46:M46)</f>
        <v>1000000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SUM('BRN MO'!$B48:B48)</f>
        <v>206283</v>
      </c>
      <c r="C48" s="24">
        <f>SUM('BRN MO'!$B48:C48)</f>
        <v>540326</v>
      </c>
      <c r="D48" s="24">
        <f>SUM('BRN MO'!$B48:D48)</f>
        <v>871521</v>
      </c>
      <c r="E48" s="24">
        <f>SUM('BRN MO'!$B48:E48)</f>
        <v>1316529.56</v>
      </c>
      <c r="F48" s="24">
        <f>SUM('BRN MO'!$B48:F48)</f>
        <v>1580625.56</v>
      </c>
      <c r="G48" s="24">
        <f>SUM('BRN MO'!$B48:G48)</f>
        <v>1829549.56</v>
      </c>
      <c r="H48" s="24">
        <f>SUM('BRN MO'!$B48:H48)</f>
        <v>2078472.56</v>
      </c>
      <c r="I48" s="24">
        <f>SUM('BRN MO'!$B48:I48)</f>
        <v>2327395.56</v>
      </c>
      <c r="J48" s="24">
        <f>SUM('BRN MO'!$B48:J48)</f>
        <v>2576319.56</v>
      </c>
      <c r="K48" s="24">
        <f>SUM('BRN MO'!$B48:K48)</f>
        <v>2807064.56</v>
      </c>
      <c r="L48" s="24">
        <f>SUM('BRN MO'!$B48:L48)</f>
        <v>3001809.56</v>
      </c>
      <c r="M48" s="24">
        <f>SUM('BRN MO'!$B48:M48)</f>
        <v>3197013.56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SUM('BRN MO'!$B51:B51)</f>
        <v>15355</v>
      </c>
      <c r="C51" s="23">
        <f>SUM('BRN MO'!$B51:C51)</f>
        <v>30710</v>
      </c>
      <c r="D51" s="23">
        <f>SUM('BRN MO'!$B51:D51)</f>
        <v>46065</v>
      </c>
      <c r="E51" s="23">
        <f>SUM('BRN MO'!$B51:E51)</f>
        <v>72509</v>
      </c>
      <c r="F51" s="23">
        <f>SUM('BRN MO'!$B51:F51)</f>
        <v>98953</v>
      </c>
      <c r="G51" s="23">
        <f>SUM('BRN MO'!$B51:G51)</f>
        <v>125397</v>
      </c>
      <c r="H51" s="23">
        <f>SUM('BRN MO'!$B51:H51)</f>
        <v>151841</v>
      </c>
      <c r="I51" s="23">
        <f>SUM('BRN MO'!$B51:I51)</f>
        <v>178285</v>
      </c>
      <c r="J51" s="23">
        <f>SUM('BRN MO'!$B51:J51)</f>
        <v>204729</v>
      </c>
      <c r="K51" s="23">
        <f>SUM('BRN MO'!$B51:K51)</f>
        <v>231173</v>
      </c>
      <c r="L51" s="23">
        <f>SUM('BRN MO'!$B51:L51)</f>
        <v>257617</v>
      </c>
      <c r="M51" s="23">
        <f>SUM('BRN MO'!$B51:M51)</f>
        <v>284061</v>
      </c>
    </row>
    <row r="52" spans="1:13" x14ac:dyDescent="0.2">
      <c r="A52" s="3" t="s">
        <v>1</v>
      </c>
      <c r="B52" s="23">
        <f>SUM('BRN MO'!$B52:B52)</f>
        <v>21200</v>
      </c>
      <c r="C52" s="23">
        <f>SUM('BRN MO'!$B52:C52)</f>
        <v>36000</v>
      </c>
      <c r="D52" s="23">
        <f>SUM('BRN MO'!$B52:D52)</f>
        <v>56800</v>
      </c>
      <c r="E52" s="23">
        <f>SUM('BRN MO'!$B52:E52)</f>
        <v>77600</v>
      </c>
      <c r="F52" s="23">
        <f>SUM('BRN MO'!$B52:F52)</f>
        <v>99150</v>
      </c>
      <c r="G52" s="23">
        <f>SUM('BRN MO'!$B52:G52)</f>
        <v>120700</v>
      </c>
      <c r="H52" s="23">
        <f>SUM('BRN MO'!$B52:H52)</f>
        <v>142250</v>
      </c>
      <c r="I52" s="23">
        <f>SUM('BRN MO'!$B52:I52)</f>
        <v>163800</v>
      </c>
      <c r="J52" s="23">
        <f>SUM('BRN MO'!$B52:J52)</f>
        <v>185350</v>
      </c>
      <c r="K52" s="23">
        <f>SUM('BRN MO'!$B52:K52)</f>
        <v>206900</v>
      </c>
      <c r="L52" s="23">
        <f>SUM('BRN MO'!$B52:L52)</f>
        <v>228450</v>
      </c>
      <c r="M52" s="23">
        <f>SUM('BRN MO'!$B52:M52)</f>
        <v>250000</v>
      </c>
    </row>
    <row r="53" spans="1:13" x14ac:dyDescent="0.2">
      <c r="A53" s="3" t="s">
        <v>3</v>
      </c>
      <c r="B53" s="23">
        <f>SUM('BRN MO'!$B53:B53)</f>
        <v>0</v>
      </c>
      <c r="C53" s="23">
        <f>SUM('BRN MO'!$B53:C53)</f>
        <v>0</v>
      </c>
      <c r="D53" s="23">
        <f>SUM('BRN MO'!$B53:D53)</f>
        <v>0</v>
      </c>
      <c r="E53" s="23">
        <f>SUM('BRN MO'!$B53:E53)</f>
        <v>0</v>
      </c>
      <c r="F53" s="23">
        <f>SUM('BRN MO'!$B53:F53)</f>
        <v>8333.3333333333339</v>
      </c>
      <c r="G53" s="23">
        <f>SUM('BRN MO'!$B53:G53)</f>
        <v>16916.666666666668</v>
      </c>
      <c r="H53" s="23">
        <f>SUM('BRN MO'!$B53:H53)</f>
        <v>25500</v>
      </c>
      <c r="I53" s="23">
        <f>SUM('BRN MO'!$B53:I53)</f>
        <v>34083.333333333336</v>
      </c>
      <c r="J53" s="23">
        <f>SUM('BRN MO'!$B53:J53)</f>
        <v>42666.666666666672</v>
      </c>
      <c r="K53" s="23">
        <f>SUM('BRN MO'!$B53:K53)</f>
        <v>51250.000000000007</v>
      </c>
      <c r="L53" s="23">
        <f>SUM('BRN MO'!$B53:L53)</f>
        <v>59833.333333333343</v>
      </c>
      <c r="M53" s="23">
        <f>SUM('BRN MO'!$B53:M53)</f>
        <v>68416.666666666672</v>
      </c>
    </row>
    <row r="54" spans="1:13" x14ac:dyDescent="0.2">
      <c r="A54" s="3" t="s">
        <v>4</v>
      </c>
      <c r="B54" s="23">
        <f>SUM('BRN MO'!$B54:B54)</f>
        <v>0</v>
      </c>
      <c r="C54" s="23">
        <f>SUM('BRN MO'!$B54:C54)</f>
        <v>0</v>
      </c>
      <c r="D54" s="23">
        <f>SUM('BRN MO'!$B54:D54)</f>
        <v>0</v>
      </c>
      <c r="E54" s="23">
        <f>SUM('BRN MO'!$B54:E54)</f>
        <v>0</v>
      </c>
      <c r="F54" s="23">
        <f>SUM('BRN MO'!$B54:F54)</f>
        <v>2500</v>
      </c>
      <c r="G54" s="23">
        <f>SUM('BRN MO'!$B54:G54)</f>
        <v>5075</v>
      </c>
      <c r="H54" s="23">
        <f>SUM('BRN MO'!$B54:H54)</f>
        <v>7650</v>
      </c>
      <c r="I54" s="23">
        <f>SUM('BRN MO'!$B54:I54)</f>
        <v>10225</v>
      </c>
      <c r="J54" s="23">
        <f>SUM('BRN MO'!$B54:J54)</f>
        <v>12800</v>
      </c>
      <c r="K54" s="23">
        <f>SUM('BRN MO'!$B54:K54)</f>
        <v>15375</v>
      </c>
      <c r="L54" s="23">
        <f>SUM('BRN MO'!$B54:L54)</f>
        <v>17950</v>
      </c>
      <c r="M54" s="23">
        <f>SUM('BRN MO'!$B54:M54)</f>
        <v>20525</v>
      </c>
    </row>
    <row r="55" spans="1:13" x14ac:dyDescent="0.2">
      <c r="A55" s="3" t="s">
        <v>5</v>
      </c>
      <c r="B55" s="23">
        <f>SUM('BRN MO'!$B55:B55)</f>
        <v>0</v>
      </c>
      <c r="C55" s="23">
        <f>SUM('BRN MO'!$B55:C55)</f>
        <v>1592</v>
      </c>
      <c r="D55" s="23">
        <f>SUM('BRN MO'!$B55:D55)</f>
        <v>7470</v>
      </c>
      <c r="E55" s="23">
        <f>SUM('BRN MO'!$B55:E55)</f>
        <v>7470</v>
      </c>
      <c r="F55" s="23">
        <f>SUM('BRN MO'!$B55:F55)</f>
        <v>13720</v>
      </c>
      <c r="G55" s="23">
        <f>SUM('BRN MO'!$B55:G55)</f>
        <v>20157.5</v>
      </c>
      <c r="H55" s="23">
        <f>SUM('BRN MO'!$B55:H55)</f>
        <v>26595</v>
      </c>
      <c r="I55" s="23">
        <f>SUM('BRN MO'!$B55:I55)</f>
        <v>33032.5</v>
      </c>
      <c r="J55" s="23">
        <f>SUM('BRN MO'!$B55:J55)</f>
        <v>39470</v>
      </c>
      <c r="K55" s="23">
        <f>SUM('BRN MO'!$B55:K55)</f>
        <v>45907.5</v>
      </c>
      <c r="L55" s="23">
        <f>SUM('BRN MO'!$B55:L55)</f>
        <v>52345</v>
      </c>
      <c r="M55" s="23">
        <f>SUM('BRN MO'!$B55:M55)</f>
        <v>58782.5</v>
      </c>
    </row>
    <row r="56" spans="1:13" x14ac:dyDescent="0.2">
      <c r="A56" s="3" t="s">
        <v>14</v>
      </c>
      <c r="B56" s="23">
        <f>SUM('BRN MO'!$B56:B56)</f>
        <v>0</v>
      </c>
      <c r="C56" s="23">
        <f>SUM('BRN MO'!$B56:C56)</f>
        <v>0</v>
      </c>
      <c r="D56" s="23">
        <f>SUM('BRN MO'!$B56:D56)</f>
        <v>0</v>
      </c>
      <c r="E56" s="23">
        <f>SUM('BRN MO'!$B56:E56)</f>
        <v>0</v>
      </c>
      <c r="F56" s="23">
        <f>SUM('BRN MO'!$B56:F56)</f>
        <v>0</v>
      </c>
      <c r="G56" s="23">
        <f>SUM('BRN MO'!$B56:G56)</f>
        <v>0</v>
      </c>
      <c r="H56" s="23">
        <f>SUM('BRN MO'!$B56:H56)</f>
        <v>0</v>
      </c>
      <c r="I56" s="23">
        <f>SUM('BRN MO'!$B56:I56)</f>
        <v>0</v>
      </c>
      <c r="J56" s="23">
        <f>SUM('BRN MO'!$B56:J56)</f>
        <v>0</v>
      </c>
      <c r="K56" s="23">
        <f>SUM('BRN MO'!$B56:K56)</f>
        <v>0</v>
      </c>
      <c r="L56" s="23">
        <f>SUM('BRN MO'!$B56:L56)</f>
        <v>0</v>
      </c>
      <c r="M56" s="23">
        <f>SUM('BRN MO'!$B56:M56)</f>
        <v>0</v>
      </c>
    </row>
    <row r="57" spans="1:13" x14ac:dyDescent="0.2">
      <c r="A57" s="3"/>
      <c r="B57" s="23">
        <f>SUM('BRN MO'!$B57:B57)</f>
        <v>0</v>
      </c>
      <c r="C57" s="23">
        <f>SUM('BRN MO'!$B57:C57)</f>
        <v>0</v>
      </c>
      <c r="D57" s="23">
        <f>SUM('BRN MO'!$B57:D57)</f>
        <v>0</v>
      </c>
      <c r="E57" s="23">
        <f>SUM('BRN MO'!$B57:E57)</f>
        <v>0</v>
      </c>
      <c r="F57" s="23">
        <f>SUM('BRN MO'!$B57:F57)</f>
        <v>0</v>
      </c>
      <c r="G57" s="23">
        <f>SUM('BRN MO'!$B57:G57)</f>
        <v>0</v>
      </c>
      <c r="H57" s="23">
        <f>SUM('BRN MO'!$B57:H57)</f>
        <v>0</v>
      </c>
      <c r="I57" s="23">
        <f>SUM('BRN MO'!$B57:I57)</f>
        <v>0</v>
      </c>
      <c r="J57" s="23">
        <f>SUM('BRN MO'!$B57:J57)</f>
        <v>0</v>
      </c>
      <c r="K57" s="23">
        <f>SUM('BRN MO'!$B57:K57)</f>
        <v>0</v>
      </c>
      <c r="L57" s="23">
        <f>SUM('BRN MO'!$B57:L57)</f>
        <v>0</v>
      </c>
      <c r="M57" s="23">
        <f>SUM('BRN MO'!$B57:M57)</f>
        <v>0</v>
      </c>
    </row>
    <row r="58" spans="1:13" ht="13.5" thickBot="1" x14ac:dyDescent="0.25">
      <c r="A58" s="4" t="s">
        <v>15</v>
      </c>
      <c r="B58" s="28">
        <f>SUM('BRN MO'!$B58:B58)</f>
        <v>36555</v>
      </c>
      <c r="C58" s="28">
        <f>SUM('BRN MO'!$B58:C58)</f>
        <v>68302</v>
      </c>
      <c r="D58" s="28">
        <f>SUM('BRN MO'!$B58:D58)</f>
        <v>110335</v>
      </c>
      <c r="E58" s="28">
        <f>SUM('BRN MO'!$B58:E58)</f>
        <v>157579</v>
      </c>
      <c r="F58" s="28">
        <f>SUM('BRN MO'!$B58:F58)</f>
        <v>222656.33333333334</v>
      </c>
      <c r="G58" s="28">
        <f>SUM('BRN MO'!$B58:G58)</f>
        <v>288246.16666666669</v>
      </c>
      <c r="H58" s="28">
        <f>SUM('BRN MO'!$B58:H58)</f>
        <v>353836</v>
      </c>
      <c r="I58" s="28">
        <f>SUM('BRN MO'!$B58:I58)</f>
        <v>419425.83333333337</v>
      </c>
      <c r="J58" s="28">
        <f>SUM('BRN MO'!$B58:J58)</f>
        <v>485015.66666666674</v>
      </c>
      <c r="K58" s="28">
        <f>SUM('BRN MO'!$B58:K58)</f>
        <v>550605.50000000012</v>
      </c>
      <c r="L58" s="28">
        <f>SUM('BRN MO'!$B58:L58)</f>
        <v>616195.33333333349</v>
      </c>
      <c r="M58" s="28">
        <f>SUM('BRN MO'!$B58:M58)</f>
        <v>681785.16666666686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SUM('BRN MO'!$B61:B61)</f>
        <v>0</v>
      </c>
      <c r="C61" s="23">
        <f>SUM('BRN MO'!$B61:C61)</f>
        <v>0</v>
      </c>
      <c r="D61" s="23">
        <f>SUM('BRN MO'!$B61:D61)</f>
        <v>0</v>
      </c>
      <c r="E61" s="23">
        <f>SUM('BRN MO'!$B61:E61)</f>
        <v>0</v>
      </c>
      <c r="F61" s="23">
        <f>SUM('BRN MO'!$B61:F61)</f>
        <v>0</v>
      </c>
      <c r="G61" s="23">
        <f>SUM('BRN MO'!$B61:G61)</f>
        <v>0</v>
      </c>
      <c r="H61" s="23">
        <f>SUM('BRN MO'!$B61:H61)</f>
        <v>0</v>
      </c>
      <c r="I61" s="23">
        <f>SUM('BRN MO'!$B61:I61)</f>
        <v>0</v>
      </c>
      <c r="J61" s="23">
        <f>SUM('BRN MO'!$B61:J61)</f>
        <v>0</v>
      </c>
      <c r="K61" s="23">
        <f>SUM('BRN MO'!$B61:K61)</f>
        <v>0</v>
      </c>
      <c r="L61" s="23">
        <f>SUM('BRN MO'!$B61:L61)</f>
        <v>0</v>
      </c>
      <c r="M61" s="23">
        <f>SUM('BRN MO'!$B61:M61)</f>
        <v>0</v>
      </c>
    </row>
    <row r="62" spans="1:13" x14ac:dyDescent="0.2">
      <c r="A62" s="3" t="s">
        <v>7</v>
      </c>
      <c r="B62" s="23">
        <f>SUM('BRN MO'!$B62:B62)</f>
        <v>670886</v>
      </c>
      <c r="C62" s="23">
        <f>SUM('BRN MO'!$B62:C62)</f>
        <v>1148886</v>
      </c>
      <c r="D62" s="23">
        <f>SUM('BRN MO'!$B62:D62)</f>
        <v>1566866</v>
      </c>
      <c r="E62" s="23">
        <f>SUM('BRN MO'!$B62:E62)</f>
        <v>2091262</v>
      </c>
      <c r="F62" s="23">
        <f>SUM('BRN MO'!$B62:F62)</f>
        <v>2628298.030542884</v>
      </c>
      <c r="G62" s="23">
        <f>SUM('BRN MO'!$B62:G62)</f>
        <v>3168238.0301400977</v>
      </c>
      <c r="H62" s="23">
        <f>SUM('BRN MO'!$B62:H62)</f>
        <v>3683420.1138323518</v>
      </c>
      <c r="I62" s="23">
        <f>SUM('BRN MO'!$B62:I62)</f>
        <v>4112430.2183251609</v>
      </c>
      <c r="J62" s="23">
        <f>SUM('BRN MO'!$B62:J62)</f>
        <v>4444944.057897862</v>
      </c>
      <c r="K62" s="23">
        <f>SUM('BRN MO'!$B62:K62)</f>
        <v>4775905.9827821376</v>
      </c>
      <c r="L62" s="23">
        <f>SUM('BRN MO'!$B62:L62)</f>
        <v>5109931.9521900918</v>
      </c>
      <c r="M62" s="23">
        <f>SUM('BRN MO'!$B62:M62)</f>
        <v>5447002.3959462279</v>
      </c>
    </row>
    <row r="63" spans="1:13" x14ac:dyDescent="0.2">
      <c r="A63" s="3" t="s">
        <v>8</v>
      </c>
      <c r="B63" s="23">
        <f>SUM('BRN MO'!$B63:B63)</f>
        <v>323549</v>
      </c>
      <c r="C63" s="23">
        <f>SUM('BRN MO'!$B63:C63)</f>
        <v>624773</v>
      </c>
      <c r="D63" s="23">
        <f>SUM('BRN MO'!$B63:D63)</f>
        <v>938329</v>
      </c>
      <c r="E63" s="23">
        <f>SUM('BRN MO'!$B63:E63)</f>
        <v>1256876</v>
      </c>
      <c r="F63" s="23">
        <f>SUM('BRN MO'!$B63:F63)</f>
        <v>1575423</v>
      </c>
      <c r="G63" s="23">
        <f>SUM('BRN MO'!$B63:G63)</f>
        <v>1893970</v>
      </c>
      <c r="H63" s="23">
        <f>SUM('BRN MO'!$B63:H63)</f>
        <v>2212517</v>
      </c>
      <c r="I63" s="23">
        <f>SUM('BRN MO'!$B63:I63)</f>
        <v>2531064</v>
      </c>
      <c r="J63" s="23">
        <f>SUM('BRN MO'!$B63:J63)</f>
        <v>2849611</v>
      </c>
      <c r="K63" s="23">
        <f>SUM('BRN MO'!$B63:K63)</f>
        <v>3168158</v>
      </c>
      <c r="L63" s="23">
        <f>SUM('BRN MO'!$B63:L63)</f>
        <v>3486705</v>
      </c>
      <c r="M63" s="23">
        <f>SUM('BRN MO'!$B63:M63)</f>
        <v>3805252</v>
      </c>
    </row>
    <row r="64" spans="1:13" x14ac:dyDescent="0.2">
      <c r="A64" s="3"/>
      <c r="B64" s="23">
        <f>SUM('BRN MO'!$B64:B64)</f>
        <v>0</v>
      </c>
      <c r="C64" s="23">
        <f>SUM('BRN MO'!$B64:C64)</f>
        <v>0</v>
      </c>
      <c r="D64" s="23">
        <f>SUM('BRN MO'!$B64:D64)</f>
        <v>0</v>
      </c>
      <c r="E64" s="23">
        <f>SUM('BRN MO'!$B64:E64)</f>
        <v>0</v>
      </c>
      <c r="F64" s="23">
        <f>SUM('BRN MO'!$B64:F64)</f>
        <v>0</v>
      </c>
      <c r="G64" s="23">
        <f>SUM('BRN MO'!$B64:G64)</f>
        <v>0</v>
      </c>
      <c r="H64" s="23">
        <f>SUM('BRN MO'!$B64:H64)</f>
        <v>0</v>
      </c>
      <c r="I64" s="23">
        <f>SUM('BRN MO'!$B64:I64)</f>
        <v>0</v>
      </c>
      <c r="J64" s="23">
        <f>SUM('BRN MO'!$B64:J64)</f>
        <v>0</v>
      </c>
      <c r="K64" s="23">
        <f>SUM('BRN MO'!$B64:K64)</f>
        <v>0</v>
      </c>
      <c r="L64" s="23">
        <f>SUM('BRN MO'!$B64:L64)</f>
        <v>0</v>
      </c>
      <c r="M64" s="23">
        <f>SUM('BRN MO'!$B64:M64)</f>
        <v>0</v>
      </c>
    </row>
    <row r="65" spans="1:13" ht="13.5" thickBot="1" x14ac:dyDescent="0.25">
      <c r="A65" s="4" t="s">
        <v>17</v>
      </c>
      <c r="B65" s="28">
        <f>SUM('BRN MO'!$B65:B65)</f>
        <v>994435</v>
      </c>
      <c r="C65" s="28">
        <f>SUM('BRN MO'!$B65:C65)</f>
        <v>1773659</v>
      </c>
      <c r="D65" s="28">
        <f>SUM('BRN MO'!$B65:D65)</f>
        <v>2505195</v>
      </c>
      <c r="E65" s="28">
        <f>SUM('BRN MO'!$B65:E65)</f>
        <v>3348138</v>
      </c>
      <c r="F65" s="28">
        <f>SUM('BRN MO'!$B65:F65)</f>
        <v>4203721.030542884</v>
      </c>
      <c r="G65" s="28">
        <f>SUM('BRN MO'!$B65:G65)</f>
        <v>5062208.0301400973</v>
      </c>
      <c r="H65" s="28">
        <f>SUM('BRN MO'!$B65:H65)</f>
        <v>5895937.1138323508</v>
      </c>
      <c r="I65" s="28">
        <f>SUM('BRN MO'!$B65:I65)</f>
        <v>6643494.2183251604</v>
      </c>
      <c r="J65" s="28">
        <f>SUM('BRN MO'!$B65:J65)</f>
        <v>7294555.0578978611</v>
      </c>
      <c r="K65" s="28">
        <f>SUM('BRN MO'!$B65:K65)</f>
        <v>7944063.9827821366</v>
      </c>
      <c r="L65" s="28">
        <f>SUM('BRN MO'!$B65:L65)</f>
        <v>8596636.95219009</v>
      </c>
      <c r="M65" s="28">
        <f>SUM('BRN MO'!$B65:M65)</f>
        <v>9252254.3959462252</v>
      </c>
    </row>
    <row r="67" spans="1:13" ht="13.5" thickBot="1" x14ac:dyDescent="0.25">
      <c r="A67" s="1" t="s">
        <v>13</v>
      </c>
      <c r="B67" s="29">
        <f>SUM('BRN MO'!$B67:B67)</f>
        <v>1237273</v>
      </c>
      <c r="C67" s="29">
        <f>SUM('BRN MO'!$B67:C67)</f>
        <v>2382287</v>
      </c>
      <c r="D67" s="29">
        <f>SUM('BRN MO'!$B67:D67)</f>
        <v>3487051</v>
      </c>
      <c r="E67" s="29">
        <f>SUM('BRN MO'!$B67:E67)</f>
        <v>4822246.5600000005</v>
      </c>
      <c r="F67" s="29">
        <f>SUM('BRN MO'!$B67:F67)</f>
        <v>6007002.9238762176</v>
      </c>
      <c r="G67" s="29">
        <f>SUM('BRN MO'!$B67:G67)</f>
        <v>7180003.7568067648</v>
      </c>
      <c r="H67" s="29">
        <f>SUM('BRN MO'!$B67:H67)</f>
        <v>8328245.6738323523</v>
      </c>
      <c r="I67" s="29">
        <f>SUM('BRN MO'!$B67:I67)</f>
        <v>9390315.6116584949</v>
      </c>
      <c r="J67" s="29">
        <f>SUM('BRN MO'!$B67:J67)</f>
        <v>10355890.284564529</v>
      </c>
      <c r="K67" s="29">
        <f>SUM('BRN MO'!$B67:K67)</f>
        <v>11301734.042782137</v>
      </c>
      <c r="L67" s="29">
        <f>SUM('BRN MO'!$B67:L67)</f>
        <v>12214641.845523424</v>
      </c>
      <c r="M67" s="29">
        <f>SUM('BRN MO'!$B67:M67)</f>
        <v>13131053.122612894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3" t="str">
        <f>+A1</f>
        <v>GENCO - Brownsville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75" x14ac:dyDescent="0.25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75" x14ac:dyDescent="0.25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36697.4890556713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SUM('BRN MO'!$B80:B80)</f>
        <v>0</v>
      </c>
      <c r="C80" s="24">
        <f>SUM('BRN MO'!$B80:C80)</f>
        <v>0</v>
      </c>
      <c r="D80" s="24">
        <f>SUM('BRN MO'!$B80:D80)</f>
        <v>0</v>
      </c>
      <c r="E80" s="24">
        <f>SUM('BRN MO'!$B80:E80)</f>
        <v>0</v>
      </c>
      <c r="F80" s="24">
        <f>SUM('BRN MO'!$B80:F80)</f>
        <v>0</v>
      </c>
      <c r="G80" s="24">
        <f>SUM('BRN MO'!$B80:G80)</f>
        <v>0</v>
      </c>
      <c r="H80" s="24">
        <f>SUM('BRN MO'!$B80:H80)</f>
        <v>0</v>
      </c>
      <c r="I80" s="24">
        <f>SUM('BRN MO'!$B80:I80)</f>
        <v>0</v>
      </c>
      <c r="J80" s="24">
        <f>SUM('BRN MO'!$B80:J80)</f>
        <v>0</v>
      </c>
      <c r="K80" s="24">
        <f>SUM('BRN MO'!$B80:K80)</f>
        <v>0</v>
      </c>
      <c r="L80" s="24">
        <f>SUM('BRN MO'!$B80:L80)</f>
        <v>0</v>
      </c>
      <c r="M80" s="24">
        <f>SUM('BRN MO'!$B80:M80)</f>
        <v>0</v>
      </c>
    </row>
    <row r="82" spans="1:13" x14ac:dyDescent="0.2">
      <c r="A82" s="1" t="s">
        <v>10</v>
      </c>
    </row>
    <row r="83" spans="1:13" x14ac:dyDescent="0.2">
      <c r="A83" s="17" t="s">
        <v>49</v>
      </c>
    </row>
    <row r="84" spans="1:13" x14ac:dyDescent="0.2">
      <c r="A84" s="18" t="s">
        <v>87</v>
      </c>
      <c r="B84" s="23">
        <f>SUM('BRN MO'!$B84:B84)</f>
        <v>0</v>
      </c>
      <c r="C84" s="23">
        <f>SUM('BRN MO'!$B84:C84)</f>
        <v>0</v>
      </c>
      <c r="D84" s="23">
        <f>SUM('BRN MO'!$B84:D84)</f>
        <v>0</v>
      </c>
      <c r="E84" s="23">
        <f>SUM('BRN MO'!$B84:E84)</f>
        <v>0</v>
      </c>
      <c r="F84" s="23">
        <f>SUM('BRN MO'!$B84:F84)</f>
        <v>0</v>
      </c>
      <c r="G84" s="23">
        <f>SUM('BRN MO'!$B84:G84)</f>
        <v>0</v>
      </c>
      <c r="H84" s="23">
        <f>SUM('BRN MO'!$B84:H84)</f>
        <v>0</v>
      </c>
      <c r="I84" s="23">
        <f>SUM('BRN MO'!$B84:I84)</f>
        <v>0</v>
      </c>
      <c r="J84" s="23">
        <f>SUM('BRN MO'!$B84:J84)</f>
        <v>0</v>
      </c>
      <c r="K84" s="23">
        <f>SUM('BRN MO'!$B84:K84)</f>
        <v>0</v>
      </c>
      <c r="L84" s="23">
        <f>SUM('BRN MO'!$B84:L84)</f>
        <v>0</v>
      </c>
      <c r="M84" s="23">
        <f>SUM('BRN MO'!$B84:M84)</f>
        <v>0</v>
      </c>
    </row>
    <row r="85" spans="1:13" x14ac:dyDescent="0.2">
      <c r="A85" s="18" t="s">
        <v>63</v>
      </c>
      <c r="B85" s="23">
        <f>SUM('BRN MO'!$B85:B85)</f>
        <v>543</v>
      </c>
      <c r="C85" s="23">
        <f>SUM('BRN MO'!$B85:C85)</f>
        <v>1086</v>
      </c>
      <c r="D85" s="23">
        <f>SUM('BRN MO'!$B85:D85)</f>
        <v>1629</v>
      </c>
      <c r="E85" s="23">
        <f>SUM('BRN MO'!$B85:E85)</f>
        <v>2172</v>
      </c>
      <c r="F85" s="23">
        <f>SUM('BRN MO'!$B85:F85)</f>
        <v>3312</v>
      </c>
      <c r="G85" s="23">
        <f>SUM('BRN MO'!$B85:G85)</f>
        <v>4452</v>
      </c>
      <c r="H85" s="23">
        <f>SUM('BRN MO'!$B85:H85)</f>
        <v>5592</v>
      </c>
      <c r="I85" s="23">
        <f>SUM('BRN MO'!$B85:I85)</f>
        <v>6732</v>
      </c>
      <c r="J85" s="23">
        <f>SUM('BRN MO'!$B85:J85)</f>
        <v>7872</v>
      </c>
      <c r="K85" s="23">
        <f>SUM('BRN MO'!$B85:K85)</f>
        <v>8415</v>
      </c>
      <c r="L85" s="23">
        <f>SUM('BRN MO'!$B85:L85)</f>
        <v>8958</v>
      </c>
      <c r="M85" s="23">
        <f>SUM('BRN MO'!$B85:M85)</f>
        <v>9500</v>
      </c>
    </row>
    <row r="86" spans="1:13" x14ac:dyDescent="0.2">
      <c r="A86" s="18" t="s">
        <v>88</v>
      </c>
      <c r="B86" s="23">
        <f>SUM('BRN MO'!$B86:B86)</f>
        <v>0</v>
      </c>
      <c r="C86" s="23">
        <f>SUM('BRN MO'!$B86:C86)</f>
        <v>0</v>
      </c>
      <c r="D86" s="23">
        <f>SUM('BRN MO'!$B86:D86)</f>
        <v>0</v>
      </c>
      <c r="E86" s="23">
        <f>SUM('BRN MO'!$B86:E86)</f>
        <v>0</v>
      </c>
      <c r="F86" s="23">
        <f>SUM('BRN MO'!$B86:F86)</f>
        <v>0</v>
      </c>
      <c r="G86" s="23">
        <f>SUM('BRN MO'!$B86:G86)</f>
        <v>0</v>
      </c>
      <c r="H86" s="23">
        <f>SUM('BRN MO'!$B86:H86)</f>
        <v>0</v>
      </c>
      <c r="I86" s="23">
        <f>SUM('BRN MO'!$B86:I86)</f>
        <v>0</v>
      </c>
      <c r="J86" s="23">
        <f>SUM('BRN MO'!$B86:J86)</f>
        <v>0</v>
      </c>
      <c r="K86" s="23">
        <f>SUM('BRN MO'!$B86:K86)</f>
        <v>0</v>
      </c>
      <c r="L86" s="23">
        <f>SUM('BRN MO'!$B86:L86)</f>
        <v>0</v>
      </c>
      <c r="M86" s="23">
        <f>SUM('BRN MO'!$B86:M86)</f>
        <v>0</v>
      </c>
    </row>
    <row r="87" spans="1:13" x14ac:dyDescent="0.2">
      <c r="A87" s="18" t="s">
        <v>89</v>
      </c>
      <c r="B87" s="23">
        <f>SUM('BRN MO'!$B87:B87)</f>
        <v>0</v>
      </c>
      <c r="C87" s="23">
        <f>SUM('BRN MO'!$B87:C87)</f>
        <v>0</v>
      </c>
      <c r="D87" s="23">
        <f>SUM('BRN MO'!$B87:D87)</f>
        <v>0</v>
      </c>
      <c r="E87" s="23">
        <f>SUM('BRN MO'!$B87:E87)</f>
        <v>0</v>
      </c>
      <c r="F87" s="23">
        <f>SUM('BRN MO'!$B87:F87)</f>
        <v>0</v>
      </c>
      <c r="G87" s="23">
        <f>SUM('BRN MO'!$B87:G87)</f>
        <v>0</v>
      </c>
      <c r="H87" s="23">
        <f>SUM('BRN MO'!$B87:H87)</f>
        <v>0</v>
      </c>
      <c r="I87" s="23">
        <f>SUM('BRN MO'!$B87:I87)</f>
        <v>0</v>
      </c>
      <c r="J87" s="23">
        <f>SUM('BRN MO'!$B87:J87)</f>
        <v>0</v>
      </c>
      <c r="K87" s="23">
        <f>SUM('BRN MO'!$B87:K87)</f>
        <v>0</v>
      </c>
      <c r="L87" s="23">
        <f>SUM('BRN MO'!$B87:L87)</f>
        <v>0</v>
      </c>
      <c r="M87" s="23">
        <f>SUM('BRN MO'!$B87:M87)</f>
        <v>0</v>
      </c>
    </row>
    <row r="88" spans="1:13" x14ac:dyDescent="0.2">
      <c r="A88" s="18" t="s">
        <v>90</v>
      </c>
      <c r="B88" s="23">
        <f>SUM('BRN MO'!$B88:B88)</f>
        <v>0</v>
      </c>
      <c r="C88" s="23">
        <f>SUM('BRN MO'!$B88:C88)</f>
        <v>0</v>
      </c>
      <c r="D88" s="23">
        <f>SUM('BRN MO'!$B88:D88)</f>
        <v>0</v>
      </c>
      <c r="E88" s="23">
        <f>SUM('BRN MO'!$B88:E88)</f>
        <v>0</v>
      </c>
      <c r="F88" s="23">
        <f>SUM('BRN MO'!$B88:F88)</f>
        <v>0</v>
      </c>
      <c r="G88" s="23">
        <f>SUM('BRN MO'!$B88:G88)</f>
        <v>0</v>
      </c>
      <c r="H88" s="23">
        <f>SUM('BRN MO'!$B88:H88)</f>
        <v>0</v>
      </c>
      <c r="I88" s="23">
        <f>SUM('BRN MO'!$B88:I88)</f>
        <v>0</v>
      </c>
      <c r="J88" s="23">
        <f>SUM('BRN MO'!$B88:J88)</f>
        <v>0</v>
      </c>
      <c r="K88" s="23">
        <f>SUM('BRN MO'!$B88:K88)</f>
        <v>0</v>
      </c>
      <c r="L88" s="23">
        <f>SUM('BRN MO'!$B88:L88)</f>
        <v>0</v>
      </c>
      <c r="M88" s="23">
        <f>SUM('BRN MO'!$B88:M88)</f>
        <v>0</v>
      </c>
    </row>
    <row r="89" spans="1:13" x14ac:dyDescent="0.2">
      <c r="A89" s="18" t="s">
        <v>64</v>
      </c>
      <c r="B89" s="23">
        <f>SUM('BRN MO'!$B89:B89)</f>
        <v>0</v>
      </c>
      <c r="C89" s="23">
        <f>SUM('BRN MO'!$B89:C89)</f>
        <v>0</v>
      </c>
      <c r="D89" s="23">
        <f>SUM('BRN MO'!$B89:D89)</f>
        <v>0</v>
      </c>
      <c r="E89" s="23">
        <f>SUM('BRN MO'!$B89:E89)</f>
        <v>0</v>
      </c>
      <c r="F89" s="23">
        <f>SUM('BRN MO'!$B89:F89)</f>
        <v>0</v>
      </c>
      <c r="G89" s="23">
        <f>SUM('BRN MO'!$B89:G89)</f>
        <v>0</v>
      </c>
      <c r="H89" s="23">
        <f>SUM('BRN MO'!$B89:H89)</f>
        <v>0</v>
      </c>
      <c r="I89" s="23">
        <f>SUM('BRN MO'!$B89:I89)</f>
        <v>0</v>
      </c>
      <c r="J89" s="23">
        <f>SUM('BRN MO'!$B89:J89)</f>
        <v>0</v>
      </c>
      <c r="K89" s="23">
        <f>SUM('BRN MO'!$B89:K89)</f>
        <v>0</v>
      </c>
      <c r="L89" s="23">
        <f>SUM('BRN MO'!$B89:L89)</f>
        <v>0</v>
      </c>
      <c r="M89" s="23">
        <f>SUM('BRN MO'!$B89:M89)</f>
        <v>0</v>
      </c>
    </row>
    <row r="90" spans="1:13" x14ac:dyDescent="0.2">
      <c r="A90" s="18" t="s">
        <v>91</v>
      </c>
      <c r="B90" s="23">
        <f>SUM('BRN MO'!$B90:B90)</f>
        <v>0</v>
      </c>
      <c r="C90" s="23">
        <f>SUM('BRN MO'!$B90:C90)</f>
        <v>0</v>
      </c>
      <c r="D90" s="23">
        <f>SUM('BRN MO'!$B90:D90)</f>
        <v>0</v>
      </c>
      <c r="E90" s="23">
        <f>SUM('BRN MO'!$B90:E90)</f>
        <v>0</v>
      </c>
      <c r="F90" s="23">
        <f>SUM('BRN MO'!$B90:F90)</f>
        <v>0</v>
      </c>
      <c r="G90" s="23">
        <f>SUM('BRN MO'!$B90:G90)</f>
        <v>0</v>
      </c>
      <c r="H90" s="23">
        <f>SUM('BRN MO'!$B90:H90)</f>
        <v>0</v>
      </c>
      <c r="I90" s="23">
        <f>SUM('BRN MO'!$B90:I90)</f>
        <v>0</v>
      </c>
      <c r="J90" s="23">
        <f>SUM('BRN MO'!$B90:J90)</f>
        <v>0</v>
      </c>
      <c r="K90" s="23">
        <f>SUM('BRN MO'!$B90:K90)</f>
        <v>0</v>
      </c>
      <c r="L90" s="23">
        <f>SUM('BRN MO'!$B90:L90)</f>
        <v>0</v>
      </c>
      <c r="M90" s="23">
        <f>SUM('BRN MO'!$B90:M90)</f>
        <v>0</v>
      </c>
    </row>
    <row r="91" spans="1:13" x14ac:dyDescent="0.2">
      <c r="A91" s="18" t="s">
        <v>92</v>
      </c>
      <c r="B91" s="23">
        <f>SUM('BRN MO'!$B91:B91)</f>
        <v>743</v>
      </c>
      <c r="C91" s="23">
        <f>SUM('BRN MO'!$B91:C91)</f>
        <v>1486</v>
      </c>
      <c r="D91" s="23">
        <f>SUM('BRN MO'!$B91:D91)</f>
        <v>2229</v>
      </c>
      <c r="E91" s="23">
        <f>SUM('BRN MO'!$B91:E91)</f>
        <v>2972</v>
      </c>
      <c r="F91" s="23">
        <f>SUM('BRN MO'!$B91:F91)</f>
        <v>4532</v>
      </c>
      <c r="G91" s="23">
        <f>SUM('BRN MO'!$B91:G91)</f>
        <v>6092</v>
      </c>
      <c r="H91" s="23">
        <f>SUM('BRN MO'!$B91:H91)</f>
        <v>7652</v>
      </c>
      <c r="I91" s="23">
        <f>SUM('BRN MO'!$B91:I91)</f>
        <v>9212</v>
      </c>
      <c r="J91" s="23">
        <f>SUM('BRN MO'!$B91:J91)</f>
        <v>10772</v>
      </c>
      <c r="K91" s="23">
        <f>SUM('BRN MO'!$B91:K91)</f>
        <v>11515</v>
      </c>
      <c r="L91" s="23">
        <f>SUM('BRN MO'!$B91:L91)</f>
        <v>12258</v>
      </c>
      <c r="M91" s="23">
        <f>SUM('BRN MO'!$B91:M91)</f>
        <v>13000</v>
      </c>
    </row>
    <row r="92" spans="1:13" x14ac:dyDescent="0.2">
      <c r="A92" s="18" t="s">
        <v>65</v>
      </c>
      <c r="B92" s="23">
        <f>SUM('BRN MO'!$B92:B92)</f>
        <v>458</v>
      </c>
      <c r="C92" s="23">
        <f>SUM('BRN MO'!$B92:C92)</f>
        <v>916</v>
      </c>
      <c r="D92" s="23">
        <f>SUM('BRN MO'!$B92:D92)</f>
        <v>1374</v>
      </c>
      <c r="E92" s="23">
        <f>SUM('BRN MO'!$B92:E92)</f>
        <v>1832</v>
      </c>
      <c r="F92" s="23">
        <f>SUM('BRN MO'!$B92:F92)</f>
        <v>2290</v>
      </c>
      <c r="G92" s="23">
        <f>SUM('BRN MO'!$B92:G92)</f>
        <v>2748</v>
      </c>
      <c r="H92" s="23">
        <f>SUM('BRN MO'!$B92:H92)</f>
        <v>3206</v>
      </c>
      <c r="I92" s="23">
        <f>SUM('BRN MO'!$B92:I92)</f>
        <v>3664</v>
      </c>
      <c r="J92" s="23">
        <f>SUM('BRN MO'!$B92:J92)</f>
        <v>4122</v>
      </c>
      <c r="K92" s="23">
        <f>SUM('BRN MO'!$B92:K92)</f>
        <v>4580</v>
      </c>
      <c r="L92" s="23">
        <f>SUM('BRN MO'!$B92:L92)</f>
        <v>5038</v>
      </c>
      <c r="M92" s="23">
        <f>SUM('BRN MO'!$B92:M92)</f>
        <v>5500</v>
      </c>
    </row>
    <row r="93" spans="1:13" x14ac:dyDescent="0.2">
      <c r="A93" s="18" t="s">
        <v>45</v>
      </c>
      <c r="B93" s="23">
        <f>SUM('BRN MO'!$B93:B93)</f>
        <v>457</v>
      </c>
      <c r="C93" s="23">
        <f>SUM('BRN MO'!$B93:C93)</f>
        <v>914</v>
      </c>
      <c r="D93" s="23">
        <f>SUM('BRN MO'!$B93:D93)</f>
        <v>1371</v>
      </c>
      <c r="E93" s="23">
        <f>SUM('BRN MO'!$B93:E93)</f>
        <v>7828</v>
      </c>
      <c r="F93" s="23">
        <f>SUM('BRN MO'!$B93:F93)</f>
        <v>29716</v>
      </c>
      <c r="G93" s="23">
        <f>SUM('BRN MO'!$B93:G93)</f>
        <v>51604</v>
      </c>
      <c r="H93" s="23">
        <f>SUM('BRN MO'!$B93:H93)</f>
        <v>73492</v>
      </c>
      <c r="I93" s="23">
        <f>SUM('BRN MO'!$B93:I93)</f>
        <v>95380</v>
      </c>
      <c r="J93" s="23">
        <f>SUM('BRN MO'!$B93:J93)</f>
        <v>117268</v>
      </c>
      <c r="K93" s="23">
        <f>SUM('BRN MO'!$B93:K93)</f>
        <v>123725</v>
      </c>
      <c r="L93" s="23">
        <f>SUM('BRN MO'!$B93:L93)</f>
        <v>124182</v>
      </c>
      <c r="M93" s="23">
        <f>SUM('BRN MO'!$B93:M93)</f>
        <v>124640</v>
      </c>
    </row>
    <row r="94" spans="1:13" x14ac:dyDescent="0.2">
      <c r="A94" s="18" t="s">
        <v>66</v>
      </c>
      <c r="B94" s="23">
        <f>SUM('BRN MO'!$B94:B94)</f>
        <v>86</v>
      </c>
      <c r="C94" s="23">
        <f>SUM('BRN MO'!$B94:C94)</f>
        <v>172</v>
      </c>
      <c r="D94" s="23">
        <f>SUM('BRN MO'!$B94:D94)</f>
        <v>258</v>
      </c>
      <c r="E94" s="23">
        <f>SUM('BRN MO'!$B94:E94)</f>
        <v>344</v>
      </c>
      <c r="F94" s="23">
        <f>SUM('BRN MO'!$B94:F94)</f>
        <v>524</v>
      </c>
      <c r="G94" s="23">
        <f>SUM('BRN MO'!$B94:G94)</f>
        <v>704</v>
      </c>
      <c r="H94" s="23">
        <f>SUM('BRN MO'!$B94:H94)</f>
        <v>884</v>
      </c>
      <c r="I94" s="23">
        <f>SUM('BRN MO'!$B94:I94)</f>
        <v>1064</v>
      </c>
      <c r="J94" s="23">
        <f>SUM('BRN MO'!$B94:J94)</f>
        <v>1244</v>
      </c>
      <c r="K94" s="23">
        <f>SUM('BRN MO'!$B94:K94)</f>
        <v>1330</v>
      </c>
      <c r="L94" s="23">
        <f>SUM('BRN MO'!$B94:L94)</f>
        <v>1416</v>
      </c>
      <c r="M94" s="23">
        <f>SUM('BRN MO'!$B94:M94)</f>
        <v>1500</v>
      </c>
    </row>
    <row r="95" spans="1:13" x14ac:dyDescent="0.2">
      <c r="A95" s="18" t="s">
        <v>67</v>
      </c>
      <c r="B95" s="23">
        <f>SUM('BRN MO'!$B95:B95)</f>
        <v>286</v>
      </c>
      <c r="C95" s="23">
        <f>SUM('BRN MO'!$B95:C95)</f>
        <v>572</v>
      </c>
      <c r="D95" s="23">
        <f>SUM('BRN MO'!$B95:D95)</f>
        <v>858</v>
      </c>
      <c r="E95" s="23">
        <f>SUM('BRN MO'!$B95:E95)</f>
        <v>1144</v>
      </c>
      <c r="F95" s="23">
        <f>SUM('BRN MO'!$B95:F95)</f>
        <v>1744</v>
      </c>
      <c r="G95" s="23">
        <f>SUM('BRN MO'!$B95:G95)</f>
        <v>2344</v>
      </c>
      <c r="H95" s="23">
        <f>SUM('BRN MO'!$B95:H95)</f>
        <v>2944</v>
      </c>
      <c r="I95" s="23">
        <f>SUM('BRN MO'!$B95:I95)</f>
        <v>3544</v>
      </c>
      <c r="J95" s="23">
        <f>SUM('BRN MO'!$B95:J95)</f>
        <v>4144</v>
      </c>
      <c r="K95" s="23">
        <f>SUM('BRN MO'!$B95:K95)</f>
        <v>4430</v>
      </c>
      <c r="L95" s="23">
        <f>SUM('BRN MO'!$B95:L95)</f>
        <v>4716</v>
      </c>
      <c r="M95" s="23">
        <f>SUM('BRN MO'!$B95:M95)</f>
        <v>5000</v>
      </c>
    </row>
    <row r="96" spans="1:13" x14ac:dyDescent="0.2">
      <c r="A96" s="18" t="s">
        <v>93</v>
      </c>
      <c r="B96" s="23">
        <f>SUM('BRN MO'!$B96:B96)</f>
        <v>0</v>
      </c>
      <c r="C96" s="23">
        <f>SUM('BRN MO'!$B96:C96)</f>
        <v>0</v>
      </c>
      <c r="D96" s="23">
        <f>SUM('BRN MO'!$B96:D96)</f>
        <v>0</v>
      </c>
      <c r="E96" s="23">
        <f>SUM('BRN MO'!$B96:E96)</f>
        <v>0</v>
      </c>
      <c r="F96" s="23">
        <f>SUM('BRN MO'!$B96:F96)</f>
        <v>0</v>
      </c>
      <c r="G96" s="23">
        <f>SUM('BRN MO'!$B96:G96)</f>
        <v>0</v>
      </c>
      <c r="H96" s="23">
        <f>SUM('BRN MO'!$B96:H96)</f>
        <v>0</v>
      </c>
      <c r="I96" s="23">
        <f>SUM('BRN MO'!$B96:I96)</f>
        <v>0</v>
      </c>
      <c r="J96" s="23">
        <f>SUM('BRN MO'!$B96:J96)</f>
        <v>0</v>
      </c>
      <c r="K96" s="23">
        <f>SUM('BRN MO'!$B96:K96)</f>
        <v>0</v>
      </c>
      <c r="L96" s="23">
        <f>SUM('BRN MO'!$B96:L96)</f>
        <v>0</v>
      </c>
      <c r="M96" s="23">
        <f>SUM('BRN MO'!$B96:M96)</f>
        <v>0</v>
      </c>
    </row>
    <row r="97" spans="1:13" x14ac:dyDescent="0.2">
      <c r="A97" s="18" t="s">
        <v>69</v>
      </c>
      <c r="B97" s="23">
        <f>SUM('BRN MO'!$B97:B97)</f>
        <v>333</v>
      </c>
      <c r="C97" s="23">
        <f>SUM('BRN MO'!$B97:C97)</f>
        <v>666</v>
      </c>
      <c r="D97" s="23">
        <f>SUM('BRN MO'!$B97:D97)</f>
        <v>999</v>
      </c>
      <c r="E97" s="23">
        <f>SUM('BRN MO'!$B97:E97)</f>
        <v>1332</v>
      </c>
      <c r="F97" s="23">
        <f>SUM('BRN MO'!$B97:F97)</f>
        <v>1665</v>
      </c>
      <c r="G97" s="23">
        <f>SUM('BRN MO'!$B97:G97)</f>
        <v>1998</v>
      </c>
      <c r="H97" s="23">
        <f>SUM('BRN MO'!$B97:H97)</f>
        <v>2331</v>
      </c>
      <c r="I97" s="23">
        <f>SUM('BRN MO'!$B97:I97)</f>
        <v>2664</v>
      </c>
      <c r="J97" s="23">
        <f>SUM('BRN MO'!$B97:J97)</f>
        <v>2997</v>
      </c>
      <c r="K97" s="23">
        <f>SUM('BRN MO'!$B97:K97)</f>
        <v>3330</v>
      </c>
      <c r="L97" s="23">
        <f>SUM('BRN MO'!$B97:L97)</f>
        <v>3663</v>
      </c>
      <c r="M97" s="23">
        <f>SUM('BRN MO'!$B97:M97)</f>
        <v>4000</v>
      </c>
    </row>
    <row r="98" spans="1:13" x14ac:dyDescent="0.2">
      <c r="A98" s="18" t="s">
        <v>68</v>
      </c>
      <c r="B98" s="23">
        <f>SUM('BRN MO'!$B98:B98)</f>
        <v>833</v>
      </c>
      <c r="C98" s="23">
        <f>SUM('BRN MO'!$B98:C98)</f>
        <v>1666</v>
      </c>
      <c r="D98" s="23">
        <f>SUM('BRN MO'!$B98:D98)</f>
        <v>17499</v>
      </c>
      <c r="E98" s="23">
        <f>SUM('BRN MO'!$B98:E98)</f>
        <v>18332</v>
      </c>
      <c r="F98" s="23">
        <f>SUM('BRN MO'!$B98:F98)</f>
        <v>19165</v>
      </c>
      <c r="G98" s="23">
        <f>SUM('BRN MO'!$B98:G98)</f>
        <v>19998</v>
      </c>
      <c r="H98" s="23">
        <f>SUM('BRN MO'!$B98:H98)</f>
        <v>20831</v>
      </c>
      <c r="I98" s="23">
        <f>SUM('BRN MO'!$B98:I98)</f>
        <v>21664</v>
      </c>
      <c r="J98" s="23">
        <f>SUM('BRN MO'!$B98:J98)</f>
        <v>22497</v>
      </c>
      <c r="K98" s="23">
        <f>SUM('BRN MO'!$B98:K98)</f>
        <v>23330</v>
      </c>
      <c r="L98" s="23">
        <f>SUM('BRN MO'!$B98:L98)</f>
        <v>24163</v>
      </c>
      <c r="M98" s="23">
        <f>SUM('BRN MO'!$B98:M98)</f>
        <v>25000</v>
      </c>
    </row>
    <row r="99" spans="1:13" x14ac:dyDescent="0.2">
      <c r="A99" s="18" t="s">
        <v>94</v>
      </c>
      <c r="B99" s="23">
        <f>SUM('BRN MO'!$B99:B99)</f>
        <v>0</v>
      </c>
      <c r="C99" s="23">
        <f>SUM('BRN MO'!$B99:C99)</f>
        <v>0</v>
      </c>
      <c r="D99" s="23">
        <f>SUM('BRN MO'!$B99:D99)</f>
        <v>0</v>
      </c>
      <c r="E99" s="23">
        <f>SUM('BRN MO'!$B99:E99)</f>
        <v>0</v>
      </c>
      <c r="F99" s="23">
        <f>SUM('BRN MO'!$B99:F99)</f>
        <v>0</v>
      </c>
      <c r="G99" s="23">
        <f>SUM('BRN MO'!$B99:G99)</f>
        <v>0</v>
      </c>
      <c r="H99" s="23">
        <f>SUM('BRN MO'!$B99:H99)</f>
        <v>0</v>
      </c>
      <c r="I99" s="23">
        <f>SUM('BRN MO'!$B99:I99)</f>
        <v>0</v>
      </c>
      <c r="J99" s="23">
        <f>SUM('BRN MO'!$B99:J99)</f>
        <v>0</v>
      </c>
      <c r="K99" s="23">
        <f>SUM('BRN MO'!$B99:K99)</f>
        <v>0</v>
      </c>
      <c r="L99" s="23">
        <f>SUM('BRN MO'!$B99:L99)</f>
        <v>0</v>
      </c>
      <c r="M99" s="23">
        <f>SUM('BRN MO'!$B99:M99)</f>
        <v>0</v>
      </c>
    </row>
    <row r="100" spans="1:13" x14ac:dyDescent="0.2">
      <c r="A100" s="18" t="s">
        <v>46</v>
      </c>
      <c r="B100" s="23">
        <f>SUM('BRN MO'!$B100:B100)</f>
        <v>600</v>
      </c>
      <c r="C100" s="23">
        <f>SUM('BRN MO'!$B100:C100)</f>
        <v>1200</v>
      </c>
      <c r="D100" s="23">
        <f>SUM('BRN MO'!$B100:D100)</f>
        <v>1800</v>
      </c>
      <c r="E100" s="23">
        <f>SUM('BRN MO'!$B100:E100)</f>
        <v>2400</v>
      </c>
      <c r="F100" s="23">
        <f>SUM('BRN MO'!$B100:F100)</f>
        <v>3660</v>
      </c>
      <c r="G100" s="23">
        <f>SUM('BRN MO'!$B100:G100)</f>
        <v>4920</v>
      </c>
      <c r="H100" s="23">
        <f>SUM('BRN MO'!$B100:H100)</f>
        <v>6180</v>
      </c>
      <c r="I100" s="23">
        <f>SUM('BRN MO'!$B100:I100)</f>
        <v>7440</v>
      </c>
      <c r="J100" s="23">
        <f>SUM('BRN MO'!$B100:J100)</f>
        <v>8700</v>
      </c>
      <c r="K100" s="23">
        <f>SUM('BRN MO'!$B100:K100)</f>
        <v>9300</v>
      </c>
      <c r="L100" s="23">
        <f>SUM('BRN MO'!$B100:L100)</f>
        <v>9900</v>
      </c>
      <c r="M100" s="23">
        <f>SUM('BRN MO'!$B100:M100)</f>
        <v>10500</v>
      </c>
    </row>
    <row r="101" spans="1:13" x14ac:dyDescent="0.2">
      <c r="A101" s="18" t="s">
        <v>70</v>
      </c>
      <c r="B101" s="23">
        <f>SUM('BRN MO'!$B101:B101)</f>
        <v>3208</v>
      </c>
      <c r="C101" s="23">
        <f>SUM('BRN MO'!$B101:C101)</f>
        <v>6416</v>
      </c>
      <c r="D101" s="23">
        <f>SUM('BRN MO'!$B101:D101)</f>
        <v>9624</v>
      </c>
      <c r="E101" s="23">
        <f>SUM('BRN MO'!$B101:E101)</f>
        <v>12832</v>
      </c>
      <c r="F101" s="23">
        <f>SUM('BRN MO'!$B101:F101)</f>
        <v>17580</v>
      </c>
      <c r="G101" s="23">
        <f>SUM('BRN MO'!$B101:G101)</f>
        <v>22328</v>
      </c>
      <c r="H101" s="23">
        <f>SUM('BRN MO'!$B101:H101)</f>
        <v>27076</v>
      </c>
      <c r="I101" s="23">
        <f>SUM('BRN MO'!$B101:I101)</f>
        <v>31824</v>
      </c>
      <c r="J101" s="23">
        <f>SUM('BRN MO'!$B101:J101)</f>
        <v>36572</v>
      </c>
      <c r="K101" s="23">
        <f>SUM('BRN MO'!$B101:K101)</f>
        <v>39780</v>
      </c>
      <c r="L101" s="23">
        <f>SUM('BRN MO'!$B101:L101)</f>
        <v>42988</v>
      </c>
      <c r="M101" s="23">
        <f>SUM('BRN MO'!$B101:M101)</f>
        <v>46200</v>
      </c>
    </row>
    <row r="102" spans="1:13" x14ac:dyDescent="0.2">
      <c r="A102" s="18" t="s">
        <v>71</v>
      </c>
      <c r="B102" s="23">
        <f>SUM('BRN MO'!$B102:B102)</f>
        <v>5452</v>
      </c>
      <c r="C102" s="23">
        <f>SUM('BRN MO'!$B102:C102)</f>
        <v>10904</v>
      </c>
      <c r="D102" s="23">
        <f>SUM('BRN MO'!$B102:D102)</f>
        <v>16356</v>
      </c>
      <c r="E102" s="23">
        <f>SUM('BRN MO'!$B102:E102)</f>
        <v>21808</v>
      </c>
      <c r="F102" s="23">
        <f>SUM('BRN MO'!$B102:F102)</f>
        <v>42575</v>
      </c>
      <c r="G102" s="23">
        <f>SUM('BRN MO'!$B102:G102)</f>
        <v>48342</v>
      </c>
      <c r="H102" s="23">
        <f>SUM('BRN MO'!$B102:H102)</f>
        <v>54109</v>
      </c>
      <c r="I102" s="23">
        <f>SUM('BRN MO'!$B102:I102)</f>
        <v>59876</v>
      </c>
      <c r="J102" s="23">
        <f>SUM('BRN MO'!$B102:J102)</f>
        <v>65643</v>
      </c>
      <c r="K102" s="23">
        <f>SUM('BRN MO'!$B102:K102)</f>
        <v>71095</v>
      </c>
      <c r="L102" s="23">
        <f>SUM('BRN MO'!$B102:L102)</f>
        <v>76547</v>
      </c>
      <c r="M102" s="23">
        <f>SUM('BRN MO'!$B102:M102)</f>
        <v>82000</v>
      </c>
    </row>
    <row r="103" spans="1:13" x14ac:dyDescent="0.2">
      <c r="A103" s="18" t="s">
        <v>44</v>
      </c>
      <c r="B103" s="23">
        <f>SUM('BRN MO'!$B103:B103)</f>
        <v>44683</v>
      </c>
      <c r="C103" s="23">
        <f>SUM('BRN MO'!$B103:C103)</f>
        <v>89366</v>
      </c>
      <c r="D103" s="23">
        <f>SUM('BRN MO'!$B103:D103)</f>
        <v>134049</v>
      </c>
      <c r="E103" s="23">
        <f>SUM('BRN MO'!$B103:E103)</f>
        <v>178732</v>
      </c>
      <c r="F103" s="23">
        <f>SUM('BRN MO'!$B103:F103)</f>
        <v>238877</v>
      </c>
      <c r="G103" s="23">
        <f>SUM('BRN MO'!$B103:G103)</f>
        <v>299022</v>
      </c>
      <c r="H103" s="23">
        <f>SUM('BRN MO'!$B103:H103)</f>
        <v>359167</v>
      </c>
      <c r="I103" s="23">
        <f>SUM('BRN MO'!$B103:I103)</f>
        <v>419312</v>
      </c>
      <c r="J103" s="23">
        <f>SUM('BRN MO'!$B103:J103)</f>
        <v>479457</v>
      </c>
      <c r="K103" s="23">
        <f>SUM('BRN MO'!$B103:K103)</f>
        <v>554140</v>
      </c>
      <c r="L103" s="23">
        <f>SUM('BRN MO'!$B103:L103)</f>
        <v>598823</v>
      </c>
      <c r="M103" s="23">
        <f>SUM('BRN MO'!$B103:M103)</f>
        <v>643508</v>
      </c>
    </row>
    <row r="104" spans="1:13" x14ac:dyDescent="0.2">
      <c r="A104" s="18" t="s">
        <v>47</v>
      </c>
      <c r="B104" s="23">
        <f>SUM('BRN MO'!$B104:B104)</f>
        <v>2975</v>
      </c>
      <c r="C104" s="23">
        <f>SUM('BRN MO'!$B104:C104)</f>
        <v>5950</v>
      </c>
      <c r="D104" s="23">
        <f>SUM('BRN MO'!$B104:D104)</f>
        <v>8925</v>
      </c>
      <c r="E104" s="23">
        <f>SUM('BRN MO'!$B104:E104)</f>
        <v>11900</v>
      </c>
      <c r="F104" s="23">
        <f>SUM('BRN MO'!$B104:F104)</f>
        <v>14875</v>
      </c>
      <c r="G104" s="23">
        <f>SUM('BRN MO'!$B104:G104)</f>
        <v>17850</v>
      </c>
      <c r="H104" s="23">
        <f>SUM('BRN MO'!$B104:H104)</f>
        <v>20825</v>
      </c>
      <c r="I104" s="23">
        <f>SUM('BRN MO'!$B104:I104)</f>
        <v>23800</v>
      </c>
      <c r="J104" s="23">
        <f>SUM('BRN MO'!$B104:J104)</f>
        <v>26775</v>
      </c>
      <c r="K104" s="23">
        <f>SUM('BRN MO'!$B104:K104)</f>
        <v>29750</v>
      </c>
      <c r="L104" s="23">
        <f>SUM('BRN MO'!$B104:L104)</f>
        <v>32725</v>
      </c>
      <c r="M104" s="23">
        <f>SUM('BRN MO'!$B104:M104)</f>
        <v>35700</v>
      </c>
    </row>
    <row r="105" spans="1:13" x14ac:dyDescent="0.2">
      <c r="A105" s="18" t="s">
        <v>2</v>
      </c>
      <c r="B105" s="23">
        <f>SUM('BRN MO'!$B105:B105)</f>
        <v>21093</v>
      </c>
      <c r="C105" s="23">
        <f>SUM('BRN MO'!$B105:C105)</f>
        <v>42186</v>
      </c>
      <c r="D105" s="23">
        <f>SUM('BRN MO'!$B105:D105)</f>
        <v>63279</v>
      </c>
      <c r="E105" s="23">
        <f>SUM('BRN MO'!$B105:E105)</f>
        <v>84372</v>
      </c>
      <c r="F105" s="23">
        <f>SUM('BRN MO'!$B105:F105)</f>
        <v>106215</v>
      </c>
      <c r="G105" s="23">
        <f>SUM('BRN MO'!$B105:G105)</f>
        <v>127885</v>
      </c>
      <c r="H105" s="23">
        <f>SUM('BRN MO'!$B105:H105)</f>
        <v>149555</v>
      </c>
      <c r="I105" s="23">
        <f>SUM('BRN MO'!$B105:I105)</f>
        <v>171225</v>
      </c>
      <c r="J105" s="23">
        <f>SUM('BRN MO'!$B105:J105)</f>
        <v>192895</v>
      </c>
      <c r="K105" s="23">
        <f>SUM('BRN MO'!$B105:K105)</f>
        <v>214565</v>
      </c>
      <c r="L105" s="23">
        <f>SUM('BRN MO'!$B105:L105)</f>
        <v>236235</v>
      </c>
      <c r="M105" s="23">
        <f>SUM('BRN MO'!$B105:M105)</f>
        <v>258355</v>
      </c>
    </row>
    <row r="106" spans="1:13" x14ac:dyDescent="0.2">
      <c r="A106" s="18" t="s">
        <v>95</v>
      </c>
      <c r="B106" s="23">
        <f>SUM('BRN MO'!$B106:B106)</f>
        <v>0</v>
      </c>
      <c r="C106" s="23">
        <f>SUM('BRN MO'!$B106:C106)</f>
        <v>0</v>
      </c>
      <c r="D106" s="23">
        <f>SUM('BRN MO'!$B106:D106)</f>
        <v>0</v>
      </c>
      <c r="E106" s="23">
        <f>SUM('BRN MO'!$B106:E106)</f>
        <v>0</v>
      </c>
      <c r="F106" s="23">
        <f>SUM('BRN MO'!$B106:F106)</f>
        <v>0</v>
      </c>
      <c r="G106" s="23">
        <f>SUM('BRN MO'!$B106:G106)</f>
        <v>0</v>
      </c>
      <c r="H106" s="23">
        <f>SUM('BRN MO'!$B106:H106)</f>
        <v>0</v>
      </c>
      <c r="I106" s="23">
        <f>SUM('BRN MO'!$B106:I106)</f>
        <v>0</v>
      </c>
      <c r="J106" s="23">
        <f>SUM('BRN MO'!$B106:J106)</f>
        <v>0</v>
      </c>
      <c r="K106" s="23">
        <f>SUM('BRN MO'!$B106:K106)</f>
        <v>0</v>
      </c>
      <c r="L106" s="23">
        <f>SUM('BRN MO'!$B106:L106)</f>
        <v>0</v>
      </c>
      <c r="M106" s="23">
        <f>SUM('BRN MO'!$B106:M106)</f>
        <v>0</v>
      </c>
    </row>
    <row r="107" spans="1:13" x14ac:dyDescent="0.2">
      <c r="A107" s="18" t="s">
        <v>72</v>
      </c>
      <c r="B107" s="23">
        <f>SUM('BRN MO'!$B107:B107)</f>
        <v>146</v>
      </c>
      <c r="C107" s="23">
        <f>SUM('BRN MO'!$B107:C107)</f>
        <v>292</v>
      </c>
      <c r="D107" s="23">
        <f>SUM('BRN MO'!$B107:D107)</f>
        <v>438</v>
      </c>
      <c r="E107" s="23">
        <f>SUM('BRN MO'!$B107:E107)</f>
        <v>584</v>
      </c>
      <c r="F107" s="23">
        <f>SUM('BRN MO'!$B107:F107)</f>
        <v>730</v>
      </c>
      <c r="G107" s="23">
        <f>SUM('BRN MO'!$B107:G107)</f>
        <v>876</v>
      </c>
      <c r="H107" s="23">
        <f>SUM('BRN MO'!$B107:H107)</f>
        <v>1022</v>
      </c>
      <c r="I107" s="23">
        <f>SUM('BRN MO'!$B107:I107)</f>
        <v>1168</v>
      </c>
      <c r="J107" s="23">
        <f>SUM('BRN MO'!$B107:J107)</f>
        <v>1314</v>
      </c>
      <c r="K107" s="23">
        <f>SUM('BRN MO'!$B107:K107)</f>
        <v>1460</v>
      </c>
      <c r="L107" s="23">
        <f>SUM('BRN MO'!$B107:L107)</f>
        <v>1606</v>
      </c>
      <c r="M107" s="23">
        <f>SUM('BRN MO'!$B107:M107)</f>
        <v>1750</v>
      </c>
    </row>
    <row r="108" spans="1:13" x14ac:dyDescent="0.2">
      <c r="A108" s="18" t="s">
        <v>48</v>
      </c>
      <c r="B108" s="23">
        <f>SUM('BRN MO'!$B108:B108)</f>
        <v>11143</v>
      </c>
      <c r="C108" s="23">
        <f>SUM('BRN MO'!$B108:C108)</f>
        <v>22286</v>
      </c>
      <c r="D108" s="23">
        <f>SUM('BRN MO'!$B108:D108)</f>
        <v>33429</v>
      </c>
      <c r="E108" s="23">
        <f>SUM('BRN MO'!$B108:E108)</f>
        <v>44572</v>
      </c>
      <c r="F108" s="23">
        <f>SUM('BRN MO'!$B108:F108)</f>
        <v>67972</v>
      </c>
      <c r="G108" s="23">
        <f>SUM('BRN MO'!$B108:G108)</f>
        <v>91372</v>
      </c>
      <c r="H108" s="23">
        <f>SUM('BRN MO'!$B108:H108)</f>
        <v>114772</v>
      </c>
      <c r="I108" s="23">
        <f>SUM('BRN MO'!$B108:I108)</f>
        <v>138172</v>
      </c>
      <c r="J108" s="23">
        <f>SUM('BRN MO'!$B108:J108)</f>
        <v>161572</v>
      </c>
      <c r="K108" s="23">
        <f>SUM('BRN MO'!$B108:K108)</f>
        <v>172715</v>
      </c>
      <c r="L108" s="23">
        <f>SUM('BRN MO'!$B108:L108)</f>
        <v>183858</v>
      </c>
      <c r="M108" s="23">
        <f>SUM('BRN MO'!$B108:M108)</f>
        <v>195000</v>
      </c>
    </row>
    <row r="109" spans="1:13" x14ac:dyDescent="0.2">
      <c r="A109" s="18" t="s">
        <v>74</v>
      </c>
      <c r="B109" s="23">
        <f>SUM('BRN MO'!$B109:B109)</f>
        <v>629</v>
      </c>
      <c r="C109" s="23">
        <f>SUM('BRN MO'!$B109:C109)</f>
        <v>1258</v>
      </c>
      <c r="D109" s="23">
        <f>SUM('BRN MO'!$B109:D109)</f>
        <v>1887</v>
      </c>
      <c r="E109" s="23">
        <f>SUM('BRN MO'!$B109:E109)</f>
        <v>2516</v>
      </c>
      <c r="F109" s="23">
        <f>SUM('BRN MO'!$B109:F109)</f>
        <v>3836</v>
      </c>
      <c r="G109" s="23">
        <f>SUM('BRN MO'!$B109:G109)</f>
        <v>5156</v>
      </c>
      <c r="H109" s="23">
        <f>SUM('BRN MO'!$B109:H109)</f>
        <v>6476</v>
      </c>
      <c r="I109" s="23">
        <f>SUM('BRN MO'!$B109:I109)</f>
        <v>7796</v>
      </c>
      <c r="J109" s="23">
        <f>SUM('BRN MO'!$B109:J109)</f>
        <v>9116</v>
      </c>
      <c r="K109" s="23">
        <f>SUM('BRN MO'!$B109:K109)</f>
        <v>9745</v>
      </c>
      <c r="L109" s="23">
        <f>SUM('BRN MO'!$B109:L109)</f>
        <v>10374</v>
      </c>
      <c r="M109" s="23">
        <f>SUM('BRN MO'!$B109:M109)</f>
        <v>11000</v>
      </c>
    </row>
    <row r="110" spans="1:13" x14ac:dyDescent="0.2">
      <c r="A110" s="18" t="s">
        <v>96</v>
      </c>
      <c r="B110" s="23">
        <f>SUM('BRN MO'!$B110:B110)</f>
        <v>0</v>
      </c>
      <c r="C110" s="23">
        <f>SUM('BRN MO'!$B110:C110)</f>
        <v>0</v>
      </c>
      <c r="D110" s="23">
        <f>SUM('BRN MO'!$B110:D110)</f>
        <v>0</v>
      </c>
      <c r="E110" s="23">
        <f>SUM('BRN MO'!$B110:E110)</f>
        <v>0</v>
      </c>
      <c r="F110" s="23">
        <f>SUM('BRN MO'!$B110:F110)</f>
        <v>0</v>
      </c>
      <c r="G110" s="23">
        <f>SUM('BRN MO'!$B110:G110)</f>
        <v>0</v>
      </c>
      <c r="H110" s="23">
        <f>SUM('BRN MO'!$B110:H110)</f>
        <v>0</v>
      </c>
      <c r="I110" s="23">
        <f>SUM('BRN MO'!$B110:I110)</f>
        <v>0</v>
      </c>
      <c r="J110" s="23">
        <f>SUM('BRN MO'!$B110:J110)</f>
        <v>0</v>
      </c>
      <c r="K110" s="23">
        <f>SUM('BRN MO'!$B110:K110)</f>
        <v>0</v>
      </c>
      <c r="L110" s="23">
        <f>SUM('BRN MO'!$B110:L110)</f>
        <v>0</v>
      </c>
      <c r="M110" s="23">
        <f>SUM('BRN MO'!$B110:M110)</f>
        <v>0</v>
      </c>
    </row>
    <row r="111" spans="1:13" x14ac:dyDescent="0.2">
      <c r="A111" s="18"/>
    </row>
    <row r="112" spans="1:13" x14ac:dyDescent="0.2">
      <c r="A112" s="19" t="s">
        <v>28</v>
      </c>
      <c r="B112" s="27">
        <f>SUM('BRN MO'!$B112:B112)</f>
        <v>93668</v>
      </c>
      <c r="C112" s="27">
        <f>SUM('BRN MO'!$B112:C112)</f>
        <v>187336</v>
      </c>
      <c r="D112" s="27">
        <f>SUM('BRN MO'!$B112:D112)</f>
        <v>296004</v>
      </c>
      <c r="E112" s="27">
        <f>SUM('BRN MO'!$B112:E112)</f>
        <v>395672</v>
      </c>
      <c r="F112" s="27">
        <f>SUM('BRN MO'!$B112:F112)</f>
        <v>559268</v>
      </c>
      <c r="G112" s="27">
        <f>SUM('BRN MO'!$B112:G112)</f>
        <v>707691</v>
      </c>
      <c r="H112" s="27">
        <f>SUM('BRN MO'!$B112:H112)</f>
        <v>856114</v>
      </c>
      <c r="I112" s="27">
        <f>SUM('BRN MO'!$B112:I112)</f>
        <v>1004537</v>
      </c>
      <c r="J112" s="27">
        <f>SUM('BRN MO'!$B112:J112)</f>
        <v>1152960</v>
      </c>
      <c r="K112" s="27">
        <f>SUM('BRN MO'!$B112:K112)</f>
        <v>1283205</v>
      </c>
      <c r="L112" s="27">
        <f>SUM('BRN MO'!$B112:L112)</f>
        <v>1377450</v>
      </c>
      <c r="M112" s="27">
        <f>SUM('BRN MO'!$B112:M112)</f>
        <v>1472153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SUM('BRN MO'!$B114:B114)</f>
        <v>16666.666666666668</v>
      </c>
      <c r="C114" s="25">
        <f>SUM('BRN MO'!$B114:C114)</f>
        <v>33333.333333333336</v>
      </c>
      <c r="D114" s="25">
        <f>SUM('BRN MO'!$B114:D114)</f>
        <v>50000</v>
      </c>
      <c r="E114" s="25">
        <f>SUM('BRN MO'!$B114:E114)</f>
        <v>66666.666666666672</v>
      </c>
      <c r="F114" s="25">
        <f>SUM('BRN MO'!$B114:F114)</f>
        <v>83333.333333333343</v>
      </c>
      <c r="G114" s="25">
        <f>SUM('BRN MO'!$B114:G114)</f>
        <v>100500.33333333334</v>
      </c>
      <c r="H114" s="25">
        <f>SUM('BRN MO'!$B114:H114)</f>
        <v>117667.33333333334</v>
      </c>
      <c r="I114" s="25">
        <f>SUM('BRN MO'!$B114:I114)</f>
        <v>134834.33333333334</v>
      </c>
      <c r="J114" s="25">
        <f>SUM('BRN MO'!$B114:J114)</f>
        <v>152001.33333333334</v>
      </c>
      <c r="K114" s="25">
        <f>SUM('BRN MO'!$B114:K114)</f>
        <v>169168.33333333334</v>
      </c>
      <c r="L114" s="25">
        <f>SUM('BRN MO'!$B114:L114)</f>
        <v>186335.33333333334</v>
      </c>
      <c r="M114" s="25">
        <f>SUM('BRN MO'!$B114:M114)</f>
        <v>203502.33333333334</v>
      </c>
    </row>
    <row r="115" spans="1:13" x14ac:dyDescent="0.2">
      <c r="A115" s="17"/>
    </row>
    <row r="116" spans="1:13" x14ac:dyDescent="0.2">
      <c r="A116" s="17" t="s">
        <v>30</v>
      </c>
      <c r="B116" s="25">
        <f>SUM('BRN MO'!$B116:B116)</f>
        <v>50000</v>
      </c>
      <c r="C116" s="25">
        <f>SUM('BRN MO'!$B116:C116)</f>
        <v>100000</v>
      </c>
      <c r="D116" s="25">
        <f>SUM('BRN MO'!$B116:D116)</f>
        <v>150000</v>
      </c>
      <c r="E116" s="25">
        <f>SUM('BRN MO'!$B116:E116)</f>
        <v>200000</v>
      </c>
      <c r="F116" s="25">
        <f>SUM('BRN MO'!$B116:F116)</f>
        <v>250000</v>
      </c>
      <c r="G116" s="25">
        <f>SUM('BRN MO'!$B116:G116)</f>
        <v>300000</v>
      </c>
      <c r="H116" s="25">
        <f>SUM('BRN MO'!$B116:H116)</f>
        <v>350000</v>
      </c>
      <c r="I116" s="25">
        <f>SUM('BRN MO'!$B116:I116)</f>
        <v>400000</v>
      </c>
      <c r="J116" s="25">
        <f>SUM('BRN MO'!$B116:J116)</f>
        <v>450000</v>
      </c>
      <c r="K116" s="25">
        <f>SUM('BRN MO'!$B116:K116)</f>
        <v>500000</v>
      </c>
      <c r="L116" s="25">
        <f>SUM('BRN MO'!$B116:L116)</f>
        <v>550000</v>
      </c>
      <c r="M116" s="25">
        <f>SUM('BRN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SUM('BRN MO'!$B118:B118)</f>
        <v>160334.66666666669</v>
      </c>
      <c r="C118" s="24">
        <f>SUM('BRN MO'!$B118:C118)</f>
        <v>320669.33333333337</v>
      </c>
      <c r="D118" s="24">
        <f>SUM('BRN MO'!$B118:D118)</f>
        <v>496004.00000000006</v>
      </c>
      <c r="E118" s="24">
        <f>SUM('BRN MO'!$B118:E118)</f>
        <v>662338.66666666674</v>
      </c>
      <c r="F118" s="24">
        <f>SUM('BRN MO'!$B118:F118)</f>
        <v>892601.33333333337</v>
      </c>
      <c r="G118" s="24">
        <f>SUM('BRN MO'!$B118:G118)</f>
        <v>1108191.3333333335</v>
      </c>
      <c r="H118" s="24">
        <f>SUM('BRN MO'!$B118:H118)</f>
        <v>1323781.3333333335</v>
      </c>
      <c r="I118" s="24">
        <f>SUM('BRN MO'!$B118:I118)</f>
        <v>1539371.3333333335</v>
      </c>
      <c r="J118" s="24">
        <f>SUM('BRN MO'!$B118:J118)</f>
        <v>1754961.3333333335</v>
      </c>
      <c r="K118" s="24">
        <f>SUM('BRN MO'!$B118:K118)</f>
        <v>1952373.3333333335</v>
      </c>
      <c r="L118" s="24">
        <f>SUM('BRN MO'!$B118:L118)</f>
        <v>2113785.3333333335</v>
      </c>
      <c r="M118" s="24">
        <f>SUM('BRN MO'!$B118:M118)</f>
        <v>2275655.3333333335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SUM('BRN MO'!$B121:B121)</f>
        <v>18646.666666666668</v>
      </c>
      <c r="C121" s="23">
        <f>SUM('BRN MO'!$B121:C121)</f>
        <v>37293.333333333336</v>
      </c>
      <c r="D121" s="23">
        <f>SUM('BRN MO'!$B121:D121)</f>
        <v>55940</v>
      </c>
      <c r="E121" s="23">
        <f>SUM('BRN MO'!$B121:E121)</f>
        <v>74586.666666666672</v>
      </c>
      <c r="F121" s="23">
        <f>SUM('BRN MO'!$B121:F121)</f>
        <v>93233.333333333343</v>
      </c>
      <c r="G121" s="23">
        <f>SUM('BRN MO'!$B121:G121)</f>
        <v>112439.41666666667</v>
      </c>
      <c r="H121" s="23">
        <f>SUM('BRN MO'!$B121:H121)</f>
        <v>131645.5</v>
      </c>
      <c r="I121" s="23">
        <f>SUM('BRN MO'!$B121:I121)</f>
        <v>150851.58333333334</v>
      </c>
      <c r="J121" s="23">
        <f>SUM('BRN MO'!$B121:J121)</f>
        <v>170057.66666666669</v>
      </c>
      <c r="K121" s="23">
        <f>SUM('BRN MO'!$B121:K121)</f>
        <v>189263.75000000003</v>
      </c>
      <c r="L121" s="23">
        <f>SUM('BRN MO'!$B121:L121)</f>
        <v>208469.83333333337</v>
      </c>
      <c r="M121" s="23">
        <f>SUM('BRN MO'!$B121:M121)</f>
        <v>227675.91666666672</v>
      </c>
    </row>
    <row r="122" spans="1:13" x14ac:dyDescent="0.2">
      <c r="A122" s="3" t="s">
        <v>1</v>
      </c>
      <c r="B122" s="23">
        <f>SUM('BRN MO'!$B122:B122)</f>
        <v>0</v>
      </c>
      <c r="C122" s="23">
        <f>SUM('BRN MO'!$B122:C122)</f>
        <v>0</v>
      </c>
      <c r="D122" s="23">
        <f>SUM('BRN MO'!$B122:D122)</f>
        <v>0</v>
      </c>
      <c r="E122" s="23">
        <f>SUM('BRN MO'!$B122:E122)</f>
        <v>0</v>
      </c>
      <c r="F122" s="23">
        <f>SUM('BRN MO'!$B122:F122)</f>
        <v>0</v>
      </c>
      <c r="G122" s="23">
        <f>SUM('BRN MO'!$B122:G122)</f>
        <v>8333.3333333333339</v>
      </c>
      <c r="H122" s="23">
        <f>SUM('BRN MO'!$B122:H122)</f>
        <v>16666.666666666668</v>
      </c>
      <c r="I122" s="23">
        <f>SUM('BRN MO'!$B122:I122)</f>
        <v>25000</v>
      </c>
      <c r="J122" s="23">
        <f>SUM('BRN MO'!$B122:J122)</f>
        <v>33333.333333333336</v>
      </c>
      <c r="K122" s="23">
        <f>SUM('BRN MO'!$B122:K122)</f>
        <v>41666.666666666672</v>
      </c>
      <c r="L122" s="23">
        <f>SUM('BRN MO'!$B122:L122)</f>
        <v>50000.000000000007</v>
      </c>
      <c r="M122" s="23">
        <f>SUM('BRN MO'!$B122:M122)</f>
        <v>58333.333333333343</v>
      </c>
    </row>
    <row r="123" spans="1:13" x14ac:dyDescent="0.2">
      <c r="A123" s="3" t="s">
        <v>3</v>
      </c>
      <c r="B123" s="23">
        <f>SUM('BRN MO'!$B123:B123)</f>
        <v>8333.3333333333339</v>
      </c>
      <c r="C123" s="23">
        <f>SUM('BRN MO'!$B123:C123)</f>
        <v>16666.666666666668</v>
      </c>
      <c r="D123" s="23">
        <f>SUM('BRN MO'!$B123:D123)</f>
        <v>25000</v>
      </c>
      <c r="E123" s="23">
        <f>SUM('BRN MO'!$B123:E123)</f>
        <v>33333.333333333336</v>
      </c>
      <c r="F123" s="23">
        <f>SUM('BRN MO'!$B123:F123)</f>
        <v>41666.666666666672</v>
      </c>
      <c r="G123" s="23">
        <f>SUM('BRN MO'!$B123:G123)</f>
        <v>50250.000000000007</v>
      </c>
      <c r="H123" s="23">
        <f>SUM('BRN MO'!$B123:H123)</f>
        <v>58833.333333333343</v>
      </c>
      <c r="I123" s="23">
        <f>SUM('BRN MO'!$B123:I123)</f>
        <v>67416.666666666672</v>
      </c>
      <c r="J123" s="23">
        <f>SUM('BRN MO'!$B123:J123)</f>
        <v>76000</v>
      </c>
      <c r="K123" s="23">
        <f>SUM('BRN MO'!$B123:K123)</f>
        <v>84583.333333333328</v>
      </c>
      <c r="L123" s="23">
        <f>SUM('BRN MO'!$B123:L123)</f>
        <v>93166.666666666657</v>
      </c>
      <c r="M123" s="23">
        <f>SUM('BRN MO'!$B123:M123)</f>
        <v>101749.99999999999</v>
      </c>
    </row>
    <row r="124" spans="1:13" x14ac:dyDescent="0.2">
      <c r="A124" s="3" t="s">
        <v>4</v>
      </c>
      <c r="B124" s="23">
        <f>SUM('BRN MO'!$B124:B124)</f>
        <v>2500</v>
      </c>
      <c r="C124" s="23">
        <f>SUM('BRN MO'!$B124:C124)</f>
        <v>5000</v>
      </c>
      <c r="D124" s="23">
        <f>SUM('BRN MO'!$B124:D124)</f>
        <v>7500</v>
      </c>
      <c r="E124" s="23">
        <f>SUM('BRN MO'!$B124:E124)</f>
        <v>10000</v>
      </c>
      <c r="F124" s="23">
        <f>SUM('BRN MO'!$B124:F124)</f>
        <v>12500</v>
      </c>
      <c r="G124" s="23">
        <f>SUM('BRN MO'!$B124:G124)</f>
        <v>15075</v>
      </c>
      <c r="H124" s="23">
        <f>SUM('BRN MO'!$B124:H124)</f>
        <v>17650</v>
      </c>
      <c r="I124" s="23">
        <f>SUM('BRN MO'!$B124:I124)</f>
        <v>20225</v>
      </c>
      <c r="J124" s="23">
        <f>SUM('BRN MO'!$B124:J124)</f>
        <v>22800</v>
      </c>
      <c r="K124" s="23">
        <f>SUM('BRN MO'!$B124:K124)</f>
        <v>25375</v>
      </c>
      <c r="L124" s="23">
        <f>SUM('BRN MO'!$B124:L124)</f>
        <v>27950</v>
      </c>
      <c r="M124" s="23">
        <f>SUM('BRN MO'!$B124:M124)</f>
        <v>30525</v>
      </c>
    </row>
    <row r="125" spans="1:13" x14ac:dyDescent="0.2">
      <c r="A125" s="3" t="s">
        <v>5</v>
      </c>
      <c r="B125" s="23">
        <f>SUM('BRN MO'!$B125:B125)</f>
        <v>6250</v>
      </c>
      <c r="C125" s="23">
        <f>SUM('BRN MO'!$B125:C125)</f>
        <v>12500</v>
      </c>
      <c r="D125" s="23">
        <f>SUM('BRN MO'!$B125:D125)</f>
        <v>18750</v>
      </c>
      <c r="E125" s="23">
        <f>SUM('BRN MO'!$B125:E125)</f>
        <v>25000</v>
      </c>
      <c r="F125" s="23">
        <f>SUM('BRN MO'!$B125:F125)</f>
        <v>31250</v>
      </c>
      <c r="G125" s="23">
        <f>SUM('BRN MO'!$B125:G125)</f>
        <v>37687.5</v>
      </c>
      <c r="H125" s="23">
        <f>SUM('BRN MO'!$B125:H125)</f>
        <v>44125</v>
      </c>
      <c r="I125" s="23">
        <f>SUM('BRN MO'!$B125:I125)</f>
        <v>50562.5</v>
      </c>
      <c r="J125" s="23">
        <f>SUM('BRN MO'!$B125:J125)</f>
        <v>57000</v>
      </c>
      <c r="K125" s="23">
        <f>SUM('BRN MO'!$B125:K125)</f>
        <v>63437.5</v>
      </c>
      <c r="L125" s="23">
        <f>SUM('BRN MO'!$B125:L125)</f>
        <v>69875</v>
      </c>
      <c r="M125" s="23">
        <f>SUM('BRN MO'!$B125:M125)</f>
        <v>76312.5</v>
      </c>
    </row>
    <row r="126" spans="1:13" x14ac:dyDescent="0.2">
      <c r="A126" s="3" t="s">
        <v>14</v>
      </c>
      <c r="B126" s="23">
        <f>SUM('BRN MO'!$B126:B126)</f>
        <v>0</v>
      </c>
      <c r="C126" s="23">
        <f>SUM('BRN MO'!$B126:C126)</f>
        <v>0</v>
      </c>
      <c r="D126" s="23">
        <f>SUM('BRN MO'!$B126:D126)</f>
        <v>0</v>
      </c>
      <c r="E126" s="23">
        <f>SUM('BRN MO'!$B126:E126)</f>
        <v>0</v>
      </c>
      <c r="F126" s="23">
        <f>SUM('BRN MO'!$B126:F126)</f>
        <v>0</v>
      </c>
      <c r="G126" s="23">
        <f>SUM('BRN MO'!$B126:G126)</f>
        <v>0</v>
      </c>
      <c r="H126" s="23">
        <f>SUM('BRN MO'!$B126:H126)</f>
        <v>0</v>
      </c>
      <c r="I126" s="23">
        <f>SUM('BRN MO'!$B126:I126)</f>
        <v>0</v>
      </c>
      <c r="J126" s="23">
        <f>SUM('BRN MO'!$B126:J126)</f>
        <v>0</v>
      </c>
      <c r="K126" s="23">
        <f>SUM('BRN MO'!$B126:K126)</f>
        <v>0</v>
      </c>
      <c r="L126" s="23">
        <f>SUM('BRN MO'!$B126:L126)</f>
        <v>0</v>
      </c>
      <c r="M126" s="23">
        <f>SUM('BRN MO'!$B126:M126)</f>
        <v>0</v>
      </c>
    </row>
    <row r="127" spans="1:13" x14ac:dyDescent="0.2">
      <c r="A127" s="3"/>
      <c r="B127" s="23">
        <f>SUM('BRN MO'!$B127:B127)</f>
        <v>0</v>
      </c>
      <c r="C127" s="23">
        <f>SUM('BRN MO'!$B127:C127)</f>
        <v>0</v>
      </c>
      <c r="D127" s="23">
        <f>SUM('BRN MO'!$B127:D127)</f>
        <v>0</v>
      </c>
      <c r="E127" s="23">
        <f>SUM('BRN MO'!$B127:E127)</f>
        <v>0</v>
      </c>
      <c r="F127" s="23">
        <f>SUM('BRN MO'!$B127:F127)</f>
        <v>0</v>
      </c>
      <c r="G127" s="23">
        <f>SUM('BRN MO'!$B127:G127)</f>
        <v>0</v>
      </c>
      <c r="H127" s="23">
        <f>SUM('BRN MO'!$B127:H127)</f>
        <v>0</v>
      </c>
      <c r="I127" s="23">
        <f>SUM('BRN MO'!$B127:I127)</f>
        <v>0</v>
      </c>
      <c r="J127" s="23">
        <f>SUM('BRN MO'!$B127:J127)</f>
        <v>0</v>
      </c>
      <c r="K127" s="23">
        <f>SUM('BRN MO'!$B127:K127)</f>
        <v>0</v>
      </c>
      <c r="L127" s="23">
        <f>SUM('BRN MO'!$B127:L127)</f>
        <v>0</v>
      </c>
      <c r="M127" s="23">
        <f>SUM('BRN MO'!$B127:M127)</f>
        <v>0</v>
      </c>
    </row>
    <row r="128" spans="1:13" ht="13.5" thickBot="1" x14ac:dyDescent="0.25">
      <c r="A128" s="4" t="s">
        <v>15</v>
      </c>
      <c r="B128" s="28">
        <f>SUM('BRN MO'!$B128:B128)</f>
        <v>35730</v>
      </c>
      <c r="C128" s="28">
        <f>SUM('BRN MO'!$B128:C128)</f>
        <v>71460</v>
      </c>
      <c r="D128" s="28">
        <f>SUM('BRN MO'!$B128:D128)</f>
        <v>107190</v>
      </c>
      <c r="E128" s="28">
        <f>SUM('BRN MO'!$B128:E128)</f>
        <v>142920</v>
      </c>
      <c r="F128" s="28">
        <f>SUM('BRN MO'!$B128:F128)</f>
        <v>178650</v>
      </c>
      <c r="G128" s="28">
        <f>SUM('BRN MO'!$B128:G128)</f>
        <v>223785.25</v>
      </c>
      <c r="H128" s="28">
        <f>SUM('BRN MO'!$B128:H128)</f>
        <v>268920.5</v>
      </c>
      <c r="I128" s="28">
        <f>SUM('BRN MO'!$B128:I128)</f>
        <v>314055.75</v>
      </c>
      <c r="J128" s="28">
        <f>SUM('BRN MO'!$B128:J128)</f>
        <v>359191</v>
      </c>
      <c r="K128" s="28">
        <f>SUM('BRN MO'!$B128:K128)</f>
        <v>404326.25</v>
      </c>
      <c r="L128" s="28">
        <f>SUM('BRN MO'!$B128:L128)</f>
        <v>449461.5</v>
      </c>
      <c r="M128" s="28">
        <f>SUM('BRN MO'!$B128:M128)</f>
        <v>494596.75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SUM('BRN MO'!$B131:B131)</f>
        <v>0</v>
      </c>
      <c r="C131" s="23">
        <f>SUM('BRN MO'!$B131:C131)</f>
        <v>0</v>
      </c>
      <c r="D131" s="23">
        <f>SUM('BRN MO'!$B131:D131)</f>
        <v>0</v>
      </c>
      <c r="E131" s="23">
        <f>SUM('BRN MO'!$B131:E131)</f>
        <v>0</v>
      </c>
      <c r="F131" s="23">
        <f>SUM('BRN MO'!$B131:F131)</f>
        <v>0</v>
      </c>
      <c r="G131" s="23">
        <f>SUM('BRN MO'!$B131:G131)</f>
        <v>0</v>
      </c>
      <c r="H131" s="23">
        <f>SUM('BRN MO'!$B131:H131)</f>
        <v>0</v>
      </c>
      <c r="I131" s="23">
        <f>SUM('BRN MO'!$B131:I131)</f>
        <v>0</v>
      </c>
      <c r="J131" s="23">
        <f>SUM('BRN MO'!$B131:J131)</f>
        <v>0</v>
      </c>
      <c r="K131" s="23">
        <f>SUM('BRN MO'!$B131:K131)</f>
        <v>0</v>
      </c>
      <c r="L131" s="23">
        <f>SUM('BRN MO'!$B131:L131)</f>
        <v>0</v>
      </c>
      <c r="M131" s="23">
        <f>SUM('BRN MO'!$B131:M131)</f>
        <v>0</v>
      </c>
    </row>
    <row r="132" spans="1:13" x14ac:dyDescent="0.2">
      <c r="A132" s="3" t="s">
        <v>7</v>
      </c>
      <c r="B132" s="23">
        <f>SUM('BRN MO'!$B132:B132)</f>
        <v>572000</v>
      </c>
      <c r="C132" s="23">
        <f>SUM('BRN MO'!$B132:C132)</f>
        <v>1148000</v>
      </c>
      <c r="D132" s="23">
        <f>SUM('BRN MO'!$B132:D132)</f>
        <v>1734000</v>
      </c>
      <c r="E132" s="23">
        <f>SUM('BRN MO'!$B132:E132)</f>
        <v>2317000</v>
      </c>
      <c r="F132" s="23">
        <f>SUM('BRN MO'!$B132:F132)</f>
        <v>2902000</v>
      </c>
      <c r="G132" s="23">
        <f>SUM('BRN MO'!$B132:G132)</f>
        <v>3483000</v>
      </c>
      <c r="H132" s="23">
        <f>SUM('BRN MO'!$B132:H132)</f>
        <v>4064000</v>
      </c>
      <c r="I132" s="23">
        <f>SUM('BRN MO'!$B132:I132)</f>
        <v>4648000</v>
      </c>
      <c r="J132" s="23">
        <f>SUM('BRN MO'!$B132:J132)</f>
        <v>5230000</v>
      </c>
      <c r="K132" s="23">
        <f>SUM('BRN MO'!$B132:K132)</f>
        <v>5816000</v>
      </c>
      <c r="L132" s="23">
        <f>SUM('BRN MO'!$B132:L132)</f>
        <v>6405000</v>
      </c>
      <c r="M132" s="23">
        <f>SUM('BRN MO'!$B132:M132)</f>
        <v>6998000</v>
      </c>
    </row>
    <row r="133" spans="1:13" x14ac:dyDescent="0.2">
      <c r="A133" s="3" t="s">
        <v>8</v>
      </c>
      <c r="B133" s="23">
        <f>SUM('BRN MO'!$B133:B133)</f>
        <v>315000</v>
      </c>
      <c r="C133" s="23">
        <f>SUM('BRN MO'!$B133:C133)</f>
        <v>630000</v>
      </c>
      <c r="D133" s="23">
        <f>SUM('BRN MO'!$B133:D133)</f>
        <v>945000</v>
      </c>
      <c r="E133" s="23">
        <f>SUM('BRN MO'!$B133:E133)</f>
        <v>1260000</v>
      </c>
      <c r="F133" s="23">
        <f>SUM('BRN MO'!$B133:F133)</f>
        <v>1575000</v>
      </c>
      <c r="G133" s="23">
        <f>SUM('BRN MO'!$B133:G133)</f>
        <v>1890000</v>
      </c>
      <c r="H133" s="23">
        <f>SUM('BRN MO'!$B133:H133)</f>
        <v>2205000</v>
      </c>
      <c r="I133" s="23">
        <f>SUM('BRN MO'!$B133:I133)</f>
        <v>2520000</v>
      </c>
      <c r="J133" s="23">
        <f>SUM('BRN MO'!$B133:J133)</f>
        <v>2835000</v>
      </c>
      <c r="K133" s="23">
        <f>SUM('BRN MO'!$B133:K133)</f>
        <v>3150000</v>
      </c>
      <c r="L133" s="23">
        <f>SUM('BRN MO'!$B133:L133)</f>
        <v>3465000</v>
      </c>
      <c r="M133" s="23">
        <f>SUM('BRN MO'!$B133:M133)</f>
        <v>3784000</v>
      </c>
    </row>
    <row r="134" spans="1:13" x14ac:dyDescent="0.2">
      <c r="A134" s="3"/>
      <c r="B134" s="23">
        <f>SUM('BRN MO'!$B134:B134)</f>
        <v>0</v>
      </c>
      <c r="C134" s="23">
        <f>SUM('BRN MO'!$B134:C134)</f>
        <v>0</v>
      </c>
      <c r="D134" s="23">
        <f>SUM('BRN MO'!$B134:D134)</f>
        <v>0</v>
      </c>
      <c r="E134" s="23">
        <f>SUM('BRN MO'!$B134:E134)</f>
        <v>0</v>
      </c>
      <c r="F134" s="23">
        <f>SUM('BRN MO'!$B134:F134)</f>
        <v>0</v>
      </c>
      <c r="G134" s="23">
        <f>SUM('BRN MO'!$B134:G134)</f>
        <v>0</v>
      </c>
      <c r="H134" s="23">
        <f>SUM('BRN MO'!$B134:H134)</f>
        <v>0</v>
      </c>
      <c r="I134" s="23">
        <f>SUM('BRN MO'!$B134:I134)</f>
        <v>0</v>
      </c>
      <c r="J134" s="23">
        <f>SUM('BRN MO'!$B134:J134)</f>
        <v>0</v>
      </c>
      <c r="K134" s="23">
        <f>SUM('BRN MO'!$B134:K134)</f>
        <v>0</v>
      </c>
      <c r="L134" s="23">
        <f>SUM('BRN MO'!$B134:L134)</f>
        <v>0</v>
      </c>
      <c r="M134" s="23">
        <f>SUM('BRN MO'!$B134:M134)</f>
        <v>0</v>
      </c>
    </row>
    <row r="135" spans="1:13" ht="13.5" thickBot="1" x14ac:dyDescent="0.25">
      <c r="A135" s="4" t="s">
        <v>17</v>
      </c>
      <c r="B135" s="28">
        <f>SUM('BRN MO'!$B135:B135)</f>
        <v>887000</v>
      </c>
      <c r="C135" s="28">
        <f>SUM('BRN MO'!$B135:C135)</f>
        <v>1778000</v>
      </c>
      <c r="D135" s="28">
        <f>SUM('BRN MO'!$B135:D135)</f>
        <v>2679000</v>
      </c>
      <c r="E135" s="28">
        <f>SUM('BRN MO'!$B135:E135)</f>
        <v>3577000</v>
      </c>
      <c r="F135" s="28">
        <f>SUM('BRN MO'!$B135:F135)</f>
        <v>4477000</v>
      </c>
      <c r="G135" s="28">
        <f>SUM('BRN MO'!$B135:G135)</f>
        <v>5373000</v>
      </c>
      <c r="H135" s="28">
        <f>SUM('BRN MO'!$B135:H135)</f>
        <v>6269000</v>
      </c>
      <c r="I135" s="28">
        <f>SUM('BRN MO'!$B135:I135)</f>
        <v>7168000</v>
      </c>
      <c r="J135" s="28">
        <f>SUM('BRN MO'!$B135:J135)</f>
        <v>8065000</v>
      </c>
      <c r="K135" s="28">
        <f>SUM('BRN MO'!$B135:K135)</f>
        <v>8966000</v>
      </c>
      <c r="L135" s="28">
        <f>SUM('BRN MO'!$B135:L135)</f>
        <v>9870000</v>
      </c>
      <c r="M135" s="28">
        <f>SUM('BRN MO'!$B135:M135)</f>
        <v>10782000</v>
      </c>
    </row>
    <row r="137" spans="1:13" ht="13.5" thickBot="1" x14ac:dyDescent="0.25">
      <c r="A137" s="1" t="s">
        <v>13</v>
      </c>
      <c r="B137" s="29">
        <f>SUM('BRN MO'!$B137:B137)</f>
        <v>1083064.6666666667</v>
      </c>
      <c r="C137" s="29">
        <f>SUM('BRN MO'!$B137:C137)</f>
        <v>2170129.3333333335</v>
      </c>
      <c r="D137" s="29">
        <f>SUM('BRN MO'!$B137:D137)</f>
        <v>3282194</v>
      </c>
      <c r="E137" s="29">
        <f>SUM('BRN MO'!$B137:E137)</f>
        <v>4382258.666666667</v>
      </c>
      <c r="F137" s="29">
        <f>SUM('BRN MO'!$B137:F137)</f>
        <v>5548251.333333334</v>
      </c>
      <c r="G137" s="29">
        <f>SUM('BRN MO'!$B137:G137)</f>
        <v>6704976.583333334</v>
      </c>
      <c r="H137" s="29">
        <f>SUM('BRN MO'!$B137:H137)</f>
        <v>7861701.833333334</v>
      </c>
      <c r="I137" s="29">
        <f>SUM('BRN MO'!$B137:I137)</f>
        <v>9021427.083333334</v>
      </c>
      <c r="J137" s="29">
        <f>SUM('BRN MO'!$B137:J137)</f>
        <v>10179152.333333334</v>
      </c>
      <c r="K137" s="29">
        <f>SUM('BRN MO'!$B137:K137)</f>
        <v>11322699.583333334</v>
      </c>
      <c r="L137" s="29">
        <f>SUM('BRN MO'!$B137:L137)</f>
        <v>12433246.833333334</v>
      </c>
      <c r="M137" s="29">
        <f>SUM('BRN MO'!$B137:M137)</f>
        <v>13552252.083333334</v>
      </c>
    </row>
    <row r="138" spans="1:13" ht="13.5" thickTop="1" x14ac:dyDescent="0.2"/>
    <row r="141" spans="1:13" ht="15.75" x14ac:dyDescent="0.25">
      <c r="A141" s="43" t="str">
        <f>+A1</f>
        <v>GENCO - Brownsville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75" x14ac:dyDescent="0.25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75" x14ac:dyDescent="0.25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36697.4890556713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1">+B80-B10</f>
        <v>0</v>
      </c>
      <c r="C150" s="24">
        <f t="shared" si="1"/>
        <v>0</v>
      </c>
      <c r="D150" s="24">
        <f t="shared" si="1"/>
        <v>0</v>
      </c>
      <c r="E150" s="24">
        <f t="shared" si="1"/>
        <v>0</v>
      </c>
      <c r="F150" s="24">
        <f t="shared" si="1"/>
        <v>0</v>
      </c>
      <c r="G150" s="24">
        <f t="shared" si="1"/>
        <v>0</v>
      </c>
      <c r="H150" s="24">
        <f t="shared" si="1"/>
        <v>0</v>
      </c>
      <c r="I150" s="24">
        <f t="shared" si="1"/>
        <v>0</v>
      </c>
      <c r="J150" s="24">
        <f t="shared" si="1"/>
        <v>0</v>
      </c>
      <c r="K150" s="24">
        <f t="shared" si="1"/>
        <v>0</v>
      </c>
      <c r="L150" s="24">
        <f t="shared" si="1"/>
        <v>0</v>
      </c>
      <c r="M150" s="24">
        <f t="shared" si="1"/>
        <v>0</v>
      </c>
    </row>
    <row r="152" spans="1:13" x14ac:dyDescent="0.2">
      <c r="A152" s="1" t="s">
        <v>10</v>
      </c>
    </row>
    <row r="153" spans="1:13" x14ac:dyDescent="0.2">
      <c r="A153" s="17" t="s">
        <v>49</v>
      </c>
    </row>
    <row r="154" spans="1:13" x14ac:dyDescent="0.2">
      <c r="A154" s="18" t="s">
        <v>87</v>
      </c>
      <c r="B154" s="23">
        <f t="shared" ref="B154:B178" si="2">B84-B14</f>
        <v>0</v>
      </c>
      <c r="C154" s="23">
        <f t="shared" ref="C154:M154" si="3">C84-C14</f>
        <v>0</v>
      </c>
      <c r="D154" s="23">
        <f t="shared" si="3"/>
        <v>0</v>
      </c>
      <c r="E154" s="23">
        <f t="shared" si="3"/>
        <v>0</v>
      </c>
      <c r="F154" s="23">
        <f t="shared" si="3"/>
        <v>0</v>
      </c>
      <c r="G154" s="23">
        <f t="shared" si="3"/>
        <v>0</v>
      </c>
      <c r="H154" s="23">
        <f t="shared" si="3"/>
        <v>0</v>
      </c>
      <c r="I154" s="23">
        <f t="shared" si="3"/>
        <v>0</v>
      </c>
      <c r="J154" s="23">
        <f t="shared" si="3"/>
        <v>0</v>
      </c>
      <c r="K154" s="23">
        <f t="shared" si="3"/>
        <v>0</v>
      </c>
      <c r="L154" s="23">
        <f t="shared" si="3"/>
        <v>0</v>
      </c>
      <c r="M154" s="23">
        <f t="shared" si="3"/>
        <v>0</v>
      </c>
    </row>
    <row r="155" spans="1:13" x14ac:dyDescent="0.2">
      <c r="A155" s="18" t="s">
        <v>63</v>
      </c>
      <c r="B155" s="23">
        <f t="shared" si="2"/>
        <v>543</v>
      </c>
      <c r="C155" s="23">
        <f t="shared" ref="C155:M155" si="4">C85-C15</f>
        <v>1086</v>
      </c>
      <c r="D155" s="23">
        <f t="shared" si="4"/>
        <v>1629</v>
      </c>
      <c r="E155" s="23">
        <f t="shared" si="4"/>
        <v>2172</v>
      </c>
      <c r="F155" s="23">
        <f t="shared" si="4"/>
        <v>2172</v>
      </c>
      <c r="G155" s="23">
        <f t="shared" si="4"/>
        <v>2172</v>
      </c>
      <c r="H155" s="23">
        <f t="shared" si="4"/>
        <v>2172</v>
      </c>
      <c r="I155" s="23">
        <f t="shared" si="4"/>
        <v>2172</v>
      </c>
      <c r="J155" s="23">
        <f t="shared" si="4"/>
        <v>2172</v>
      </c>
      <c r="K155" s="23">
        <f t="shared" si="4"/>
        <v>2172</v>
      </c>
      <c r="L155" s="23">
        <f t="shared" si="4"/>
        <v>2172</v>
      </c>
      <c r="M155" s="23">
        <f t="shared" si="4"/>
        <v>2172</v>
      </c>
    </row>
    <row r="156" spans="1:13" x14ac:dyDescent="0.2">
      <c r="A156" s="18" t="s">
        <v>88</v>
      </c>
      <c r="B156" s="23">
        <f t="shared" si="2"/>
        <v>0</v>
      </c>
      <c r="C156" s="23">
        <f t="shared" ref="C156:M156" si="5">C86-C16</f>
        <v>0</v>
      </c>
      <c r="D156" s="23">
        <f t="shared" si="5"/>
        <v>0</v>
      </c>
      <c r="E156" s="23">
        <f t="shared" si="5"/>
        <v>0</v>
      </c>
      <c r="F156" s="23">
        <f t="shared" si="5"/>
        <v>0</v>
      </c>
      <c r="G156" s="23">
        <f t="shared" si="5"/>
        <v>0</v>
      </c>
      <c r="H156" s="23">
        <f t="shared" si="5"/>
        <v>0</v>
      </c>
      <c r="I156" s="23">
        <f t="shared" si="5"/>
        <v>0</v>
      </c>
      <c r="J156" s="23">
        <f t="shared" si="5"/>
        <v>0</v>
      </c>
      <c r="K156" s="23">
        <f t="shared" si="5"/>
        <v>0</v>
      </c>
      <c r="L156" s="23">
        <f t="shared" si="5"/>
        <v>0</v>
      </c>
      <c r="M156" s="23">
        <f t="shared" si="5"/>
        <v>0</v>
      </c>
    </row>
    <row r="157" spans="1:13" x14ac:dyDescent="0.2">
      <c r="A157" s="18" t="s">
        <v>89</v>
      </c>
      <c r="B157" s="23">
        <f t="shared" si="2"/>
        <v>0</v>
      </c>
      <c r="C157" s="23">
        <f t="shared" ref="C157:M157" si="6">C87-C17</f>
        <v>0</v>
      </c>
      <c r="D157" s="23">
        <f t="shared" si="6"/>
        <v>0</v>
      </c>
      <c r="E157" s="23">
        <f t="shared" si="6"/>
        <v>0</v>
      </c>
      <c r="F157" s="23">
        <f t="shared" si="6"/>
        <v>0</v>
      </c>
      <c r="G157" s="23">
        <f t="shared" si="6"/>
        <v>0</v>
      </c>
      <c r="H157" s="23">
        <f t="shared" si="6"/>
        <v>0</v>
      </c>
      <c r="I157" s="23">
        <f t="shared" si="6"/>
        <v>0</v>
      </c>
      <c r="J157" s="23">
        <f t="shared" si="6"/>
        <v>0</v>
      </c>
      <c r="K157" s="23">
        <f t="shared" si="6"/>
        <v>0</v>
      </c>
      <c r="L157" s="23">
        <f t="shared" si="6"/>
        <v>0</v>
      </c>
      <c r="M157" s="23">
        <f t="shared" si="6"/>
        <v>0</v>
      </c>
    </row>
    <row r="158" spans="1:13" x14ac:dyDescent="0.2">
      <c r="A158" s="18" t="s">
        <v>90</v>
      </c>
      <c r="B158" s="23">
        <f t="shared" si="2"/>
        <v>0</v>
      </c>
      <c r="C158" s="23">
        <f t="shared" ref="C158:M158" si="7">C88-C18</f>
        <v>0</v>
      </c>
      <c r="D158" s="23">
        <f t="shared" si="7"/>
        <v>0</v>
      </c>
      <c r="E158" s="23">
        <f t="shared" si="7"/>
        <v>0</v>
      </c>
      <c r="F158" s="23">
        <f t="shared" si="7"/>
        <v>0</v>
      </c>
      <c r="G158" s="23">
        <f t="shared" si="7"/>
        <v>0</v>
      </c>
      <c r="H158" s="23">
        <f t="shared" si="7"/>
        <v>0</v>
      </c>
      <c r="I158" s="23">
        <f t="shared" si="7"/>
        <v>0</v>
      </c>
      <c r="J158" s="23">
        <f t="shared" si="7"/>
        <v>0</v>
      </c>
      <c r="K158" s="23">
        <f t="shared" si="7"/>
        <v>0</v>
      </c>
      <c r="L158" s="23">
        <f t="shared" si="7"/>
        <v>0</v>
      </c>
      <c r="M158" s="23">
        <f t="shared" si="7"/>
        <v>0</v>
      </c>
    </row>
    <row r="159" spans="1:13" x14ac:dyDescent="0.2">
      <c r="A159" s="18" t="s">
        <v>64</v>
      </c>
      <c r="B159" s="23">
        <f t="shared" si="2"/>
        <v>0</v>
      </c>
      <c r="C159" s="23">
        <f t="shared" ref="C159:M159" si="8">C89-C19</f>
        <v>0</v>
      </c>
      <c r="D159" s="23">
        <f t="shared" si="8"/>
        <v>0</v>
      </c>
      <c r="E159" s="23">
        <f t="shared" si="8"/>
        <v>0</v>
      </c>
      <c r="F159" s="23">
        <f t="shared" si="8"/>
        <v>0</v>
      </c>
      <c r="G159" s="23">
        <f t="shared" si="8"/>
        <v>0</v>
      </c>
      <c r="H159" s="23">
        <f t="shared" si="8"/>
        <v>0</v>
      </c>
      <c r="I159" s="23">
        <f t="shared" si="8"/>
        <v>0</v>
      </c>
      <c r="J159" s="23">
        <f t="shared" si="8"/>
        <v>0</v>
      </c>
      <c r="K159" s="23">
        <f t="shared" si="8"/>
        <v>0</v>
      </c>
      <c r="L159" s="23">
        <f t="shared" si="8"/>
        <v>0</v>
      </c>
      <c r="M159" s="23">
        <f t="shared" si="8"/>
        <v>0</v>
      </c>
    </row>
    <row r="160" spans="1:13" x14ac:dyDescent="0.2">
      <c r="A160" s="18" t="s">
        <v>91</v>
      </c>
      <c r="B160" s="23">
        <f t="shared" si="2"/>
        <v>0</v>
      </c>
      <c r="C160" s="23">
        <f t="shared" ref="C160:M160" si="9">C90-C20</f>
        <v>0</v>
      </c>
      <c r="D160" s="23">
        <f t="shared" si="9"/>
        <v>0</v>
      </c>
      <c r="E160" s="23">
        <f t="shared" si="9"/>
        <v>0</v>
      </c>
      <c r="F160" s="23">
        <f t="shared" si="9"/>
        <v>0</v>
      </c>
      <c r="G160" s="23">
        <f t="shared" si="9"/>
        <v>0</v>
      </c>
      <c r="H160" s="23">
        <f t="shared" si="9"/>
        <v>0</v>
      </c>
      <c r="I160" s="23">
        <f t="shared" si="9"/>
        <v>0</v>
      </c>
      <c r="J160" s="23">
        <f t="shared" si="9"/>
        <v>0</v>
      </c>
      <c r="K160" s="23">
        <f t="shared" si="9"/>
        <v>0</v>
      </c>
      <c r="L160" s="23">
        <f t="shared" si="9"/>
        <v>0</v>
      </c>
      <c r="M160" s="23">
        <f t="shared" si="9"/>
        <v>0</v>
      </c>
    </row>
    <row r="161" spans="1:13" x14ac:dyDescent="0.2">
      <c r="A161" s="18" t="s">
        <v>92</v>
      </c>
      <c r="B161" s="23">
        <f t="shared" si="2"/>
        <v>743</v>
      </c>
      <c r="C161" s="23">
        <f t="shared" ref="C161:M161" si="10">C91-C21</f>
        <v>1486</v>
      </c>
      <c r="D161" s="23">
        <f t="shared" si="10"/>
        <v>2229</v>
      </c>
      <c r="E161" s="23">
        <f t="shared" si="10"/>
        <v>2972</v>
      </c>
      <c r="F161" s="23">
        <f t="shared" si="10"/>
        <v>2972</v>
      </c>
      <c r="G161" s="23">
        <f t="shared" si="10"/>
        <v>2972</v>
      </c>
      <c r="H161" s="23">
        <f t="shared" si="10"/>
        <v>2972</v>
      </c>
      <c r="I161" s="23">
        <f t="shared" si="10"/>
        <v>2972</v>
      </c>
      <c r="J161" s="23">
        <f t="shared" si="10"/>
        <v>2972</v>
      </c>
      <c r="K161" s="23">
        <f t="shared" si="10"/>
        <v>2972</v>
      </c>
      <c r="L161" s="23">
        <f t="shared" si="10"/>
        <v>2972</v>
      </c>
      <c r="M161" s="23">
        <f t="shared" si="10"/>
        <v>2972</v>
      </c>
    </row>
    <row r="162" spans="1:13" x14ac:dyDescent="0.2">
      <c r="A162" s="18" t="s">
        <v>65</v>
      </c>
      <c r="B162" s="23">
        <f t="shared" si="2"/>
        <v>458</v>
      </c>
      <c r="C162" s="23">
        <f t="shared" ref="C162:M162" si="11">C92-C22</f>
        <v>916</v>
      </c>
      <c r="D162" s="23">
        <f t="shared" si="11"/>
        <v>1374</v>
      </c>
      <c r="E162" s="23">
        <f t="shared" si="11"/>
        <v>1832</v>
      </c>
      <c r="F162" s="23">
        <f t="shared" si="11"/>
        <v>1832</v>
      </c>
      <c r="G162" s="23">
        <f t="shared" si="11"/>
        <v>1832</v>
      </c>
      <c r="H162" s="23">
        <f t="shared" si="11"/>
        <v>1832</v>
      </c>
      <c r="I162" s="23">
        <f t="shared" si="11"/>
        <v>1832</v>
      </c>
      <c r="J162" s="23">
        <f t="shared" si="11"/>
        <v>1832</v>
      </c>
      <c r="K162" s="23">
        <f t="shared" si="11"/>
        <v>1832</v>
      </c>
      <c r="L162" s="23">
        <f t="shared" si="11"/>
        <v>1832</v>
      </c>
      <c r="M162" s="23">
        <f t="shared" si="11"/>
        <v>1832</v>
      </c>
    </row>
    <row r="163" spans="1:13" x14ac:dyDescent="0.2">
      <c r="A163" s="18" t="s">
        <v>45</v>
      </c>
      <c r="B163" s="23">
        <f t="shared" si="2"/>
        <v>457</v>
      </c>
      <c r="C163" s="23">
        <f t="shared" ref="C163:M163" si="12">C93-C23</f>
        <v>-4536</v>
      </c>
      <c r="D163" s="23">
        <f t="shared" si="12"/>
        <v>-11331</v>
      </c>
      <c r="E163" s="23">
        <f t="shared" si="12"/>
        <v>-4874</v>
      </c>
      <c r="F163" s="23">
        <f t="shared" si="12"/>
        <v>-4874</v>
      </c>
      <c r="G163" s="23">
        <f t="shared" si="12"/>
        <v>-4874</v>
      </c>
      <c r="H163" s="23">
        <f t="shared" si="12"/>
        <v>-4874</v>
      </c>
      <c r="I163" s="23">
        <f t="shared" si="12"/>
        <v>-4874</v>
      </c>
      <c r="J163" s="23">
        <f t="shared" si="12"/>
        <v>-4874</v>
      </c>
      <c r="K163" s="23">
        <f t="shared" si="12"/>
        <v>-4874</v>
      </c>
      <c r="L163" s="23">
        <f t="shared" si="12"/>
        <v>-4874</v>
      </c>
      <c r="M163" s="23">
        <f t="shared" si="12"/>
        <v>-4874</v>
      </c>
    </row>
    <row r="164" spans="1:13" x14ac:dyDescent="0.2">
      <c r="A164" s="18" t="s">
        <v>66</v>
      </c>
      <c r="B164" s="23">
        <f t="shared" si="2"/>
        <v>86</v>
      </c>
      <c r="C164" s="23">
        <f t="shared" ref="C164:M164" si="13">C94-C24</f>
        <v>172</v>
      </c>
      <c r="D164" s="23">
        <f t="shared" si="13"/>
        <v>258</v>
      </c>
      <c r="E164" s="23">
        <f t="shared" si="13"/>
        <v>344</v>
      </c>
      <c r="F164" s="23">
        <f t="shared" si="13"/>
        <v>344</v>
      </c>
      <c r="G164" s="23">
        <f t="shared" si="13"/>
        <v>344</v>
      </c>
      <c r="H164" s="23">
        <f t="shared" si="13"/>
        <v>344</v>
      </c>
      <c r="I164" s="23">
        <f t="shared" si="13"/>
        <v>344</v>
      </c>
      <c r="J164" s="23">
        <f t="shared" si="13"/>
        <v>344</v>
      </c>
      <c r="K164" s="23">
        <f t="shared" si="13"/>
        <v>344</v>
      </c>
      <c r="L164" s="23">
        <f t="shared" si="13"/>
        <v>344</v>
      </c>
      <c r="M164" s="23">
        <f t="shared" si="13"/>
        <v>344</v>
      </c>
    </row>
    <row r="165" spans="1:13" x14ac:dyDescent="0.2">
      <c r="A165" s="18" t="s">
        <v>67</v>
      </c>
      <c r="B165" s="23">
        <f t="shared" si="2"/>
        <v>286</v>
      </c>
      <c r="C165" s="23">
        <f t="shared" ref="C165:M165" si="14">C95-C25</f>
        <v>572</v>
      </c>
      <c r="D165" s="23">
        <f t="shared" si="14"/>
        <v>858</v>
      </c>
      <c r="E165" s="23">
        <f t="shared" si="14"/>
        <v>1144</v>
      </c>
      <c r="F165" s="23">
        <f t="shared" si="14"/>
        <v>1144</v>
      </c>
      <c r="G165" s="23">
        <f t="shared" si="14"/>
        <v>1144</v>
      </c>
      <c r="H165" s="23">
        <f t="shared" si="14"/>
        <v>1144</v>
      </c>
      <c r="I165" s="23">
        <f t="shared" si="14"/>
        <v>1144</v>
      </c>
      <c r="J165" s="23">
        <f t="shared" si="14"/>
        <v>1144</v>
      </c>
      <c r="K165" s="23">
        <f t="shared" si="14"/>
        <v>1144</v>
      </c>
      <c r="L165" s="23">
        <f t="shared" si="14"/>
        <v>1144</v>
      </c>
      <c r="M165" s="23">
        <f t="shared" si="14"/>
        <v>1144</v>
      </c>
    </row>
    <row r="166" spans="1:13" x14ac:dyDescent="0.2">
      <c r="A166" s="18" t="s">
        <v>93</v>
      </c>
      <c r="B166" s="23">
        <f t="shared" si="2"/>
        <v>0</v>
      </c>
      <c r="C166" s="23">
        <f t="shared" ref="C166:M166" si="15">C96-C26</f>
        <v>0</v>
      </c>
      <c r="D166" s="23">
        <f t="shared" si="15"/>
        <v>0</v>
      </c>
      <c r="E166" s="23">
        <f t="shared" si="15"/>
        <v>0</v>
      </c>
      <c r="F166" s="23">
        <f t="shared" si="15"/>
        <v>0</v>
      </c>
      <c r="G166" s="23">
        <f t="shared" si="15"/>
        <v>0</v>
      </c>
      <c r="H166" s="23">
        <f t="shared" si="15"/>
        <v>0</v>
      </c>
      <c r="I166" s="23">
        <f t="shared" si="15"/>
        <v>0</v>
      </c>
      <c r="J166" s="23">
        <f t="shared" si="15"/>
        <v>0</v>
      </c>
      <c r="K166" s="23">
        <f t="shared" si="15"/>
        <v>0</v>
      </c>
      <c r="L166" s="23">
        <f t="shared" si="15"/>
        <v>0</v>
      </c>
      <c r="M166" s="23">
        <f t="shared" si="15"/>
        <v>0</v>
      </c>
    </row>
    <row r="167" spans="1:13" x14ac:dyDescent="0.2">
      <c r="A167" s="18" t="s">
        <v>69</v>
      </c>
      <c r="B167" s="23">
        <f t="shared" si="2"/>
        <v>333</v>
      </c>
      <c r="C167" s="23">
        <f t="shared" ref="C167:M167" si="16">C97-C27</f>
        <v>-98</v>
      </c>
      <c r="D167" s="23">
        <f t="shared" si="16"/>
        <v>-48.940000000000055</v>
      </c>
      <c r="E167" s="23">
        <f t="shared" si="16"/>
        <v>-5507.9400000000005</v>
      </c>
      <c r="F167" s="23">
        <f t="shared" si="16"/>
        <v>-5507.9400000000005</v>
      </c>
      <c r="G167" s="23">
        <f t="shared" si="16"/>
        <v>-5507.9400000000005</v>
      </c>
      <c r="H167" s="23">
        <f t="shared" si="16"/>
        <v>-5507.9400000000005</v>
      </c>
      <c r="I167" s="23">
        <f t="shared" si="16"/>
        <v>-5507.9400000000005</v>
      </c>
      <c r="J167" s="23">
        <f t="shared" si="16"/>
        <v>-5507.9400000000005</v>
      </c>
      <c r="K167" s="23">
        <f t="shared" si="16"/>
        <v>-5507.9400000000005</v>
      </c>
      <c r="L167" s="23">
        <f t="shared" si="16"/>
        <v>-5507.9400000000005</v>
      </c>
      <c r="M167" s="23">
        <f t="shared" si="16"/>
        <v>-5507.9400000000005</v>
      </c>
    </row>
    <row r="168" spans="1:13" x14ac:dyDescent="0.2">
      <c r="A168" s="18" t="s">
        <v>68</v>
      </c>
      <c r="B168" s="23">
        <f t="shared" si="2"/>
        <v>833</v>
      </c>
      <c r="C168" s="23">
        <f t="shared" ref="C168:M168" si="17">C98-C28</f>
        <v>249</v>
      </c>
      <c r="D168" s="23">
        <f t="shared" si="17"/>
        <v>11491.560000000001</v>
      </c>
      <c r="E168" s="23">
        <f t="shared" si="17"/>
        <v>6642.2800000000007</v>
      </c>
      <c r="F168" s="23">
        <f t="shared" si="17"/>
        <v>6642.2800000000007</v>
      </c>
      <c r="G168" s="23">
        <f t="shared" si="17"/>
        <v>6642.2800000000007</v>
      </c>
      <c r="H168" s="23">
        <f t="shared" si="17"/>
        <v>6642.2800000000007</v>
      </c>
      <c r="I168" s="23">
        <f t="shared" si="17"/>
        <v>6642.2800000000007</v>
      </c>
      <c r="J168" s="23">
        <f t="shared" si="17"/>
        <v>6642.2800000000007</v>
      </c>
      <c r="K168" s="23">
        <f t="shared" si="17"/>
        <v>6642.2799999999988</v>
      </c>
      <c r="L168" s="23">
        <f t="shared" si="17"/>
        <v>6642.2799999999988</v>
      </c>
      <c r="M168" s="23">
        <f t="shared" si="17"/>
        <v>6642.2799999999988</v>
      </c>
    </row>
    <row r="169" spans="1:13" x14ac:dyDescent="0.2">
      <c r="A169" s="18" t="s">
        <v>94</v>
      </c>
      <c r="B169" s="23">
        <f t="shared" si="2"/>
        <v>0</v>
      </c>
      <c r="C169" s="23">
        <f t="shared" ref="C169:M169" si="18">C99-C29</f>
        <v>0</v>
      </c>
      <c r="D169" s="23">
        <f t="shared" si="18"/>
        <v>0</v>
      </c>
      <c r="E169" s="23">
        <f t="shared" si="18"/>
        <v>0</v>
      </c>
      <c r="F169" s="23">
        <f t="shared" si="18"/>
        <v>0</v>
      </c>
      <c r="G169" s="23">
        <f t="shared" si="18"/>
        <v>0</v>
      </c>
      <c r="H169" s="23">
        <f t="shared" si="18"/>
        <v>0</v>
      </c>
      <c r="I169" s="23">
        <f t="shared" si="18"/>
        <v>0</v>
      </c>
      <c r="J169" s="23">
        <f t="shared" si="18"/>
        <v>0</v>
      </c>
      <c r="K169" s="23">
        <f t="shared" si="18"/>
        <v>0</v>
      </c>
      <c r="L169" s="23">
        <f t="shared" si="18"/>
        <v>0</v>
      </c>
      <c r="M169" s="23">
        <f t="shared" si="18"/>
        <v>0</v>
      </c>
    </row>
    <row r="170" spans="1:13" x14ac:dyDescent="0.2">
      <c r="A170" s="18" t="s">
        <v>46</v>
      </c>
      <c r="B170" s="23">
        <f t="shared" si="2"/>
        <v>600</v>
      </c>
      <c r="C170" s="23">
        <f t="shared" ref="C170:M170" si="19">C100-C30</f>
        <v>1200</v>
      </c>
      <c r="D170" s="23">
        <f t="shared" si="19"/>
        <v>1143.1500000000001</v>
      </c>
      <c r="E170" s="23">
        <f t="shared" si="19"/>
        <v>1438.65</v>
      </c>
      <c r="F170" s="23">
        <f t="shared" si="19"/>
        <v>1438.65</v>
      </c>
      <c r="G170" s="23">
        <f t="shared" si="19"/>
        <v>1438.65</v>
      </c>
      <c r="H170" s="23">
        <f t="shared" si="19"/>
        <v>1438.6499999999996</v>
      </c>
      <c r="I170" s="23">
        <f t="shared" si="19"/>
        <v>1438.6499999999996</v>
      </c>
      <c r="J170" s="23">
        <f t="shared" si="19"/>
        <v>1438.6499999999996</v>
      </c>
      <c r="K170" s="23">
        <f t="shared" si="19"/>
        <v>1438.6499999999996</v>
      </c>
      <c r="L170" s="23">
        <f t="shared" si="19"/>
        <v>1438.6499999999996</v>
      </c>
      <c r="M170" s="23">
        <f t="shared" si="19"/>
        <v>1438.6499999999996</v>
      </c>
    </row>
    <row r="171" spans="1:13" x14ac:dyDescent="0.2">
      <c r="A171" s="18" t="s">
        <v>70</v>
      </c>
      <c r="B171" s="23">
        <f t="shared" si="2"/>
        <v>3208</v>
      </c>
      <c r="C171" s="23">
        <f t="shared" ref="C171:M171" si="20">C101-C31</f>
        <v>3000</v>
      </c>
      <c r="D171" s="23">
        <f t="shared" si="20"/>
        <v>2453.1800000000003</v>
      </c>
      <c r="E171" s="23">
        <f t="shared" si="20"/>
        <v>-1313.4300000000003</v>
      </c>
      <c r="F171" s="23">
        <f t="shared" si="20"/>
        <v>-1313.4300000000003</v>
      </c>
      <c r="G171" s="23">
        <f t="shared" si="20"/>
        <v>-1313.4300000000003</v>
      </c>
      <c r="H171" s="23">
        <f t="shared" si="20"/>
        <v>-1313.4300000000003</v>
      </c>
      <c r="I171" s="23">
        <f t="shared" si="20"/>
        <v>-1313.4300000000003</v>
      </c>
      <c r="J171" s="23">
        <f t="shared" si="20"/>
        <v>-1313.4300000000003</v>
      </c>
      <c r="K171" s="23">
        <f t="shared" si="20"/>
        <v>-1313.4300000000003</v>
      </c>
      <c r="L171" s="23">
        <f t="shared" si="20"/>
        <v>-1313.4300000000003</v>
      </c>
      <c r="M171" s="23">
        <f t="shared" si="20"/>
        <v>-1313.4300000000003</v>
      </c>
    </row>
    <row r="172" spans="1:13" x14ac:dyDescent="0.2">
      <c r="A172" s="18" t="s">
        <v>71</v>
      </c>
      <c r="B172" s="23">
        <f t="shared" si="2"/>
        <v>3614</v>
      </c>
      <c r="C172" s="23">
        <f t="shared" ref="C172:M172" si="21">C102-C32</f>
        <v>-1580</v>
      </c>
      <c r="D172" s="23">
        <f t="shared" si="21"/>
        <v>-20249</v>
      </c>
      <c r="E172" s="23">
        <f t="shared" si="21"/>
        <v>-152983.04999999999</v>
      </c>
      <c r="F172" s="23">
        <f t="shared" si="21"/>
        <v>-152983.04999999999</v>
      </c>
      <c r="G172" s="23">
        <f t="shared" si="21"/>
        <v>-152983.04999999999</v>
      </c>
      <c r="H172" s="23">
        <f t="shared" si="21"/>
        <v>-152983.04999999999</v>
      </c>
      <c r="I172" s="23">
        <f t="shared" si="21"/>
        <v>-152983.04999999999</v>
      </c>
      <c r="J172" s="23">
        <f t="shared" si="21"/>
        <v>-152983.04999999999</v>
      </c>
      <c r="K172" s="23">
        <f t="shared" si="21"/>
        <v>-152983.04999999999</v>
      </c>
      <c r="L172" s="23">
        <f t="shared" si="21"/>
        <v>-152983.04999999999</v>
      </c>
      <c r="M172" s="23">
        <f t="shared" si="21"/>
        <v>-152983.04999999999</v>
      </c>
    </row>
    <row r="173" spans="1:13" x14ac:dyDescent="0.2">
      <c r="A173" s="18" t="s">
        <v>44</v>
      </c>
      <c r="B173" s="23">
        <f t="shared" si="2"/>
        <v>-8025</v>
      </c>
      <c r="C173" s="23">
        <f t="shared" ref="C173:M173" si="22">C103-C33</f>
        <v>-29788</v>
      </c>
      <c r="D173" s="23">
        <f t="shared" si="22"/>
        <v>-51391.369999999995</v>
      </c>
      <c r="E173" s="23">
        <f t="shared" si="22"/>
        <v>-80421.070000000007</v>
      </c>
      <c r="F173" s="23">
        <f t="shared" si="22"/>
        <v>-80421.070000000007</v>
      </c>
      <c r="G173" s="23">
        <f t="shared" si="22"/>
        <v>-80421.070000000007</v>
      </c>
      <c r="H173" s="23">
        <f t="shared" si="22"/>
        <v>-80421.070000000007</v>
      </c>
      <c r="I173" s="23">
        <f t="shared" si="22"/>
        <v>-80421.070000000007</v>
      </c>
      <c r="J173" s="23">
        <f t="shared" si="22"/>
        <v>-80421.070000000065</v>
      </c>
      <c r="K173" s="23">
        <f t="shared" si="22"/>
        <v>-80421.070000000065</v>
      </c>
      <c r="L173" s="23">
        <f t="shared" si="22"/>
        <v>-80421.070000000065</v>
      </c>
      <c r="M173" s="23">
        <f t="shared" si="22"/>
        <v>-80421.070000000065</v>
      </c>
    </row>
    <row r="174" spans="1:13" x14ac:dyDescent="0.2">
      <c r="A174" s="18" t="s">
        <v>47</v>
      </c>
      <c r="B174" s="23">
        <f t="shared" si="2"/>
        <v>2975</v>
      </c>
      <c r="C174" s="23">
        <f t="shared" ref="C174:M174" si="23">C104-C34</f>
        <v>-31825</v>
      </c>
      <c r="D174" s="23">
        <f t="shared" si="23"/>
        <v>-34585</v>
      </c>
      <c r="E174" s="23">
        <f t="shared" si="23"/>
        <v>-37929.040000000001</v>
      </c>
      <c r="F174" s="23">
        <f t="shared" si="23"/>
        <v>-37929.040000000001</v>
      </c>
      <c r="G174" s="23">
        <f t="shared" si="23"/>
        <v>-37929.040000000001</v>
      </c>
      <c r="H174" s="23">
        <f t="shared" si="23"/>
        <v>-37929.040000000001</v>
      </c>
      <c r="I174" s="23">
        <f t="shared" si="23"/>
        <v>-37929.040000000001</v>
      </c>
      <c r="J174" s="23">
        <f t="shared" si="23"/>
        <v>-37929.040000000001</v>
      </c>
      <c r="K174" s="23">
        <f t="shared" si="23"/>
        <v>-37929.040000000008</v>
      </c>
      <c r="L174" s="23">
        <f t="shared" si="23"/>
        <v>-37929.040000000008</v>
      </c>
      <c r="M174" s="23">
        <f t="shared" si="23"/>
        <v>-37929.040000000008</v>
      </c>
    </row>
    <row r="175" spans="1:13" x14ac:dyDescent="0.2">
      <c r="A175" s="18" t="s">
        <v>2</v>
      </c>
      <c r="B175" s="23">
        <f t="shared" si="2"/>
        <v>21093</v>
      </c>
      <c r="C175" s="23">
        <f t="shared" ref="C175:M175" si="24">C105-C35</f>
        <v>30180</v>
      </c>
      <c r="D175" s="23">
        <f t="shared" si="24"/>
        <v>-36978.539999999994</v>
      </c>
      <c r="E175" s="23">
        <f t="shared" si="24"/>
        <v>-101057.87</v>
      </c>
      <c r="F175" s="23">
        <f t="shared" si="24"/>
        <v>-101057.87</v>
      </c>
      <c r="G175" s="23">
        <f t="shared" si="24"/>
        <v>-101057.87</v>
      </c>
      <c r="H175" s="23">
        <f t="shared" si="24"/>
        <v>-101057.87</v>
      </c>
      <c r="I175" s="23">
        <f t="shared" si="24"/>
        <v>-101057.87</v>
      </c>
      <c r="J175" s="23">
        <f t="shared" si="24"/>
        <v>-101057.87</v>
      </c>
      <c r="K175" s="23">
        <f t="shared" si="24"/>
        <v>-101057.87</v>
      </c>
      <c r="L175" s="23">
        <f t="shared" si="24"/>
        <v>-101057.87</v>
      </c>
      <c r="M175" s="23">
        <f t="shared" si="24"/>
        <v>-101057.87</v>
      </c>
    </row>
    <row r="176" spans="1:13" x14ac:dyDescent="0.2">
      <c r="A176" s="18" t="s">
        <v>95</v>
      </c>
      <c r="B176" s="23">
        <f t="shared" si="2"/>
        <v>0</v>
      </c>
      <c r="C176" s="23">
        <f t="shared" ref="C176:M176" si="25">C106-C36</f>
        <v>0</v>
      </c>
      <c r="D176" s="23">
        <f t="shared" si="25"/>
        <v>0</v>
      </c>
      <c r="E176" s="23">
        <f t="shared" si="25"/>
        <v>0</v>
      </c>
      <c r="F176" s="23">
        <f t="shared" si="25"/>
        <v>0</v>
      </c>
      <c r="G176" s="23">
        <f t="shared" si="25"/>
        <v>0</v>
      </c>
      <c r="H176" s="23">
        <f t="shared" si="25"/>
        <v>0</v>
      </c>
      <c r="I176" s="23">
        <f t="shared" si="25"/>
        <v>0</v>
      </c>
      <c r="J176" s="23">
        <f t="shared" si="25"/>
        <v>0</v>
      </c>
      <c r="K176" s="23">
        <f t="shared" si="25"/>
        <v>0</v>
      </c>
      <c r="L176" s="23">
        <f t="shared" si="25"/>
        <v>0</v>
      </c>
      <c r="M176" s="23">
        <f t="shared" si="25"/>
        <v>0</v>
      </c>
    </row>
    <row r="177" spans="1:13" x14ac:dyDescent="0.2">
      <c r="A177" s="18" t="s">
        <v>72</v>
      </c>
      <c r="B177" s="23">
        <f t="shared" si="2"/>
        <v>146</v>
      </c>
      <c r="C177" s="23">
        <f t="shared" ref="C177:M177" si="26">C107-C37</f>
        <v>-214</v>
      </c>
      <c r="D177" s="23">
        <f t="shared" si="26"/>
        <v>-68</v>
      </c>
      <c r="E177" s="23">
        <f t="shared" si="26"/>
        <v>78</v>
      </c>
      <c r="F177" s="23">
        <f t="shared" si="26"/>
        <v>78</v>
      </c>
      <c r="G177" s="23">
        <f t="shared" si="26"/>
        <v>78</v>
      </c>
      <c r="H177" s="23">
        <f t="shared" si="26"/>
        <v>78</v>
      </c>
      <c r="I177" s="23">
        <f t="shared" si="26"/>
        <v>78</v>
      </c>
      <c r="J177" s="23">
        <f t="shared" si="26"/>
        <v>78</v>
      </c>
      <c r="K177" s="23">
        <f t="shared" si="26"/>
        <v>78</v>
      </c>
      <c r="L177" s="23">
        <f t="shared" si="26"/>
        <v>78</v>
      </c>
      <c r="M177" s="23">
        <f t="shared" si="26"/>
        <v>78</v>
      </c>
    </row>
    <row r="178" spans="1:13" x14ac:dyDescent="0.2">
      <c r="A178" s="18" t="s">
        <v>48</v>
      </c>
      <c r="B178" s="23">
        <f t="shared" si="2"/>
        <v>11143</v>
      </c>
      <c r="C178" s="23">
        <f t="shared" ref="C178:M178" si="27">C108-C38</f>
        <v>-19670</v>
      </c>
      <c r="D178" s="23">
        <f t="shared" si="27"/>
        <v>-31755.78</v>
      </c>
      <c r="E178" s="23">
        <f t="shared" si="27"/>
        <v>-40202.259999999995</v>
      </c>
      <c r="F178" s="23">
        <f t="shared" si="27"/>
        <v>-40202.259999999995</v>
      </c>
      <c r="G178" s="23">
        <f t="shared" si="27"/>
        <v>-40202.260000000009</v>
      </c>
      <c r="H178" s="23">
        <f t="shared" si="27"/>
        <v>-40202.260000000009</v>
      </c>
      <c r="I178" s="23">
        <f t="shared" si="27"/>
        <v>-40202.260000000009</v>
      </c>
      <c r="J178" s="23">
        <f t="shared" si="27"/>
        <v>-40202.260000000009</v>
      </c>
      <c r="K178" s="23">
        <f t="shared" si="27"/>
        <v>-40202.260000000009</v>
      </c>
      <c r="L178" s="23">
        <f t="shared" si="27"/>
        <v>-40202.260000000009</v>
      </c>
      <c r="M178" s="23">
        <f t="shared" si="27"/>
        <v>-40202.260000000009</v>
      </c>
    </row>
    <row r="179" spans="1:13" x14ac:dyDescent="0.2">
      <c r="A179" s="18" t="s">
        <v>74</v>
      </c>
      <c r="B179" s="23">
        <f t="shared" ref="B179:M179" si="28">B109-B39</f>
        <v>629</v>
      </c>
      <c r="C179" s="23">
        <f t="shared" si="28"/>
        <v>649</v>
      </c>
      <c r="D179" s="23">
        <f t="shared" si="28"/>
        <v>-40922.26</v>
      </c>
      <c r="E179" s="23">
        <f t="shared" si="28"/>
        <v>-50646.83</v>
      </c>
      <c r="F179" s="23">
        <f t="shared" si="28"/>
        <v>-50646.83</v>
      </c>
      <c r="G179" s="23">
        <f t="shared" si="28"/>
        <v>-50646.83</v>
      </c>
      <c r="H179" s="23">
        <f t="shared" si="28"/>
        <v>-50646.83</v>
      </c>
      <c r="I179" s="23">
        <f t="shared" si="28"/>
        <v>-50646.83</v>
      </c>
      <c r="J179" s="23">
        <f t="shared" si="28"/>
        <v>-50646.83</v>
      </c>
      <c r="K179" s="23">
        <f t="shared" si="28"/>
        <v>-50646.83</v>
      </c>
      <c r="L179" s="23">
        <f t="shared" si="28"/>
        <v>-50646.83</v>
      </c>
      <c r="M179" s="23">
        <f t="shared" si="28"/>
        <v>-50646.83</v>
      </c>
    </row>
    <row r="180" spans="1:13" x14ac:dyDescent="0.2">
      <c r="A180" s="18" t="s">
        <v>96</v>
      </c>
      <c r="B180" s="23">
        <f t="shared" ref="B180:M180" si="29">B110-B40</f>
        <v>-222</v>
      </c>
      <c r="C180" s="23">
        <f t="shared" si="29"/>
        <v>-1759</v>
      </c>
      <c r="D180" s="23">
        <f t="shared" si="29"/>
        <v>-50441</v>
      </c>
      <c r="E180" s="23">
        <f t="shared" si="29"/>
        <v>-59529</v>
      </c>
      <c r="F180" s="23">
        <f t="shared" si="29"/>
        <v>-59529</v>
      </c>
      <c r="G180" s="23">
        <f t="shared" si="29"/>
        <v>-59529</v>
      </c>
      <c r="H180" s="23">
        <f t="shared" si="29"/>
        <v>-59529</v>
      </c>
      <c r="I180" s="23">
        <f t="shared" si="29"/>
        <v>-59529</v>
      </c>
      <c r="J180" s="23">
        <f t="shared" si="29"/>
        <v>-59529</v>
      </c>
      <c r="K180" s="23">
        <f t="shared" si="29"/>
        <v>-59529</v>
      </c>
      <c r="L180" s="23">
        <f t="shared" si="29"/>
        <v>-59529</v>
      </c>
      <c r="M180" s="23">
        <f t="shared" si="29"/>
        <v>-59529</v>
      </c>
    </row>
    <row r="181" spans="1:13" x14ac:dyDescent="0.2">
      <c r="A181" s="18"/>
    </row>
    <row r="182" spans="1:13" x14ac:dyDescent="0.2">
      <c r="A182" s="19" t="s">
        <v>28</v>
      </c>
      <c r="B182" s="27">
        <f t="shared" ref="B182:M182" si="30">SUM(B153:B180)</f>
        <v>38900</v>
      </c>
      <c r="C182" s="27">
        <f t="shared" si="30"/>
        <v>-49960</v>
      </c>
      <c r="D182" s="27">
        <f t="shared" si="30"/>
        <v>-256335</v>
      </c>
      <c r="E182" s="27">
        <f t="shared" si="30"/>
        <v>-517841.56</v>
      </c>
      <c r="F182" s="27">
        <f t="shared" si="30"/>
        <v>-517841.56</v>
      </c>
      <c r="G182" s="27">
        <f t="shared" si="30"/>
        <v>-517841.56</v>
      </c>
      <c r="H182" s="27">
        <f t="shared" si="30"/>
        <v>-517841.56</v>
      </c>
      <c r="I182" s="27">
        <f t="shared" si="30"/>
        <v>-517841.56</v>
      </c>
      <c r="J182" s="27">
        <f t="shared" si="30"/>
        <v>-517841.56000000006</v>
      </c>
      <c r="K182" s="27">
        <f t="shared" si="30"/>
        <v>-517841.56000000011</v>
      </c>
      <c r="L182" s="27">
        <f t="shared" si="30"/>
        <v>-517841.56000000011</v>
      </c>
      <c r="M182" s="27">
        <f t="shared" si="30"/>
        <v>-517841.56000000011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31">+B114-B44</f>
        <v>-1515.3333333333321</v>
      </c>
      <c r="C184" s="25">
        <f t="shared" si="31"/>
        <v>-3030.6666666666642</v>
      </c>
      <c r="D184" s="25">
        <f t="shared" si="31"/>
        <v>-2516</v>
      </c>
      <c r="E184" s="25">
        <f t="shared" si="31"/>
        <v>-3016.3333333333285</v>
      </c>
      <c r="F184" s="25">
        <f t="shared" si="31"/>
        <v>-3516.666666666657</v>
      </c>
      <c r="G184" s="25">
        <f t="shared" si="31"/>
        <v>-3516.666666666657</v>
      </c>
      <c r="H184" s="25">
        <f t="shared" si="31"/>
        <v>-3516.666666666657</v>
      </c>
      <c r="I184" s="25">
        <f t="shared" si="31"/>
        <v>-3516.666666666657</v>
      </c>
      <c r="J184" s="25">
        <f t="shared" si="31"/>
        <v>-3516.666666666657</v>
      </c>
      <c r="K184" s="25">
        <f t="shared" si="31"/>
        <v>-3516.666666666657</v>
      </c>
      <c r="L184" s="25">
        <f t="shared" si="31"/>
        <v>-3516.666666666657</v>
      </c>
      <c r="M184" s="25">
        <f t="shared" si="31"/>
        <v>-3516.666666666657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32">+B116-B46</f>
        <v>-83333</v>
      </c>
      <c r="C186" s="25">
        <f t="shared" si="32"/>
        <v>-166666</v>
      </c>
      <c r="D186" s="25">
        <f t="shared" si="32"/>
        <v>-116666</v>
      </c>
      <c r="E186" s="25">
        <f t="shared" si="32"/>
        <v>-133333</v>
      </c>
      <c r="F186" s="25">
        <f t="shared" si="32"/>
        <v>-166666</v>
      </c>
      <c r="G186" s="25">
        <f t="shared" si="32"/>
        <v>-200000</v>
      </c>
      <c r="H186" s="25">
        <f t="shared" si="32"/>
        <v>-233333</v>
      </c>
      <c r="I186" s="25">
        <f t="shared" si="32"/>
        <v>-266666</v>
      </c>
      <c r="J186" s="25">
        <f t="shared" si="32"/>
        <v>-300000</v>
      </c>
      <c r="K186" s="25">
        <f t="shared" si="32"/>
        <v>-333333</v>
      </c>
      <c r="L186" s="25">
        <f t="shared" si="32"/>
        <v>-366666</v>
      </c>
      <c r="M186" s="25">
        <f t="shared" si="32"/>
        <v>-400000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33">+B182+B184+B186</f>
        <v>-45948.333333333328</v>
      </c>
      <c r="C188" s="24">
        <f t="shared" si="33"/>
        <v>-219656.66666666666</v>
      </c>
      <c r="D188" s="24">
        <f t="shared" si="33"/>
        <v>-375517</v>
      </c>
      <c r="E188" s="24">
        <f t="shared" si="33"/>
        <v>-654190.89333333331</v>
      </c>
      <c r="F188" s="24">
        <f t="shared" si="33"/>
        <v>-688024.22666666668</v>
      </c>
      <c r="G188" s="24">
        <f t="shared" si="33"/>
        <v>-721358.22666666668</v>
      </c>
      <c r="H188" s="24">
        <f t="shared" si="33"/>
        <v>-754691.22666666668</v>
      </c>
      <c r="I188" s="24">
        <f t="shared" si="33"/>
        <v>-788024.22666666668</v>
      </c>
      <c r="J188" s="24">
        <f t="shared" si="33"/>
        <v>-821358.22666666668</v>
      </c>
      <c r="K188" s="24">
        <f t="shared" si="33"/>
        <v>-854691.2266666668</v>
      </c>
      <c r="L188" s="24">
        <f t="shared" si="33"/>
        <v>-888024.2266666668</v>
      </c>
      <c r="M188" s="24">
        <f t="shared" si="33"/>
        <v>-921358.2266666668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34">+B121-B51</f>
        <v>3291.6666666666679</v>
      </c>
      <c r="C191" s="23">
        <f t="shared" si="34"/>
        <v>6583.3333333333358</v>
      </c>
      <c r="D191" s="23">
        <f t="shared" si="34"/>
        <v>9875</v>
      </c>
      <c r="E191" s="23">
        <f t="shared" si="34"/>
        <v>2077.6666666666715</v>
      </c>
      <c r="F191" s="23">
        <f t="shared" si="34"/>
        <v>-5719.666666666657</v>
      </c>
      <c r="G191" s="23">
        <f t="shared" si="34"/>
        <v>-12957.583333333328</v>
      </c>
      <c r="H191" s="23">
        <f t="shared" si="34"/>
        <v>-20195.5</v>
      </c>
      <c r="I191" s="23">
        <f t="shared" si="34"/>
        <v>-27433.416666666657</v>
      </c>
      <c r="J191" s="23">
        <f t="shared" si="34"/>
        <v>-34671.333333333314</v>
      </c>
      <c r="K191" s="23">
        <f t="shared" si="34"/>
        <v>-41909.249999999971</v>
      </c>
      <c r="L191" s="23">
        <f t="shared" si="34"/>
        <v>-49147.166666666628</v>
      </c>
      <c r="M191" s="23">
        <f t="shared" si="34"/>
        <v>-56385.083333333285</v>
      </c>
    </row>
    <row r="192" spans="1:13" x14ac:dyDescent="0.2">
      <c r="A192" s="3" t="s">
        <v>1</v>
      </c>
      <c r="B192" s="23">
        <f t="shared" ref="B192:M192" si="35">+B122-B52</f>
        <v>-21200</v>
      </c>
      <c r="C192" s="23">
        <f t="shared" si="35"/>
        <v>-36000</v>
      </c>
      <c r="D192" s="23">
        <f t="shared" si="35"/>
        <v>-56800</v>
      </c>
      <c r="E192" s="23">
        <f t="shared" si="35"/>
        <v>-77600</v>
      </c>
      <c r="F192" s="23">
        <f t="shared" si="35"/>
        <v>-99150</v>
      </c>
      <c r="G192" s="23">
        <f t="shared" si="35"/>
        <v>-112366.66666666667</v>
      </c>
      <c r="H192" s="23">
        <f t="shared" si="35"/>
        <v>-125583.33333333333</v>
      </c>
      <c r="I192" s="23">
        <f t="shared" si="35"/>
        <v>-138800</v>
      </c>
      <c r="J192" s="23">
        <f t="shared" si="35"/>
        <v>-152016.66666666666</v>
      </c>
      <c r="K192" s="23">
        <f t="shared" si="35"/>
        <v>-165233.33333333331</v>
      </c>
      <c r="L192" s="23">
        <f t="shared" si="35"/>
        <v>-178450</v>
      </c>
      <c r="M192" s="23">
        <f t="shared" si="35"/>
        <v>-191666.66666666666</v>
      </c>
    </row>
    <row r="193" spans="1:13" x14ac:dyDescent="0.2">
      <c r="A193" s="3" t="s">
        <v>3</v>
      </c>
      <c r="B193" s="23">
        <f t="shared" ref="B193:M193" si="36">+B123-B53</f>
        <v>8333.3333333333339</v>
      </c>
      <c r="C193" s="23">
        <f t="shared" si="36"/>
        <v>16666.666666666668</v>
      </c>
      <c r="D193" s="23">
        <f t="shared" si="36"/>
        <v>25000</v>
      </c>
      <c r="E193" s="23">
        <f t="shared" si="36"/>
        <v>33333.333333333336</v>
      </c>
      <c r="F193" s="23">
        <f t="shared" si="36"/>
        <v>33333.333333333336</v>
      </c>
      <c r="G193" s="23">
        <f t="shared" si="36"/>
        <v>33333.333333333343</v>
      </c>
      <c r="H193" s="23">
        <f t="shared" si="36"/>
        <v>33333.333333333343</v>
      </c>
      <c r="I193" s="23">
        <f t="shared" si="36"/>
        <v>33333.333333333336</v>
      </c>
      <c r="J193" s="23">
        <f t="shared" si="36"/>
        <v>33333.333333333328</v>
      </c>
      <c r="K193" s="23">
        <f t="shared" si="36"/>
        <v>33333.333333333321</v>
      </c>
      <c r="L193" s="23">
        <f t="shared" si="36"/>
        <v>33333.333333333314</v>
      </c>
      <c r="M193" s="23">
        <f t="shared" si="36"/>
        <v>33333.333333333314</v>
      </c>
    </row>
    <row r="194" spans="1:13" x14ac:dyDescent="0.2">
      <c r="A194" s="3" t="s">
        <v>4</v>
      </c>
      <c r="B194" s="23">
        <f t="shared" ref="B194:M194" si="37">+B124-B54</f>
        <v>2500</v>
      </c>
      <c r="C194" s="23">
        <f t="shared" si="37"/>
        <v>5000</v>
      </c>
      <c r="D194" s="23">
        <f t="shared" si="37"/>
        <v>7500</v>
      </c>
      <c r="E194" s="23">
        <f t="shared" si="37"/>
        <v>10000</v>
      </c>
      <c r="F194" s="23">
        <f t="shared" si="37"/>
        <v>10000</v>
      </c>
      <c r="G194" s="23">
        <f t="shared" si="37"/>
        <v>10000</v>
      </c>
      <c r="H194" s="23">
        <f t="shared" si="37"/>
        <v>10000</v>
      </c>
      <c r="I194" s="23">
        <f t="shared" si="37"/>
        <v>10000</v>
      </c>
      <c r="J194" s="23">
        <f t="shared" si="37"/>
        <v>10000</v>
      </c>
      <c r="K194" s="23">
        <f t="shared" si="37"/>
        <v>10000</v>
      </c>
      <c r="L194" s="23">
        <f t="shared" si="37"/>
        <v>10000</v>
      </c>
      <c r="M194" s="23">
        <f t="shared" si="37"/>
        <v>10000</v>
      </c>
    </row>
    <row r="195" spans="1:13" x14ac:dyDescent="0.2">
      <c r="A195" s="3" t="s">
        <v>5</v>
      </c>
      <c r="B195" s="23">
        <f t="shared" ref="B195:M195" si="38">+B125-B55</f>
        <v>6250</v>
      </c>
      <c r="C195" s="23">
        <f t="shared" si="38"/>
        <v>10908</v>
      </c>
      <c r="D195" s="23">
        <f t="shared" si="38"/>
        <v>11280</v>
      </c>
      <c r="E195" s="23">
        <f t="shared" si="38"/>
        <v>17530</v>
      </c>
      <c r="F195" s="23">
        <f t="shared" si="38"/>
        <v>17530</v>
      </c>
      <c r="G195" s="23">
        <f t="shared" si="38"/>
        <v>17530</v>
      </c>
      <c r="H195" s="23">
        <f t="shared" si="38"/>
        <v>17530</v>
      </c>
      <c r="I195" s="23">
        <f t="shared" si="38"/>
        <v>17530</v>
      </c>
      <c r="J195" s="23">
        <f t="shared" si="38"/>
        <v>17530</v>
      </c>
      <c r="K195" s="23">
        <f t="shared" si="38"/>
        <v>17530</v>
      </c>
      <c r="L195" s="23">
        <f t="shared" si="38"/>
        <v>17530</v>
      </c>
      <c r="M195" s="23">
        <f t="shared" si="38"/>
        <v>17530</v>
      </c>
    </row>
    <row r="196" spans="1:13" x14ac:dyDescent="0.2">
      <c r="A196" s="3" t="s">
        <v>14</v>
      </c>
      <c r="B196" s="23">
        <f t="shared" ref="B196:M196" si="39">+B126-B56</f>
        <v>0</v>
      </c>
      <c r="C196" s="23">
        <f t="shared" si="39"/>
        <v>0</v>
      </c>
      <c r="D196" s="23">
        <f t="shared" si="39"/>
        <v>0</v>
      </c>
      <c r="E196" s="23">
        <f t="shared" si="39"/>
        <v>0</v>
      </c>
      <c r="F196" s="23">
        <f t="shared" si="39"/>
        <v>0</v>
      </c>
      <c r="G196" s="23">
        <f t="shared" si="39"/>
        <v>0</v>
      </c>
      <c r="H196" s="23">
        <f t="shared" si="39"/>
        <v>0</v>
      </c>
      <c r="I196" s="23">
        <f t="shared" si="39"/>
        <v>0</v>
      </c>
      <c r="J196" s="23">
        <f t="shared" si="39"/>
        <v>0</v>
      </c>
      <c r="K196" s="23">
        <f t="shared" si="39"/>
        <v>0</v>
      </c>
      <c r="L196" s="23">
        <f t="shared" si="39"/>
        <v>0</v>
      </c>
      <c r="M196" s="23">
        <f t="shared" si="39"/>
        <v>0</v>
      </c>
    </row>
    <row r="197" spans="1:13" x14ac:dyDescent="0.2">
      <c r="A197" s="3"/>
      <c r="B197" s="23">
        <f t="shared" ref="B197:M197" si="40">+B127-B57</f>
        <v>0</v>
      </c>
      <c r="C197" s="23">
        <f t="shared" si="40"/>
        <v>0</v>
      </c>
      <c r="D197" s="23">
        <f t="shared" si="40"/>
        <v>0</v>
      </c>
      <c r="E197" s="23">
        <f t="shared" si="40"/>
        <v>0</v>
      </c>
      <c r="F197" s="23">
        <f t="shared" si="40"/>
        <v>0</v>
      </c>
      <c r="G197" s="23">
        <f t="shared" si="40"/>
        <v>0</v>
      </c>
      <c r="H197" s="23">
        <f t="shared" si="40"/>
        <v>0</v>
      </c>
      <c r="I197" s="23">
        <f t="shared" si="40"/>
        <v>0</v>
      </c>
      <c r="J197" s="23">
        <f t="shared" si="40"/>
        <v>0</v>
      </c>
      <c r="K197" s="23">
        <f t="shared" si="40"/>
        <v>0</v>
      </c>
      <c r="L197" s="23">
        <f t="shared" si="40"/>
        <v>0</v>
      </c>
      <c r="M197" s="23">
        <f t="shared" si="40"/>
        <v>0</v>
      </c>
    </row>
    <row r="198" spans="1:13" ht="13.5" thickBot="1" x14ac:dyDescent="0.25">
      <c r="A198" s="4" t="s">
        <v>15</v>
      </c>
      <c r="B198" s="28">
        <f t="shared" ref="B198:M198" si="41">SUM(B190:B197)</f>
        <v>-824.99999999999818</v>
      </c>
      <c r="C198" s="28">
        <f t="shared" si="41"/>
        <v>3158.0000000000036</v>
      </c>
      <c r="D198" s="28">
        <f t="shared" si="41"/>
        <v>-3145</v>
      </c>
      <c r="E198" s="28">
        <f t="shared" si="41"/>
        <v>-14658.999999999993</v>
      </c>
      <c r="F198" s="28">
        <f t="shared" si="41"/>
        <v>-44006.333333333314</v>
      </c>
      <c r="G198" s="28">
        <f t="shared" si="41"/>
        <v>-64460.916666666657</v>
      </c>
      <c r="H198" s="28">
        <f t="shared" si="41"/>
        <v>-84915.499999999971</v>
      </c>
      <c r="I198" s="28">
        <f t="shared" si="41"/>
        <v>-105370.08333333331</v>
      </c>
      <c r="J198" s="28">
        <f t="shared" si="41"/>
        <v>-125824.66666666663</v>
      </c>
      <c r="K198" s="28">
        <f t="shared" si="41"/>
        <v>-146279.24999999997</v>
      </c>
      <c r="L198" s="28">
        <f t="shared" si="41"/>
        <v>-166733.83333333331</v>
      </c>
      <c r="M198" s="28">
        <f t="shared" si="41"/>
        <v>-187188.41666666663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42">+B131-B61</f>
        <v>0</v>
      </c>
      <c r="C201" s="23">
        <f t="shared" si="42"/>
        <v>0</v>
      </c>
      <c r="D201" s="23">
        <f t="shared" si="42"/>
        <v>0</v>
      </c>
      <c r="E201" s="23">
        <f t="shared" si="42"/>
        <v>0</v>
      </c>
      <c r="F201" s="23">
        <f t="shared" si="42"/>
        <v>0</v>
      </c>
      <c r="G201" s="23">
        <f t="shared" si="42"/>
        <v>0</v>
      </c>
      <c r="H201" s="23">
        <f t="shared" si="42"/>
        <v>0</v>
      </c>
      <c r="I201" s="23">
        <f t="shared" si="42"/>
        <v>0</v>
      </c>
      <c r="J201" s="23">
        <f t="shared" si="42"/>
        <v>0</v>
      </c>
      <c r="K201" s="23">
        <f t="shared" si="42"/>
        <v>0</v>
      </c>
      <c r="L201" s="23">
        <f t="shared" si="42"/>
        <v>0</v>
      </c>
      <c r="M201" s="23">
        <f t="shared" si="42"/>
        <v>0</v>
      </c>
    </row>
    <row r="202" spans="1:13" x14ac:dyDescent="0.2">
      <c r="A202" s="3" t="s">
        <v>7</v>
      </c>
      <c r="B202" s="23">
        <f t="shared" ref="B202:M202" si="43">+B132-B62</f>
        <v>-98886</v>
      </c>
      <c r="C202" s="23">
        <f t="shared" si="43"/>
        <v>-886</v>
      </c>
      <c r="D202" s="23">
        <f t="shared" si="43"/>
        <v>167134</v>
      </c>
      <c r="E202" s="23">
        <f t="shared" si="43"/>
        <v>225738</v>
      </c>
      <c r="F202" s="23">
        <f t="shared" si="43"/>
        <v>273701.96945711598</v>
      </c>
      <c r="G202" s="23">
        <f t="shared" si="43"/>
        <v>314761.96985990228</v>
      </c>
      <c r="H202" s="23">
        <f t="shared" si="43"/>
        <v>380579.88616764825</v>
      </c>
      <c r="I202" s="23">
        <f t="shared" si="43"/>
        <v>535569.78167483909</v>
      </c>
      <c r="J202" s="23">
        <f t="shared" si="43"/>
        <v>785055.94210213795</v>
      </c>
      <c r="K202" s="23">
        <f t="shared" si="43"/>
        <v>1040094.0172178624</v>
      </c>
      <c r="L202" s="23">
        <f t="shared" si="43"/>
        <v>1295068.0478099082</v>
      </c>
      <c r="M202" s="23">
        <f t="shared" si="43"/>
        <v>1550997.6040537721</v>
      </c>
    </row>
    <row r="203" spans="1:13" x14ac:dyDescent="0.2">
      <c r="A203" s="3" t="s">
        <v>8</v>
      </c>
      <c r="B203" s="23">
        <f t="shared" ref="B203:M203" si="44">+B133-B63</f>
        <v>-8549</v>
      </c>
      <c r="C203" s="23">
        <f t="shared" si="44"/>
        <v>5227</v>
      </c>
      <c r="D203" s="23">
        <f t="shared" si="44"/>
        <v>6671</v>
      </c>
      <c r="E203" s="23">
        <f t="shared" si="44"/>
        <v>3124</v>
      </c>
      <c r="F203" s="23">
        <f t="shared" si="44"/>
        <v>-423</v>
      </c>
      <c r="G203" s="23">
        <f t="shared" si="44"/>
        <v>-3970</v>
      </c>
      <c r="H203" s="23">
        <f t="shared" si="44"/>
        <v>-7517</v>
      </c>
      <c r="I203" s="23">
        <f t="shared" si="44"/>
        <v>-11064</v>
      </c>
      <c r="J203" s="23">
        <f t="shared" si="44"/>
        <v>-14611</v>
      </c>
      <c r="K203" s="23">
        <f t="shared" si="44"/>
        <v>-18158</v>
      </c>
      <c r="L203" s="23">
        <f t="shared" si="44"/>
        <v>-21705</v>
      </c>
      <c r="M203" s="23">
        <f t="shared" si="44"/>
        <v>-21252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45">SUM(B200:B204)</f>
        <v>-107435</v>
      </c>
      <c r="C205" s="28">
        <f t="shared" si="45"/>
        <v>4341</v>
      </c>
      <c r="D205" s="28">
        <f t="shared" si="45"/>
        <v>173805</v>
      </c>
      <c r="E205" s="28">
        <f t="shared" si="45"/>
        <v>228862</v>
      </c>
      <c r="F205" s="28">
        <f t="shared" si="45"/>
        <v>273278.96945711598</v>
      </c>
      <c r="G205" s="28">
        <f t="shared" si="45"/>
        <v>310791.96985990228</v>
      </c>
      <c r="H205" s="28">
        <f t="shared" si="45"/>
        <v>373062.88616764825</v>
      </c>
      <c r="I205" s="28">
        <f t="shared" si="45"/>
        <v>524505.78167483909</v>
      </c>
      <c r="J205" s="28">
        <f t="shared" si="45"/>
        <v>770444.94210213795</v>
      </c>
      <c r="K205" s="28">
        <f t="shared" si="45"/>
        <v>1021936.0172178624</v>
      </c>
      <c r="L205" s="28">
        <f t="shared" si="45"/>
        <v>1273363.0478099082</v>
      </c>
      <c r="M205" s="28">
        <f t="shared" si="45"/>
        <v>1529745.6040537721</v>
      </c>
    </row>
    <row r="207" spans="1:13" ht="13.5" thickBot="1" x14ac:dyDescent="0.25">
      <c r="A207" s="1" t="s">
        <v>13</v>
      </c>
      <c r="B207" s="29">
        <f t="shared" ref="B207:M207" si="46">+B150+B188+B198+B205</f>
        <v>-154208.33333333331</v>
      </c>
      <c r="C207" s="29">
        <f t="shared" si="46"/>
        <v>-212157.66666666666</v>
      </c>
      <c r="D207" s="29">
        <f t="shared" si="46"/>
        <v>-204857</v>
      </c>
      <c r="E207" s="29">
        <f t="shared" si="46"/>
        <v>-439987.89333333331</v>
      </c>
      <c r="F207" s="29">
        <f t="shared" si="46"/>
        <v>-458751.59054288408</v>
      </c>
      <c r="G207" s="29">
        <f t="shared" si="46"/>
        <v>-475027.17347343103</v>
      </c>
      <c r="H207" s="29">
        <f t="shared" si="46"/>
        <v>-466543.84049901844</v>
      </c>
      <c r="I207" s="29">
        <f t="shared" si="46"/>
        <v>-368888.52832516097</v>
      </c>
      <c r="J207" s="29">
        <f t="shared" si="46"/>
        <v>-176737.95123119536</v>
      </c>
      <c r="K207" s="29">
        <f t="shared" si="46"/>
        <v>20965.54055119562</v>
      </c>
      <c r="L207" s="29">
        <f t="shared" si="46"/>
        <v>218604.98780990811</v>
      </c>
      <c r="M207" s="29">
        <f t="shared" si="46"/>
        <v>421198.96072043851</v>
      </c>
    </row>
    <row r="208" spans="1:13" ht="13.5" thickTop="1" x14ac:dyDescent="0.2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F45" activePane="bottomRight" state="frozen"/>
      <selection activeCell="B7" sqref="B7:D7"/>
      <selection pane="topRight" activeCell="B7" sqref="B7:D7"/>
      <selection pane="bottomLeft" activeCell="B7" sqref="B7:D7"/>
      <selection pane="bottomRight" activeCell="N42" sqref="N42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72.140625" style="23" customWidth="1"/>
    <col min="15" max="70" width="8.85546875" style="23" customWidth="1"/>
  </cols>
  <sheetData>
    <row r="1" spans="1:70" s="2" customFormat="1" ht="15.75" x14ac:dyDescent="0.25">
      <c r="A1" s="43" t="str">
        <f>+'CAL MO'!A1:V1</f>
        <v>GENCO - Caledonia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3" t="str">
        <f>+'CAL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5" thickBot="1" x14ac:dyDescent="0.25">
      <c r="A11" s="1" t="s">
        <v>9</v>
      </c>
      <c r="B11" s="24">
        <v>0</v>
      </c>
      <c r="C11" s="24">
        <v>0</v>
      </c>
      <c r="D11" s="24">
        <f>+C11-B11</f>
        <v>0</v>
      </c>
      <c r="F11" s="24">
        <v>0</v>
      </c>
      <c r="G11" s="24">
        <v>0</v>
      </c>
      <c r="H11" s="24">
        <f>+G11-F11</f>
        <v>0</v>
      </c>
      <c r="J11" s="24">
        <v>0</v>
      </c>
      <c r="K11" s="24">
        <v>0</v>
      </c>
      <c r="L11" s="24">
        <f>+K11-J11</f>
        <v>0</v>
      </c>
    </row>
    <row r="13" spans="1:70" x14ac:dyDescent="0.2">
      <c r="A13" s="1" t="s">
        <v>10</v>
      </c>
    </row>
    <row r="14" spans="1:70" x14ac:dyDescent="0.2">
      <c r="A14" s="17" t="s">
        <v>49</v>
      </c>
    </row>
    <row r="15" spans="1:70" x14ac:dyDescent="0.2">
      <c r="A15" s="18" t="s">
        <v>87</v>
      </c>
      <c r="B15" s="23">
        <v>0</v>
      </c>
      <c r="C15" s="23">
        <v>0</v>
      </c>
      <c r="D15" s="23">
        <f t="shared" ref="D15:D41" si="0">+C15-B15</f>
        <v>0</v>
      </c>
      <c r="F15" s="23">
        <v>0</v>
      </c>
      <c r="G15" s="23">
        <v>0</v>
      </c>
      <c r="H15" s="23">
        <f t="shared" ref="H15:H41" si="1">+G15-F15</f>
        <v>0</v>
      </c>
      <c r="J15" s="23">
        <v>0</v>
      </c>
      <c r="K15" s="23">
        <v>0</v>
      </c>
      <c r="L15" s="23">
        <f t="shared" ref="L15:L41" si="2">+K15-J15</f>
        <v>0</v>
      </c>
    </row>
    <row r="16" spans="1:70" x14ac:dyDescent="0.2">
      <c r="A16" s="18" t="s">
        <v>63</v>
      </c>
      <c r="B16" s="23">
        <v>0</v>
      </c>
      <c r="C16" s="23">
        <v>543</v>
      </c>
      <c r="D16" s="23">
        <f t="shared" si="0"/>
        <v>543</v>
      </c>
      <c r="F16" s="23">
        <v>0</v>
      </c>
      <c r="G16" s="23">
        <v>1629</v>
      </c>
      <c r="H16" s="23">
        <f t="shared" si="1"/>
        <v>1629</v>
      </c>
      <c r="J16" s="23">
        <v>13504.04</v>
      </c>
      <c r="K16" s="23">
        <v>9500</v>
      </c>
      <c r="L16" s="23">
        <f t="shared" si="2"/>
        <v>-4004.0400000000009</v>
      </c>
      <c r="N16" s="30" t="s">
        <v>115</v>
      </c>
    </row>
    <row r="17" spans="1:14" x14ac:dyDescent="0.2">
      <c r="A17" s="18" t="s">
        <v>88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v>0</v>
      </c>
      <c r="L17" s="23">
        <f t="shared" si="2"/>
        <v>0</v>
      </c>
    </row>
    <row r="18" spans="1:14" x14ac:dyDescent="0.2">
      <c r="A18" s="18" t="s">
        <v>89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v>0</v>
      </c>
      <c r="L18" s="23">
        <f t="shared" si="2"/>
        <v>0</v>
      </c>
    </row>
    <row r="19" spans="1:14" x14ac:dyDescent="0.2">
      <c r="A19" s="18" t="s">
        <v>90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v>0</v>
      </c>
      <c r="L19" s="23">
        <f t="shared" si="2"/>
        <v>0</v>
      </c>
    </row>
    <row r="20" spans="1:14" x14ac:dyDescent="0.2">
      <c r="A20" s="18" t="s">
        <v>64</v>
      </c>
      <c r="B20" s="23">
        <f>B90</f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v>0</v>
      </c>
      <c r="L20" s="23">
        <f t="shared" si="2"/>
        <v>0</v>
      </c>
    </row>
    <row r="21" spans="1:14" x14ac:dyDescent="0.2">
      <c r="A21" s="18" t="s">
        <v>91</v>
      </c>
      <c r="B21" s="23">
        <v>0</v>
      </c>
      <c r="C21" s="23">
        <v>0</v>
      </c>
      <c r="D21" s="23">
        <f t="shared" si="0"/>
        <v>0</v>
      </c>
      <c r="F21" s="23">
        <v>1413</v>
      </c>
      <c r="G21" s="23">
        <v>0</v>
      </c>
      <c r="H21" s="23">
        <f t="shared" si="1"/>
        <v>-1413</v>
      </c>
      <c r="J21" s="23">
        <v>1413</v>
      </c>
      <c r="K21" s="23">
        <v>0</v>
      </c>
      <c r="L21" s="23">
        <f t="shared" si="2"/>
        <v>-1413</v>
      </c>
    </row>
    <row r="22" spans="1:14" x14ac:dyDescent="0.2">
      <c r="A22" s="18" t="s">
        <v>92</v>
      </c>
      <c r="B22" s="23">
        <v>0</v>
      </c>
      <c r="C22" s="23">
        <v>0</v>
      </c>
      <c r="D22" s="23">
        <f t="shared" si="0"/>
        <v>0</v>
      </c>
      <c r="F22" s="23">
        <v>0</v>
      </c>
      <c r="G22" s="23">
        <v>0</v>
      </c>
      <c r="H22" s="23">
        <f t="shared" si="1"/>
        <v>0</v>
      </c>
      <c r="J22" s="23">
        <v>0</v>
      </c>
      <c r="K22" s="23">
        <v>0</v>
      </c>
      <c r="L22" s="23">
        <f t="shared" si="2"/>
        <v>0</v>
      </c>
    </row>
    <row r="23" spans="1:14" x14ac:dyDescent="0.2">
      <c r="A23" s="18" t="s">
        <v>65</v>
      </c>
      <c r="B23" s="23">
        <v>143</v>
      </c>
      <c r="C23" s="23">
        <v>458</v>
      </c>
      <c r="D23" s="23">
        <f t="shared" si="0"/>
        <v>315</v>
      </c>
      <c r="F23" s="23">
        <v>143</v>
      </c>
      <c r="G23" s="23">
        <v>1374</v>
      </c>
      <c r="H23" s="23">
        <f t="shared" si="1"/>
        <v>1231</v>
      </c>
      <c r="J23" s="23">
        <v>3811</v>
      </c>
      <c r="K23" s="23">
        <v>5500</v>
      </c>
      <c r="L23" s="23">
        <f t="shared" si="2"/>
        <v>1689</v>
      </c>
    </row>
    <row r="24" spans="1:14" x14ac:dyDescent="0.2">
      <c r="A24" s="18" t="s">
        <v>45</v>
      </c>
      <c r="B24" s="23">
        <v>1225</v>
      </c>
      <c r="C24" s="23">
        <v>86</v>
      </c>
      <c r="D24" s="23">
        <f t="shared" si="0"/>
        <v>-1139</v>
      </c>
      <c r="F24" s="23">
        <v>1225</v>
      </c>
      <c r="G24" s="23">
        <v>258</v>
      </c>
      <c r="H24" s="23">
        <f t="shared" si="1"/>
        <v>-967</v>
      </c>
      <c r="J24" s="23">
        <v>67381</v>
      </c>
      <c r="K24" s="23">
        <v>71500</v>
      </c>
      <c r="L24" s="23">
        <f t="shared" si="2"/>
        <v>4119</v>
      </c>
    </row>
    <row r="25" spans="1:14" x14ac:dyDescent="0.2">
      <c r="A25" s="18" t="s">
        <v>66</v>
      </c>
      <c r="B25" s="23">
        <v>0</v>
      </c>
      <c r="C25" s="23">
        <v>86</v>
      </c>
      <c r="D25" s="23">
        <f t="shared" si="0"/>
        <v>86</v>
      </c>
      <c r="F25" s="23">
        <v>802</v>
      </c>
      <c r="G25" s="23">
        <v>258</v>
      </c>
      <c r="H25" s="23">
        <f t="shared" si="1"/>
        <v>-544</v>
      </c>
      <c r="J25" s="23">
        <v>1958</v>
      </c>
      <c r="K25" s="23">
        <v>1500</v>
      </c>
      <c r="L25" s="23">
        <f t="shared" si="2"/>
        <v>-458</v>
      </c>
    </row>
    <row r="26" spans="1:14" x14ac:dyDescent="0.2">
      <c r="A26" s="18" t="s">
        <v>67</v>
      </c>
      <c r="B26" s="23">
        <v>0</v>
      </c>
      <c r="C26" s="23">
        <v>286</v>
      </c>
      <c r="D26" s="23">
        <f t="shared" si="0"/>
        <v>286</v>
      </c>
      <c r="F26" s="23">
        <v>0</v>
      </c>
      <c r="G26" s="23">
        <v>858</v>
      </c>
      <c r="H26" s="23">
        <f t="shared" si="1"/>
        <v>858</v>
      </c>
      <c r="J26" s="23">
        <v>3856</v>
      </c>
      <c r="K26" s="23">
        <v>5000</v>
      </c>
      <c r="L26" s="23">
        <f t="shared" si="2"/>
        <v>1144</v>
      </c>
    </row>
    <row r="27" spans="1:14" x14ac:dyDescent="0.2">
      <c r="A27" s="18" t="s">
        <v>93</v>
      </c>
      <c r="B27" s="23">
        <v>0</v>
      </c>
      <c r="C27" s="23">
        <v>0</v>
      </c>
      <c r="D27" s="23">
        <f t="shared" si="0"/>
        <v>0</v>
      </c>
      <c r="F27" s="23">
        <v>0</v>
      </c>
      <c r="G27" s="23">
        <v>0</v>
      </c>
      <c r="H27" s="23">
        <f t="shared" si="1"/>
        <v>0</v>
      </c>
      <c r="J27" s="23">
        <v>0</v>
      </c>
      <c r="K27" s="23">
        <v>0</v>
      </c>
      <c r="L27" s="23">
        <f t="shared" si="2"/>
        <v>0</v>
      </c>
    </row>
    <row r="28" spans="1:14" x14ac:dyDescent="0.2">
      <c r="A28" s="18" t="s">
        <v>69</v>
      </c>
      <c r="B28" s="23">
        <f>85+8570</f>
        <v>8655</v>
      </c>
      <c r="C28" s="23">
        <v>333</v>
      </c>
      <c r="D28" s="23">
        <f t="shared" si="0"/>
        <v>-8322</v>
      </c>
      <c r="F28" s="23">
        <v>8655</v>
      </c>
      <c r="G28" s="23">
        <v>999</v>
      </c>
      <c r="H28" s="23">
        <f t="shared" si="1"/>
        <v>-7656</v>
      </c>
      <c r="J28" s="23">
        <v>11323</v>
      </c>
      <c r="K28" s="23">
        <v>4000</v>
      </c>
      <c r="L28" s="23">
        <f t="shared" si="2"/>
        <v>-7323</v>
      </c>
    </row>
    <row r="29" spans="1:14" x14ac:dyDescent="0.2">
      <c r="A29" s="18" t="s">
        <v>68</v>
      </c>
      <c r="B29" s="23">
        <v>5273</v>
      </c>
      <c r="C29" s="23">
        <v>15833</v>
      </c>
      <c r="D29" s="23">
        <f t="shared" si="0"/>
        <v>10560</v>
      </c>
      <c r="F29" s="23">
        <v>5273</v>
      </c>
      <c r="G29" s="23">
        <v>17499</v>
      </c>
      <c r="H29" s="23">
        <f t="shared" si="1"/>
        <v>12226</v>
      </c>
      <c r="J29" s="23">
        <v>12670.33</v>
      </c>
      <c r="K29" s="23">
        <v>25000</v>
      </c>
      <c r="L29" s="23">
        <f t="shared" si="2"/>
        <v>12329.67</v>
      </c>
    </row>
    <row r="30" spans="1:14" x14ac:dyDescent="0.2">
      <c r="A30" s="18" t="s">
        <v>94</v>
      </c>
      <c r="B30" s="23">
        <v>0</v>
      </c>
      <c r="C30" s="23">
        <v>0</v>
      </c>
      <c r="D30" s="23">
        <f t="shared" si="0"/>
        <v>0</v>
      </c>
      <c r="F30" s="23">
        <v>11</v>
      </c>
      <c r="G30" s="23">
        <v>0</v>
      </c>
      <c r="H30" s="23">
        <f t="shared" si="1"/>
        <v>-11</v>
      </c>
      <c r="J30" s="23">
        <v>11</v>
      </c>
      <c r="K30" s="23">
        <v>0</v>
      </c>
      <c r="L30" s="23">
        <f t="shared" si="2"/>
        <v>-11</v>
      </c>
    </row>
    <row r="31" spans="1:14" x14ac:dyDescent="0.2">
      <c r="A31" s="18" t="s">
        <v>46</v>
      </c>
      <c r="B31" s="23">
        <v>0</v>
      </c>
      <c r="C31" s="23">
        <v>600</v>
      </c>
      <c r="D31" s="23">
        <f t="shared" si="0"/>
        <v>600</v>
      </c>
      <c r="F31" s="23">
        <v>0</v>
      </c>
      <c r="G31" s="23">
        <v>1800</v>
      </c>
      <c r="H31" s="23">
        <f t="shared" si="1"/>
        <v>1800</v>
      </c>
      <c r="J31" s="23">
        <v>50100</v>
      </c>
      <c r="K31" s="23">
        <v>52500</v>
      </c>
      <c r="L31" s="23">
        <f t="shared" si="2"/>
        <v>2400</v>
      </c>
    </row>
    <row r="32" spans="1:14" x14ac:dyDescent="0.2">
      <c r="A32" s="18" t="s">
        <v>70</v>
      </c>
      <c r="B32" s="23">
        <f>1576+791</f>
        <v>2367</v>
      </c>
      <c r="C32" s="23">
        <v>3208</v>
      </c>
      <c r="D32" s="23">
        <f t="shared" si="0"/>
        <v>841</v>
      </c>
      <c r="F32" s="23">
        <v>7425</v>
      </c>
      <c r="G32" s="23">
        <v>9624</v>
      </c>
      <c r="H32" s="23">
        <f t="shared" si="1"/>
        <v>2199</v>
      </c>
      <c r="J32" s="23">
        <v>50754.74</v>
      </c>
      <c r="K32" s="23">
        <v>46200</v>
      </c>
      <c r="L32" s="23">
        <f t="shared" si="2"/>
        <v>-4554.739999999998</v>
      </c>
      <c r="N32" s="30" t="s">
        <v>116</v>
      </c>
    </row>
    <row r="33" spans="1:14" x14ac:dyDescent="0.2">
      <c r="A33" s="18" t="s">
        <v>71</v>
      </c>
      <c r="B33" s="23">
        <f>30820+1219+1675+3513</f>
        <v>37227</v>
      </c>
      <c r="C33" s="23">
        <v>5452</v>
      </c>
      <c r="D33" s="23">
        <f t="shared" si="0"/>
        <v>-31775</v>
      </c>
      <c r="F33" s="23">
        <v>53147</v>
      </c>
      <c r="G33" s="23">
        <v>16356</v>
      </c>
      <c r="H33" s="23">
        <f t="shared" si="1"/>
        <v>-36791</v>
      </c>
      <c r="J33" s="23">
        <v>271658.25</v>
      </c>
      <c r="K33" s="23">
        <v>82000</v>
      </c>
      <c r="L33" s="23">
        <f>+K33-J33</f>
        <v>-189658.25</v>
      </c>
      <c r="N33" s="30" t="s">
        <v>117</v>
      </c>
    </row>
    <row r="34" spans="1:14" x14ac:dyDescent="0.2">
      <c r="A34" s="18" t="s">
        <v>44</v>
      </c>
      <c r="B34" s="23">
        <f>60289</f>
        <v>60289</v>
      </c>
      <c r="C34" s="23">
        <v>52488</v>
      </c>
      <c r="D34" s="23">
        <f t="shared" si="0"/>
        <v>-7801</v>
      </c>
      <c r="F34" s="23">
        <v>167797</v>
      </c>
      <c r="G34" s="23">
        <v>157464</v>
      </c>
      <c r="H34" s="23">
        <f t="shared" si="1"/>
        <v>-10333</v>
      </c>
      <c r="J34" s="23">
        <v>769874.32</v>
      </c>
      <c r="K34" s="23">
        <v>737167</v>
      </c>
      <c r="L34" s="23">
        <f>+K34-J34</f>
        <v>-32707.319999999949</v>
      </c>
      <c r="N34" s="30" t="s">
        <v>113</v>
      </c>
    </row>
    <row r="35" spans="1:14" x14ac:dyDescent="0.2">
      <c r="A35" s="18" t="s">
        <v>47</v>
      </c>
      <c r="B35" s="23">
        <f>5178</f>
        <v>5178</v>
      </c>
      <c r="C35" s="23">
        <v>2975</v>
      </c>
      <c r="D35" s="23">
        <f t="shared" si="0"/>
        <v>-2203</v>
      </c>
      <c r="F35" s="23">
        <v>12678</v>
      </c>
      <c r="G35" s="23">
        <v>8925</v>
      </c>
      <c r="H35" s="23">
        <f t="shared" si="1"/>
        <v>-3753</v>
      </c>
      <c r="J35" s="23">
        <v>38773.769999999997</v>
      </c>
      <c r="K35" s="23">
        <v>35700</v>
      </c>
      <c r="L35" s="23">
        <f>+K35-J35</f>
        <v>-3073.7699999999968</v>
      </c>
    </row>
    <row r="36" spans="1:14" x14ac:dyDescent="0.2">
      <c r="A36" s="18" t="s">
        <v>2</v>
      </c>
      <c r="B36" s="23">
        <v>94463</v>
      </c>
      <c r="C36" s="23">
        <f>1850+23528</f>
        <v>25378</v>
      </c>
      <c r="D36" s="23">
        <f t="shared" si="0"/>
        <v>-69085</v>
      </c>
      <c r="F36" s="23">
        <v>143249</v>
      </c>
      <c r="G36" s="23">
        <v>76134</v>
      </c>
      <c r="H36" s="23">
        <f t="shared" si="1"/>
        <v>-67115</v>
      </c>
      <c r="J36" s="23">
        <v>449134.98</v>
      </c>
      <c r="K36" s="23">
        <v>310678</v>
      </c>
      <c r="L36" s="23">
        <f t="shared" si="2"/>
        <v>-138456.97999999998</v>
      </c>
      <c r="N36" s="30" t="s">
        <v>118</v>
      </c>
    </row>
    <row r="37" spans="1:14" x14ac:dyDescent="0.2">
      <c r="A37" s="18" t="s">
        <v>95</v>
      </c>
      <c r="B37" s="23">
        <v>0</v>
      </c>
      <c r="C37" s="23">
        <v>0</v>
      </c>
      <c r="D37" s="23">
        <f t="shared" si="0"/>
        <v>0</v>
      </c>
      <c r="F37" s="23">
        <v>0</v>
      </c>
      <c r="G37" s="23">
        <v>0</v>
      </c>
      <c r="H37" s="23">
        <f t="shared" si="1"/>
        <v>0</v>
      </c>
      <c r="J37" s="23">
        <v>0</v>
      </c>
      <c r="K37" s="23">
        <v>0</v>
      </c>
      <c r="L37" s="23">
        <f t="shared" si="2"/>
        <v>0</v>
      </c>
    </row>
    <row r="38" spans="1:14" x14ac:dyDescent="0.2">
      <c r="A38" s="18" t="s">
        <v>72</v>
      </c>
      <c r="B38" s="23">
        <v>0</v>
      </c>
      <c r="C38" s="23">
        <v>146</v>
      </c>
      <c r="D38" s="23">
        <f t="shared" si="0"/>
        <v>146</v>
      </c>
      <c r="F38" s="23">
        <v>0</v>
      </c>
      <c r="G38" s="23">
        <v>438</v>
      </c>
      <c r="H38" s="23">
        <f t="shared" si="1"/>
        <v>438</v>
      </c>
      <c r="J38" s="23">
        <v>1166</v>
      </c>
      <c r="K38" s="23">
        <v>1750</v>
      </c>
      <c r="L38" s="23">
        <f t="shared" si="2"/>
        <v>584</v>
      </c>
    </row>
    <row r="39" spans="1:14" x14ac:dyDescent="0.2">
      <c r="A39" s="18" t="s">
        <v>48</v>
      </c>
      <c r="B39" s="23">
        <f>26311</f>
        <v>26311</v>
      </c>
      <c r="C39" s="23">
        <v>11143</v>
      </c>
      <c r="D39" s="23">
        <f t="shared" si="0"/>
        <v>-15168</v>
      </c>
      <c r="F39" s="23">
        <v>26311</v>
      </c>
      <c r="G39" s="23">
        <v>33429</v>
      </c>
      <c r="H39" s="23">
        <f t="shared" si="1"/>
        <v>7118</v>
      </c>
      <c r="J39" s="23">
        <v>181947.83</v>
      </c>
      <c r="K39" s="23">
        <v>195000</v>
      </c>
      <c r="L39" s="23">
        <f t="shared" si="2"/>
        <v>13052.170000000013</v>
      </c>
    </row>
    <row r="40" spans="1:14" x14ac:dyDescent="0.2">
      <c r="A40" s="18" t="s">
        <v>74</v>
      </c>
      <c r="B40" s="23">
        <f>B110</f>
        <v>0</v>
      </c>
      <c r="C40" s="23">
        <v>0</v>
      </c>
      <c r="D40" s="23">
        <f t="shared" si="0"/>
        <v>0</v>
      </c>
      <c r="F40" s="23">
        <v>0</v>
      </c>
      <c r="G40" s="23">
        <v>0</v>
      </c>
      <c r="H40" s="23">
        <f t="shared" si="1"/>
        <v>0</v>
      </c>
      <c r="J40" s="23">
        <v>0</v>
      </c>
      <c r="K40" s="23">
        <v>0</v>
      </c>
      <c r="L40" s="23">
        <f t="shared" si="2"/>
        <v>0</v>
      </c>
    </row>
    <row r="41" spans="1:14" x14ac:dyDescent="0.2">
      <c r="A41" s="18" t="s">
        <v>96</v>
      </c>
      <c r="B41" s="23">
        <f>2684</f>
        <v>2684</v>
      </c>
      <c r="D41" s="23">
        <f t="shared" si="0"/>
        <v>-2684</v>
      </c>
      <c r="F41" s="23">
        <v>33499</v>
      </c>
      <c r="G41" s="23">
        <v>0</v>
      </c>
      <c r="H41" s="23">
        <f t="shared" si="1"/>
        <v>-33499</v>
      </c>
      <c r="J41" s="23">
        <v>41293.53</v>
      </c>
      <c r="K41" s="23">
        <v>0</v>
      </c>
      <c r="L41" s="23">
        <f t="shared" si="2"/>
        <v>-41293.53</v>
      </c>
      <c r="N41" s="30" t="s">
        <v>103</v>
      </c>
    </row>
    <row r="42" spans="1:14" x14ac:dyDescent="0.2">
      <c r="A42" s="18"/>
      <c r="N42" s="30"/>
    </row>
    <row r="43" spans="1:14" x14ac:dyDescent="0.2">
      <c r="A43" s="19" t="s">
        <v>28</v>
      </c>
      <c r="B43" s="27">
        <f>SUM(B14:B41)</f>
        <v>243815</v>
      </c>
      <c r="C43" s="27">
        <f>SUM(C14:C41)</f>
        <v>119015</v>
      </c>
      <c r="D43" s="27">
        <f>SUM(D15:D41)</f>
        <v>-124800</v>
      </c>
      <c r="F43" s="27">
        <v>461628</v>
      </c>
      <c r="G43" s="27">
        <v>327045</v>
      </c>
      <c r="H43" s="27">
        <f>SUM(H15:H41)</f>
        <v>-134583</v>
      </c>
      <c r="J43" s="27">
        <v>1970630.79</v>
      </c>
      <c r="K43" s="27">
        <v>1582995</v>
      </c>
      <c r="L43" s="27">
        <f>SUM(L15:L41)</f>
        <v>-387635.78999999992</v>
      </c>
      <c r="N43" s="30" t="s">
        <v>101</v>
      </c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">
      <c r="A45" s="17" t="s">
        <v>29</v>
      </c>
      <c r="B45" s="25">
        <v>16152</v>
      </c>
      <c r="C45" s="25">
        <f>200000/12</f>
        <v>16666.666666666668</v>
      </c>
      <c r="D45" s="25">
        <f>+C45-B45</f>
        <v>514.66666666666788</v>
      </c>
      <c r="F45" s="25">
        <v>52516</v>
      </c>
      <c r="G45" s="25">
        <v>50000</v>
      </c>
      <c r="H45" s="25">
        <f>+G45-F45</f>
        <v>-2516</v>
      </c>
      <c r="J45" s="25">
        <v>207019</v>
      </c>
      <c r="K45" s="25">
        <v>203502.33333333334</v>
      </c>
      <c r="L45" s="25">
        <f>+K45-J45</f>
        <v>-3516.666666666657</v>
      </c>
      <c r="N45" s="30" t="s">
        <v>78</v>
      </c>
    </row>
    <row r="46" spans="1:14" x14ac:dyDescent="0.2">
      <c r="A46" s="17"/>
      <c r="N46" s="30" t="s">
        <v>77</v>
      </c>
    </row>
    <row r="47" spans="1:14" x14ac:dyDescent="0.2">
      <c r="A47" s="17" t="s">
        <v>30</v>
      </c>
      <c r="B47" s="25">
        <v>6000</v>
      </c>
      <c r="C47" s="25">
        <v>50000</v>
      </c>
      <c r="D47" s="25">
        <f>+C47-B47</f>
        <v>44000</v>
      </c>
      <c r="F47" s="25">
        <v>272667</v>
      </c>
      <c r="G47" s="25">
        <v>150000</v>
      </c>
      <c r="H47" s="25">
        <f>+G47-F47</f>
        <v>-122667</v>
      </c>
      <c r="J47" s="25">
        <v>1006000</v>
      </c>
      <c r="K47" s="25">
        <v>600000</v>
      </c>
      <c r="L47" s="25">
        <f>+K47-J47</f>
        <v>-406000</v>
      </c>
      <c r="N47" s="33" t="s">
        <v>98</v>
      </c>
    </row>
    <row r="48" spans="1:14" x14ac:dyDescent="0.2">
      <c r="A48" s="17"/>
    </row>
    <row r="49" spans="1:14" ht="13.5" thickBot="1" x14ac:dyDescent="0.25">
      <c r="A49" s="4" t="s">
        <v>16</v>
      </c>
      <c r="B49" s="24">
        <f>+B43+B45+B47</f>
        <v>265967</v>
      </c>
      <c r="C49" s="24">
        <f>+C43+C45+C47</f>
        <v>185681.66666666666</v>
      </c>
      <c r="D49" s="24">
        <f>+C49-B49</f>
        <v>-80285.333333333343</v>
      </c>
      <c r="F49" s="24">
        <v>786811</v>
      </c>
      <c r="G49" s="24">
        <v>527045</v>
      </c>
      <c r="H49" s="24">
        <f>+G49-F49</f>
        <v>-259766</v>
      </c>
      <c r="J49" s="24">
        <v>3183649.79</v>
      </c>
      <c r="K49" s="24">
        <v>2386497.333333333</v>
      </c>
      <c r="L49" s="24">
        <f>+K49-J49</f>
        <v>-797152.45666666701</v>
      </c>
    </row>
    <row r="50" spans="1:14" x14ac:dyDescent="0.2">
      <c r="A50" s="1"/>
    </row>
    <row r="51" spans="1:14" x14ac:dyDescent="0.2">
      <c r="A51" s="1" t="s">
        <v>11</v>
      </c>
    </row>
    <row r="52" spans="1:14" x14ac:dyDescent="0.2">
      <c r="A52" s="3" t="s">
        <v>0</v>
      </c>
      <c r="B52" s="23">
        <v>19403</v>
      </c>
      <c r="C52" s="23">
        <f>255760/12</f>
        <v>21313.333333333332</v>
      </c>
      <c r="D52" s="23">
        <f t="shared" ref="D52:D58" si="3">+C52-B52</f>
        <v>1910.3333333333321</v>
      </c>
      <c r="F52" s="23">
        <v>58209</v>
      </c>
      <c r="G52" s="23">
        <v>63940</v>
      </c>
      <c r="H52" s="23">
        <f t="shared" ref="H52:H58" si="4">+G52-F52</f>
        <v>5731</v>
      </c>
      <c r="J52" s="23">
        <v>261456</v>
      </c>
      <c r="K52" s="23">
        <v>260235.91666666666</v>
      </c>
      <c r="L52" s="23">
        <f t="shared" ref="L52:L58" si="5">+K52-J52</f>
        <v>-1220.083333333343</v>
      </c>
      <c r="N52" s="30" t="s">
        <v>76</v>
      </c>
    </row>
    <row r="53" spans="1:14" x14ac:dyDescent="0.2">
      <c r="A53" s="3" t="s">
        <v>1</v>
      </c>
      <c r="B53" s="23">
        <v>52455</v>
      </c>
      <c r="C53" s="23">
        <v>0</v>
      </c>
      <c r="D53" s="23">
        <f t="shared" si="3"/>
        <v>-52455</v>
      </c>
      <c r="F53" s="23">
        <v>149910</v>
      </c>
      <c r="G53" s="23">
        <v>0</v>
      </c>
      <c r="H53" s="23">
        <f t="shared" si="4"/>
        <v>-149910</v>
      </c>
      <c r="J53" s="23">
        <v>591200</v>
      </c>
      <c r="K53" s="23">
        <v>314595.16666666669</v>
      </c>
      <c r="L53" s="23">
        <f t="shared" si="5"/>
        <v>-276604.83333333331</v>
      </c>
      <c r="N53" s="30" t="s">
        <v>75</v>
      </c>
    </row>
    <row r="54" spans="1:14" x14ac:dyDescent="0.2">
      <c r="A54" s="3" t="s">
        <v>3</v>
      </c>
      <c r="B54" s="23">
        <v>0</v>
      </c>
      <c r="C54" s="23">
        <f>100000/12</f>
        <v>8333.3333333333339</v>
      </c>
      <c r="D54" s="23">
        <f t="shared" si="3"/>
        <v>8333.3333333333339</v>
      </c>
      <c r="F54" s="23">
        <v>0</v>
      </c>
      <c r="G54" s="23">
        <v>25000</v>
      </c>
      <c r="H54" s="23">
        <f t="shared" si="4"/>
        <v>25000</v>
      </c>
      <c r="J54" s="23">
        <v>68416.666666666672</v>
      </c>
      <c r="K54" s="23">
        <v>101750</v>
      </c>
      <c r="L54" s="23">
        <f t="shared" si="5"/>
        <v>33333.333333333328</v>
      </c>
    </row>
    <row r="55" spans="1:14" x14ac:dyDescent="0.2">
      <c r="A55" s="3" t="s">
        <v>4</v>
      </c>
      <c r="B55" s="23">
        <v>0</v>
      </c>
      <c r="C55" s="23">
        <v>2500</v>
      </c>
      <c r="D55" s="23">
        <f t="shared" si="3"/>
        <v>2500</v>
      </c>
      <c r="F55" s="23">
        <v>0</v>
      </c>
      <c r="G55" s="23">
        <v>7500</v>
      </c>
      <c r="H55" s="23">
        <f t="shared" si="4"/>
        <v>7500</v>
      </c>
      <c r="J55" s="23">
        <v>20525</v>
      </c>
      <c r="K55" s="23">
        <v>30525</v>
      </c>
      <c r="L55" s="23">
        <f t="shared" si="5"/>
        <v>10000</v>
      </c>
    </row>
    <row r="56" spans="1:14" x14ac:dyDescent="0.2">
      <c r="A56" s="3" t="s">
        <v>5</v>
      </c>
      <c r="B56" s="23">
        <f>-18996-4834-2-6000</f>
        <v>-29832</v>
      </c>
      <c r="C56" s="23">
        <f>75000/12</f>
        <v>6250</v>
      </c>
      <c r="D56" s="23">
        <f t="shared" si="3"/>
        <v>36082</v>
      </c>
      <c r="F56" s="23">
        <v>-25311</v>
      </c>
      <c r="G56" s="23">
        <v>18750</v>
      </c>
      <c r="H56" s="23">
        <f t="shared" si="4"/>
        <v>44061</v>
      </c>
      <c r="J56" s="23">
        <v>60533</v>
      </c>
      <c r="K56" s="23">
        <v>76621</v>
      </c>
      <c r="L56" s="23">
        <f t="shared" si="5"/>
        <v>16088</v>
      </c>
    </row>
    <row r="57" spans="1:14" x14ac:dyDescent="0.2">
      <c r="A57" s="3" t="s">
        <v>14</v>
      </c>
      <c r="B57" s="23">
        <v>0</v>
      </c>
      <c r="C57" s="23">
        <v>0</v>
      </c>
      <c r="D57" s="23">
        <f t="shared" si="3"/>
        <v>0</v>
      </c>
      <c r="F57" s="23">
        <v>0</v>
      </c>
      <c r="G57" s="23">
        <v>0</v>
      </c>
      <c r="H57" s="23">
        <f t="shared" si="4"/>
        <v>0</v>
      </c>
      <c r="J57" s="23">
        <v>0</v>
      </c>
      <c r="K57" s="23">
        <v>0</v>
      </c>
      <c r="L57" s="23">
        <f t="shared" si="5"/>
        <v>0</v>
      </c>
    </row>
    <row r="58" spans="1:14" x14ac:dyDescent="0.2">
      <c r="A58" s="3"/>
      <c r="D58" s="23">
        <f t="shared" si="3"/>
        <v>0</v>
      </c>
      <c r="H58" s="23">
        <f t="shared" si="4"/>
        <v>0</v>
      </c>
      <c r="J58" s="23">
        <v>0</v>
      </c>
      <c r="K58" s="23">
        <v>0</v>
      </c>
      <c r="L58" s="23">
        <f t="shared" si="5"/>
        <v>0</v>
      </c>
    </row>
    <row r="59" spans="1:14" ht="13.5" thickBot="1" x14ac:dyDescent="0.25">
      <c r="A59" s="4" t="s">
        <v>15</v>
      </c>
      <c r="B59" s="28">
        <f>SUM(B51:B58)</f>
        <v>42026</v>
      </c>
      <c r="C59" s="28">
        <f>SUM(C51:C58)</f>
        <v>38396.666666666664</v>
      </c>
      <c r="D59" s="28">
        <f>SUM(D52:D58)</f>
        <v>-3629.3333333333358</v>
      </c>
      <c r="F59" s="28">
        <v>182808</v>
      </c>
      <c r="G59" s="28">
        <v>115190</v>
      </c>
      <c r="H59" s="28">
        <f>SUM(H52:H58)</f>
        <v>-67618</v>
      </c>
      <c r="J59" s="28">
        <v>1002130.6666666666</v>
      </c>
      <c r="K59" s="28">
        <v>783727.08333333337</v>
      </c>
      <c r="L59" s="28">
        <f>SUM(L52:L58)</f>
        <v>-218403.58333333331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v>0</v>
      </c>
      <c r="L62" s="23">
        <f>+K62-J62</f>
        <v>0</v>
      </c>
    </row>
    <row r="63" spans="1:14" x14ac:dyDescent="0.2">
      <c r="A63" s="3" t="s">
        <v>7</v>
      </c>
      <c r="B63" s="23">
        <v>527832</v>
      </c>
      <c r="C63" s="23">
        <v>685000</v>
      </c>
      <c r="D63" s="23">
        <f>+C63-B63</f>
        <v>157168</v>
      </c>
      <c r="F63" s="23">
        <v>1868789</v>
      </c>
      <c r="G63" s="23">
        <v>2026000</v>
      </c>
      <c r="H63" s="23">
        <f>+G63-F63</f>
        <v>157211</v>
      </c>
      <c r="J63" s="23">
        <v>6745353.2014422277</v>
      </c>
      <c r="K63" s="23">
        <v>8172000</v>
      </c>
      <c r="L63" s="23">
        <f>+K63-J63</f>
        <v>1426646.7985577723</v>
      </c>
      <c r="N63" s="30"/>
    </row>
    <row r="64" spans="1:14" x14ac:dyDescent="0.2">
      <c r="A64" s="3" t="s">
        <v>8</v>
      </c>
      <c r="B64" s="23">
        <v>381816</v>
      </c>
      <c r="C64" s="23">
        <v>382000</v>
      </c>
      <c r="D64" s="23">
        <f>+C64-B64</f>
        <v>184</v>
      </c>
      <c r="F64" s="23">
        <v>1141417</v>
      </c>
      <c r="G64" s="23">
        <v>1146000</v>
      </c>
      <c r="H64" s="23">
        <f>+G64-F64</f>
        <v>4583</v>
      </c>
      <c r="J64" s="23">
        <v>4590793</v>
      </c>
      <c r="K64" s="23">
        <v>4582000</v>
      </c>
      <c r="L64" s="23">
        <f>+K64-J64</f>
        <v>-8793</v>
      </c>
      <c r="N64" s="30"/>
    </row>
    <row r="65" spans="1:12" x14ac:dyDescent="0.2">
      <c r="A65" s="3"/>
      <c r="D65" s="23">
        <f>+C65-B65</f>
        <v>0</v>
      </c>
      <c r="H65" s="23">
        <f>+G65-F65</f>
        <v>0</v>
      </c>
      <c r="J65" s="23">
        <v>0</v>
      </c>
      <c r="K65" s="23">
        <v>0</v>
      </c>
      <c r="L65" s="23">
        <f>+K65-J65</f>
        <v>0</v>
      </c>
    </row>
    <row r="66" spans="1:12" ht="13.5" thickBot="1" x14ac:dyDescent="0.25">
      <c r="A66" s="4" t="s">
        <v>17</v>
      </c>
      <c r="B66" s="28">
        <f>SUM(B61:B65)</f>
        <v>909648</v>
      </c>
      <c r="C66" s="28">
        <f>SUM(C61:C65)</f>
        <v>1067000</v>
      </c>
      <c r="D66" s="28">
        <f>SUM(D62:D65)</f>
        <v>157352</v>
      </c>
      <c r="F66" s="28">
        <v>3010206</v>
      </c>
      <c r="G66" s="28">
        <v>3172000</v>
      </c>
      <c r="H66" s="28">
        <f>SUM(H62:H65)</f>
        <v>161794</v>
      </c>
      <c r="J66" s="28">
        <v>11336146.201442227</v>
      </c>
      <c r="K66" s="28">
        <v>12754000</v>
      </c>
      <c r="L66" s="28">
        <f>SUM(L62:L65)</f>
        <v>1417853.7985577723</v>
      </c>
    </row>
    <row r="68" spans="1:12" ht="13.5" thickBot="1" x14ac:dyDescent="0.25">
      <c r="A68" s="1" t="s">
        <v>13</v>
      </c>
      <c r="B68" s="29">
        <f>+B11+B49+B59+B66</f>
        <v>1217641</v>
      </c>
      <c r="C68" s="29">
        <f>+C11+C49+C59+C66</f>
        <v>1291078.3333333333</v>
      </c>
      <c r="D68" s="29">
        <f>+C68-B68</f>
        <v>73437.333333333256</v>
      </c>
      <c r="F68" s="29">
        <v>3979825</v>
      </c>
      <c r="G68" s="29">
        <v>3814235</v>
      </c>
      <c r="H68" s="29">
        <f>+G68-F68</f>
        <v>-165590</v>
      </c>
      <c r="J68" s="29">
        <v>15521926.658108894</v>
      </c>
      <c r="K68" s="29">
        <v>15924224.416666666</v>
      </c>
      <c r="L68" s="29">
        <f>L49+L59+L66</f>
        <v>402297.75855777203</v>
      </c>
    </row>
    <row r="69" spans="1:12" ht="13.5" thickTop="1" x14ac:dyDescent="0.2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40" activePane="bottomRight" state="frozen"/>
      <selection activeCell="B7" sqref="B7:D7"/>
      <selection pane="topRight" activeCell="B7" sqref="B7:D7"/>
      <selection pane="bottomLeft" activeCell="B7" sqref="B7:D7"/>
      <selection pane="bottomRight" activeCell="D29" sqref="D29"/>
    </sheetView>
  </sheetViews>
  <sheetFormatPr defaultColWidth="8.85546875" defaultRowHeight="12.75" x14ac:dyDescent="0.2"/>
  <cols>
    <col min="1" max="1" width="41.140625" customWidth="1"/>
    <col min="2" max="9" width="10.28515625" style="23" customWidth="1"/>
    <col min="10" max="10" width="11.42578125" style="23" customWidth="1"/>
    <col min="11" max="13" width="10.28515625" style="23" customWidth="1"/>
    <col min="14" max="14" width="0.85546875" style="23" customWidth="1"/>
    <col min="15" max="15" width="12" style="23" customWidth="1"/>
    <col min="16" max="16" width="2.7109375" style="23" customWidth="1"/>
    <col min="17" max="18" width="10.28515625" style="23" customWidth="1"/>
    <col min="19" max="19" width="12.140625" style="23" customWidth="1"/>
    <col min="20" max="20" width="10.28515625" style="23" customWidth="1"/>
    <col min="21" max="21" width="0.85546875" style="23" customWidth="1"/>
    <col min="22" max="22" width="11.85546875" style="23" customWidth="1"/>
    <col min="23" max="80" width="8.85546875" style="23" customWidth="1"/>
  </cols>
  <sheetData>
    <row r="1" spans="1:80" s="2" customFormat="1" ht="15.75" x14ac:dyDescent="0.25">
      <c r="A1" s="43" t="s">
        <v>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">
      <c r="A12" s="1" t="s">
        <v>10</v>
      </c>
    </row>
    <row r="13" spans="1:80" x14ac:dyDescent="0.2">
      <c r="A13" s="17" t="s">
        <v>49</v>
      </c>
    </row>
    <row r="14" spans="1:80" x14ac:dyDescent="0.2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">
      <c r="A15" s="18" t="s">
        <v>63</v>
      </c>
      <c r="B15" s="23">
        <v>0</v>
      </c>
      <c r="C15" s="23">
        <v>0</v>
      </c>
      <c r="D15" s="23">
        <v>0</v>
      </c>
      <c r="E15" s="23">
        <v>6176.04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13504.04</v>
      </c>
      <c r="Q15" s="23">
        <f t="shared" ref="Q15:Q42" si="2">SUM(B15:D15)</f>
        <v>0</v>
      </c>
      <c r="R15" s="23">
        <f t="shared" ref="R15:R42" si="3">SUM(E15:G15)</f>
        <v>8456.0400000000009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13504.04</v>
      </c>
    </row>
    <row r="16" spans="1:80" x14ac:dyDescent="0.2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>SUM(B17:M17)</f>
        <v>0</v>
      </c>
      <c r="Q17" s="23">
        <f>SUM(B17:D17)</f>
        <v>0</v>
      </c>
      <c r="R17" s="23">
        <f>SUM(E17:G17)</f>
        <v>0</v>
      </c>
      <c r="S17" s="23">
        <f>SUM(H17:J17)</f>
        <v>0</v>
      </c>
      <c r="T17" s="23">
        <f>SUM(K17:M17)</f>
        <v>0</v>
      </c>
      <c r="V17" s="23">
        <f>SUM(Q17:U17)</f>
        <v>0</v>
      </c>
    </row>
    <row r="18" spans="1:22" x14ac:dyDescent="0.2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>SUM(B18:M18)</f>
        <v>0</v>
      </c>
      <c r="Q18" s="23">
        <f>SUM(B18:D18)</f>
        <v>0</v>
      </c>
      <c r="R18" s="23">
        <f>SUM(E18:G18)</f>
        <v>0</v>
      </c>
      <c r="S18" s="23">
        <f>SUM(H18:J18)</f>
        <v>0</v>
      </c>
      <c r="T18" s="23">
        <f>SUM(K18:M18)</f>
        <v>0</v>
      </c>
      <c r="V18" s="23">
        <f>SUM(Q18:U18)</f>
        <v>0</v>
      </c>
    </row>
    <row r="19" spans="1:22" x14ac:dyDescent="0.2">
      <c r="A19" s="18" t="s">
        <v>64</v>
      </c>
      <c r="B19" s="23">
        <v>0</v>
      </c>
      <c r="C19" s="23">
        <v>0</v>
      </c>
      <c r="D19" s="23">
        <f t="shared" ref="D19:M19" si="7">D89</f>
        <v>0</v>
      </c>
      <c r="E19" s="23">
        <f t="shared" si="7"/>
        <v>0</v>
      </c>
      <c r="F19" s="23">
        <f t="shared" si="7"/>
        <v>0</v>
      </c>
      <c r="G19" s="23">
        <f t="shared" si="7"/>
        <v>0</v>
      </c>
      <c r="H19" s="23">
        <f t="shared" si="7"/>
        <v>0</v>
      </c>
      <c r="I19" s="23">
        <f t="shared" si="7"/>
        <v>0</v>
      </c>
      <c r="J19" s="23">
        <f t="shared" si="7"/>
        <v>0</v>
      </c>
      <c r="K19" s="23">
        <f t="shared" si="7"/>
        <v>0</v>
      </c>
      <c r="L19" s="23">
        <f t="shared" si="7"/>
        <v>0</v>
      </c>
      <c r="M19" s="23">
        <f t="shared" si="7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">
      <c r="A20" s="18" t="s">
        <v>91</v>
      </c>
      <c r="B20" s="23">
        <v>0</v>
      </c>
      <c r="C20" s="23">
        <v>1413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O20" s="23">
        <f t="shared" si="1"/>
        <v>1413</v>
      </c>
      <c r="Q20" s="23">
        <f t="shared" si="2"/>
        <v>1413</v>
      </c>
      <c r="R20" s="23">
        <f t="shared" si="3"/>
        <v>0</v>
      </c>
      <c r="S20" s="23">
        <f t="shared" si="4"/>
        <v>0</v>
      </c>
      <c r="T20" s="23">
        <f t="shared" si="5"/>
        <v>0</v>
      </c>
      <c r="V20" s="23">
        <f t="shared" si="6"/>
        <v>1413</v>
      </c>
    </row>
    <row r="21" spans="1:22" x14ac:dyDescent="0.2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>SUM(B21:M21)</f>
        <v>0</v>
      </c>
      <c r="Q21" s="23">
        <f>SUM(B21:D21)</f>
        <v>0</v>
      </c>
      <c r="R21" s="23">
        <f>SUM(E21:G21)</f>
        <v>0</v>
      </c>
      <c r="S21" s="23">
        <f>SUM(H21:J21)</f>
        <v>0</v>
      </c>
      <c r="T21" s="23">
        <f>SUM(K21:M21)</f>
        <v>0</v>
      </c>
      <c r="V21" s="23">
        <f>SUM(Q21:U21)</f>
        <v>0</v>
      </c>
    </row>
    <row r="22" spans="1:22" x14ac:dyDescent="0.2">
      <c r="A22" s="18" t="s">
        <v>65</v>
      </c>
      <c r="B22" s="23">
        <v>0</v>
      </c>
      <c r="C22" s="23">
        <v>0</v>
      </c>
      <c r="D22" s="23">
        <v>143</v>
      </c>
      <c r="E22" s="23">
        <v>0</v>
      </c>
      <c r="F22" s="23">
        <f t="shared" ref="F22:M22" si="8">F92</f>
        <v>458</v>
      </c>
      <c r="G22" s="23">
        <f t="shared" si="8"/>
        <v>458</v>
      </c>
      <c r="H22" s="23">
        <f t="shared" si="8"/>
        <v>458</v>
      </c>
      <c r="I22" s="23">
        <f t="shared" si="8"/>
        <v>458</v>
      </c>
      <c r="J22" s="23">
        <f t="shared" si="8"/>
        <v>458</v>
      </c>
      <c r="K22" s="23">
        <f t="shared" si="8"/>
        <v>458</v>
      </c>
      <c r="L22" s="23">
        <f t="shared" si="8"/>
        <v>458</v>
      </c>
      <c r="M22" s="23">
        <f t="shared" si="8"/>
        <v>462</v>
      </c>
      <c r="O22" s="23">
        <f t="shared" si="1"/>
        <v>3811</v>
      </c>
      <c r="Q22" s="23">
        <f t="shared" si="2"/>
        <v>143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3811</v>
      </c>
    </row>
    <row r="23" spans="1:22" x14ac:dyDescent="0.2">
      <c r="A23" s="18" t="s">
        <v>45</v>
      </c>
      <c r="B23" s="23">
        <v>0</v>
      </c>
      <c r="C23" s="23">
        <v>0</v>
      </c>
      <c r="D23" s="23">
        <v>1225</v>
      </c>
      <c r="E23" s="23">
        <v>0</v>
      </c>
      <c r="F23" s="23">
        <f t="shared" ref="F23:M23" si="9">F93</f>
        <v>12180</v>
      </c>
      <c r="G23" s="23">
        <f t="shared" si="9"/>
        <v>12180</v>
      </c>
      <c r="H23" s="23">
        <f t="shared" si="9"/>
        <v>12180</v>
      </c>
      <c r="I23" s="23">
        <f t="shared" si="9"/>
        <v>12180</v>
      </c>
      <c r="J23" s="23">
        <f t="shared" si="9"/>
        <v>12180</v>
      </c>
      <c r="K23" s="23">
        <f t="shared" si="9"/>
        <v>5086</v>
      </c>
      <c r="L23" s="23">
        <f t="shared" si="9"/>
        <v>86</v>
      </c>
      <c r="M23" s="23">
        <f t="shared" si="9"/>
        <v>84</v>
      </c>
      <c r="O23" s="23">
        <f t="shared" si="1"/>
        <v>67381</v>
      </c>
      <c r="Q23" s="23">
        <f t="shared" si="2"/>
        <v>1225</v>
      </c>
      <c r="R23" s="23">
        <f t="shared" si="3"/>
        <v>24360</v>
      </c>
      <c r="S23" s="23">
        <f t="shared" si="4"/>
        <v>36540</v>
      </c>
      <c r="T23" s="23">
        <f t="shared" si="5"/>
        <v>5256</v>
      </c>
      <c r="V23" s="23">
        <f t="shared" si="6"/>
        <v>67381</v>
      </c>
    </row>
    <row r="24" spans="1:22" x14ac:dyDescent="0.2">
      <c r="A24" s="18" t="s">
        <v>66</v>
      </c>
      <c r="B24" s="23">
        <v>0</v>
      </c>
      <c r="C24" s="23">
        <v>802</v>
      </c>
      <c r="D24" s="23">
        <v>0</v>
      </c>
      <c r="E24" s="23">
        <v>0</v>
      </c>
      <c r="F24" s="23">
        <f t="shared" ref="F24:M24" si="10">F94</f>
        <v>180</v>
      </c>
      <c r="G24" s="23">
        <f t="shared" si="10"/>
        <v>180</v>
      </c>
      <c r="H24" s="23">
        <f t="shared" si="10"/>
        <v>180</v>
      </c>
      <c r="I24" s="23">
        <f t="shared" si="10"/>
        <v>180</v>
      </c>
      <c r="J24" s="23">
        <f t="shared" si="10"/>
        <v>180</v>
      </c>
      <c r="K24" s="23">
        <f t="shared" si="10"/>
        <v>86</v>
      </c>
      <c r="L24" s="23">
        <f t="shared" si="10"/>
        <v>86</v>
      </c>
      <c r="M24" s="23">
        <f t="shared" si="10"/>
        <v>84</v>
      </c>
      <c r="O24" s="23">
        <f t="shared" si="1"/>
        <v>1958</v>
      </c>
      <c r="Q24" s="23">
        <f t="shared" si="2"/>
        <v>802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1958</v>
      </c>
    </row>
    <row r="25" spans="1:22" x14ac:dyDescent="0.2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1">F95</f>
        <v>600</v>
      </c>
      <c r="G25" s="23">
        <f t="shared" si="11"/>
        <v>600</v>
      </c>
      <c r="H25" s="23">
        <f t="shared" si="11"/>
        <v>600</v>
      </c>
      <c r="I25" s="23">
        <f t="shared" si="11"/>
        <v>600</v>
      </c>
      <c r="J25" s="23">
        <f t="shared" si="11"/>
        <v>600</v>
      </c>
      <c r="K25" s="23">
        <f t="shared" si="11"/>
        <v>286</v>
      </c>
      <c r="L25" s="23">
        <f t="shared" si="11"/>
        <v>286</v>
      </c>
      <c r="M25" s="23">
        <f t="shared" si="11"/>
        <v>284</v>
      </c>
      <c r="O25" s="23">
        <f t="shared" si="1"/>
        <v>3856</v>
      </c>
      <c r="Q25" s="23">
        <f t="shared" si="2"/>
        <v>0</v>
      </c>
      <c r="R25" s="23">
        <f t="shared" si="3"/>
        <v>1200</v>
      </c>
      <c r="S25" s="23">
        <f t="shared" si="4"/>
        <v>1800</v>
      </c>
      <c r="T25" s="23">
        <f t="shared" si="5"/>
        <v>856</v>
      </c>
      <c r="V25" s="23">
        <f t="shared" si="6"/>
        <v>3856</v>
      </c>
    </row>
    <row r="26" spans="1:22" x14ac:dyDescent="0.2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>SUM(B26:M26)</f>
        <v>0</v>
      </c>
      <c r="Q26" s="23">
        <f>SUM(B26:D26)</f>
        <v>0</v>
      </c>
      <c r="R26" s="23">
        <f>SUM(E26:G26)</f>
        <v>0</v>
      </c>
      <c r="S26" s="23">
        <f>SUM(H26:J26)</f>
        <v>0</v>
      </c>
      <c r="T26" s="23">
        <f>SUM(K26:M26)</f>
        <v>0</v>
      </c>
      <c r="V26" s="23">
        <f>SUM(Q26:U26)</f>
        <v>0</v>
      </c>
    </row>
    <row r="27" spans="1:22" x14ac:dyDescent="0.2">
      <c r="A27" s="18" t="s">
        <v>69</v>
      </c>
      <c r="B27" s="23">
        <v>0</v>
      </c>
      <c r="C27" s="23">
        <v>0</v>
      </c>
      <c r="D27" s="23">
        <f>85+8570</f>
        <v>8655</v>
      </c>
      <c r="E27" s="23">
        <v>0</v>
      </c>
      <c r="F27" s="23">
        <f t="shared" ref="F27:M27" si="12">F97</f>
        <v>333</v>
      </c>
      <c r="G27" s="23">
        <f t="shared" si="12"/>
        <v>333</v>
      </c>
      <c r="H27" s="23">
        <f t="shared" si="12"/>
        <v>333</v>
      </c>
      <c r="I27" s="23">
        <f t="shared" si="12"/>
        <v>333</v>
      </c>
      <c r="J27" s="23">
        <f t="shared" si="12"/>
        <v>333</v>
      </c>
      <c r="K27" s="23">
        <f t="shared" si="12"/>
        <v>333</v>
      </c>
      <c r="L27" s="23">
        <f t="shared" si="12"/>
        <v>333</v>
      </c>
      <c r="M27" s="23">
        <f t="shared" si="12"/>
        <v>337</v>
      </c>
      <c r="O27" s="23">
        <f t="shared" si="1"/>
        <v>11323</v>
      </c>
      <c r="Q27" s="23">
        <f t="shared" si="2"/>
        <v>8655</v>
      </c>
      <c r="R27" s="23">
        <f t="shared" si="3"/>
        <v>666</v>
      </c>
      <c r="S27" s="23">
        <f t="shared" si="4"/>
        <v>999</v>
      </c>
      <c r="T27" s="23">
        <f t="shared" si="5"/>
        <v>1003</v>
      </c>
      <c r="V27" s="23">
        <f t="shared" si="6"/>
        <v>11323</v>
      </c>
    </row>
    <row r="28" spans="1:22" x14ac:dyDescent="0.2">
      <c r="A28" s="18" t="s">
        <v>68</v>
      </c>
      <c r="B28" s="23">
        <v>0</v>
      </c>
      <c r="C28" s="23">
        <v>0</v>
      </c>
      <c r="D28" s="23">
        <v>5273</v>
      </c>
      <c r="E28" s="23">
        <v>729.33</v>
      </c>
      <c r="F28" s="23">
        <f t="shared" ref="F28:M28" si="13">F98</f>
        <v>833</v>
      </c>
      <c r="G28" s="23">
        <f t="shared" si="13"/>
        <v>833</v>
      </c>
      <c r="H28" s="23">
        <f t="shared" si="13"/>
        <v>833</v>
      </c>
      <c r="I28" s="23">
        <f t="shared" si="13"/>
        <v>833</v>
      </c>
      <c r="J28" s="23">
        <f t="shared" si="13"/>
        <v>833</v>
      </c>
      <c r="K28" s="23">
        <f t="shared" si="13"/>
        <v>833</v>
      </c>
      <c r="L28" s="23">
        <f t="shared" si="13"/>
        <v>833</v>
      </c>
      <c r="M28" s="23">
        <f t="shared" si="13"/>
        <v>837</v>
      </c>
      <c r="O28" s="23">
        <f>SUM(B28:M28)</f>
        <v>12670.33</v>
      </c>
      <c r="Q28" s="23">
        <f>SUM(B28:D28)</f>
        <v>5273</v>
      </c>
      <c r="R28" s="23">
        <f>SUM(E28:G28)</f>
        <v>2395.33</v>
      </c>
      <c r="S28" s="23">
        <f>SUM(H28:J28)</f>
        <v>2499</v>
      </c>
      <c r="T28" s="23">
        <f>SUM(K28:M28)</f>
        <v>2503</v>
      </c>
      <c r="V28" s="23">
        <f>SUM(Q28:U28)</f>
        <v>12670.33</v>
      </c>
    </row>
    <row r="29" spans="1:22" x14ac:dyDescent="0.2">
      <c r="A29" s="18" t="s">
        <v>94</v>
      </c>
      <c r="B29" s="23">
        <v>0</v>
      </c>
      <c r="C29" s="23">
        <v>11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11</v>
      </c>
      <c r="Q29" s="23">
        <f>SUM(B29:D29)</f>
        <v>11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11</v>
      </c>
    </row>
    <row r="30" spans="1:22" x14ac:dyDescent="0.2">
      <c r="A30" s="18" t="s">
        <v>46</v>
      </c>
      <c r="B30" s="23">
        <v>0</v>
      </c>
      <c r="C30" s="23">
        <v>0</v>
      </c>
      <c r="D30" s="23">
        <v>0</v>
      </c>
      <c r="E30" s="23">
        <v>0</v>
      </c>
      <c r="F30" s="23">
        <f t="shared" ref="F30:M30" si="14">F100</f>
        <v>9660</v>
      </c>
      <c r="G30" s="23">
        <f t="shared" si="14"/>
        <v>9660</v>
      </c>
      <c r="H30" s="23">
        <f t="shared" si="14"/>
        <v>9660</v>
      </c>
      <c r="I30" s="23">
        <f t="shared" si="14"/>
        <v>9660</v>
      </c>
      <c r="J30" s="23">
        <f t="shared" si="14"/>
        <v>9660</v>
      </c>
      <c r="K30" s="23">
        <f t="shared" si="14"/>
        <v>600</v>
      </c>
      <c r="L30" s="23">
        <f t="shared" si="14"/>
        <v>600</v>
      </c>
      <c r="M30" s="23">
        <f t="shared" si="14"/>
        <v>600</v>
      </c>
      <c r="O30" s="23">
        <f t="shared" si="1"/>
        <v>50100</v>
      </c>
      <c r="Q30" s="23">
        <f t="shared" si="2"/>
        <v>0</v>
      </c>
      <c r="R30" s="23">
        <f t="shared" si="3"/>
        <v>19320</v>
      </c>
      <c r="S30" s="23">
        <f t="shared" si="4"/>
        <v>28980</v>
      </c>
      <c r="T30" s="23">
        <f t="shared" si="5"/>
        <v>1800</v>
      </c>
      <c r="V30" s="23">
        <f t="shared" si="6"/>
        <v>50100</v>
      </c>
    </row>
    <row r="31" spans="1:22" x14ac:dyDescent="0.2">
      <c r="A31" s="18" t="s">
        <v>70</v>
      </c>
      <c r="B31" s="23">
        <v>0</v>
      </c>
      <c r="C31" s="23">
        <f>861+4197</f>
        <v>5058</v>
      </c>
      <c r="D31" s="23">
        <f>1576+791</f>
        <v>2367</v>
      </c>
      <c r="E31" s="23">
        <v>9961.74</v>
      </c>
      <c r="F31" s="23">
        <f t="shared" ref="F31:M31" si="15">F101</f>
        <v>4748</v>
      </c>
      <c r="G31" s="23">
        <f t="shared" si="15"/>
        <v>4748</v>
      </c>
      <c r="H31" s="23">
        <f t="shared" si="15"/>
        <v>4748</v>
      </c>
      <c r="I31" s="23">
        <f t="shared" si="15"/>
        <v>4748</v>
      </c>
      <c r="J31" s="23">
        <f t="shared" si="15"/>
        <v>4748</v>
      </c>
      <c r="K31" s="23">
        <f t="shared" si="15"/>
        <v>3208</v>
      </c>
      <c r="L31" s="23">
        <f t="shared" si="15"/>
        <v>3208</v>
      </c>
      <c r="M31" s="23">
        <f t="shared" si="15"/>
        <v>3212</v>
      </c>
      <c r="O31" s="23">
        <f t="shared" si="1"/>
        <v>50754.74</v>
      </c>
      <c r="Q31" s="23">
        <f t="shared" si="2"/>
        <v>7425</v>
      </c>
      <c r="R31" s="23">
        <f t="shared" si="3"/>
        <v>19457.739999999998</v>
      </c>
      <c r="S31" s="23">
        <f t="shared" si="4"/>
        <v>14244</v>
      </c>
      <c r="T31" s="23">
        <f t="shared" si="5"/>
        <v>9628</v>
      </c>
      <c r="V31" s="23">
        <f t="shared" si="6"/>
        <v>50754.74</v>
      </c>
    </row>
    <row r="32" spans="1:22" x14ac:dyDescent="0.2">
      <c r="A32" s="18" t="s">
        <v>71</v>
      </c>
      <c r="B32" s="30">
        <f>1060+550</f>
        <v>1610</v>
      </c>
      <c r="C32" s="23">
        <f>6546+41+5185+2479+59</f>
        <v>14310</v>
      </c>
      <c r="D32" s="23">
        <f>30820+1219+1675+3513</f>
        <v>37227</v>
      </c>
      <c r="E32" s="23">
        <v>158319.25</v>
      </c>
      <c r="F32" s="23">
        <f t="shared" ref="F32:M32" si="16">F102</f>
        <v>20767</v>
      </c>
      <c r="G32" s="23">
        <f t="shared" si="16"/>
        <v>5767</v>
      </c>
      <c r="H32" s="23">
        <f t="shared" si="16"/>
        <v>5767</v>
      </c>
      <c r="I32" s="23">
        <f t="shared" si="16"/>
        <v>5767</v>
      </c>
      <c r="J32" s="23">
        <f t="shared" si="16"/>
        <v>5767</v>
      </c>
      <c r="K32" s="23">
        <f t="shared" si="16"/>
        <v>5452</v>
      </c>
      <c r="L32" s="23">
        <f t="shared" si="16"/>
        <v>5452</v>
      </c>
      <c r="M32" s="23">
        <f t="shared" si="16"/>
        <v>5453</v>
      </c>
      <c r="O32" s="23">
        <f t="shared" si="1"/>
        <v>271658.25</v>
      </c>
      <c r="Q32" s="23">
        <f t="shared" si="2"/>
        <v>53147</v>
      </c>
      <c r="R32" s="23">
        <f t="shared" si="3"/>
        <v>184853.25</v>
      </c>
      <c r="S32" s="23">
        <f t="shared" si="4"/>
        <v>17301</v>
      </c>
      <c r="T32" s="23">
        <f t="shared" si="5"/>
        <v>16357</v>
      </c>
      <c r="V32" s="23">
        <f t="shared" si="6"/>
        <v>271658.25</v>
      </c>
    </row>
    <row r="33" spans="1:22" x14ac:dyDescent="0.2">
      <c r="A33" s="18" t="s">
        <v>44</v>
      </c>
      <c r="B33" s="23">
        <v>48358</v>
      </c>
      <c r="C33" s="23">
        <v>59150</v>
      </c>
      <c r="D33" s="23">
        <f>60289</f>
        <v>60289</v>
      </c>
      <c r="E33" s="23">
        <v>74862.320000000007</v>
      </c>
      <c r="F33" s="23">
        <f t="shared" ref="F33:M33" si="17">F103</f>
        <v>67950</v>
      </c>
      <c r="G33" s="23">
        <f t="shared" si="17"/>
        <v>67950</v>
      </c>
      <c r="H33" s="23">
        <f t="shared" si="17"/>
        <v>67950</v>
      </c>
      <c r="I33" s="23">
        <f t="shared" si="17"/>
        <v>67950</v>
      </c>
      <c r="J33" s="23">
        <f t="shared" si="17"/>
        <v>67950</v>
      </c>
      <c r="K33" s="23">
        <f t="shared" si="17"/>
        <v>82488</v>
      </c>
      <c r="L33" s="23">
        <f t="shared" si="17"/>
        <v>52488</v>
      </c>
      <c r="M33" s="23">
        <f t="shared" si="17"/>
        <v>52489</v>
      </c>
      <c r="O33" s="23">
        <f>SUM(B33:M33)</f>
        <v>769874.32000000007</v>
      </c>
      <c r="Q33" s="23">
        <f>SUM(B33:D33)</f>
        <v>167797</v>
      </c>
      <c r="R33" s="23">
        <f>SUM(E33:G33)</f>
        <v>210762.32</v>
      </c>
      <c r="S33" s="23">
        <f>SUM(H33:J33)</f>
        <v>203850</v>
      </c>
      <c r="T33" s="23">
        <f>SUM(K33:M33)</f>
        <v>187465</v>
      </c>
      <c r="V33" s="23">
        <f>SUM(Q33:U33)</f>
        <v>769874.32000000007</v>
      </c>
    </row>
    <row r="34" spans="1:22" x14ac:dyDescent="0.2">
      <c r="A34" s="18" t="s">
        <v>47</v>
      </c>
      <c r="B34" s="23">
        <v>0</v>
      </c>
      <c r="C34" s="23">
        <v>7500</v>
      </c>
      <c r="D34" s="23">
        <f>5178</f>
        <v>5178</v>
      </c>
      <c r="E34" s="23">
        <v>2295.77</v>
      </c>
      <c r="F34" s="23">
        <f t="shared" ref="F34:M34" si="18">F104</f>
        <v>2975</v>
      </c>
      <c r="G34" s="23">
        <f t="shared" si="18"/>
        <v>2975</v>
      </c>
      <c r="H34" s="23">
        <f t="shared" si="18"/>
        <v>2975</v>
      </c>
      <c r="I34" s="23">
        <f t="shared" si="18"/>
        <v>2975</v>
      </c>
      <c r="J34" s="23">
        <f t="shared" si="18"/>
        <v>2975</v>
      </c>
      <c r="K34" s="23">
        <f t="shared" si="18"/>
        <v>2975</v>
      </c>
      <c r="L34" s="23">
        <f t="shared" si="18"/>
        <v>2975</v>
      </c>
      <c r="M34" s="23">
        <f t="shared" si="18"/>
        <v>2975</v>
      </c>
      <c r="O34" s="23">
        <f>SUM(B34:M34)</f>
        <v>38773.770000000004</v>
      </c>
      <c r="Q34" s="23">
        <f>SUM(B34:D34)</f>
        <v>12678</v>
      </c>
      <c r="R34" s="23">
        <f>SUM(E34:G34)</f>
        <v>8245.77</v>
      </c>
      <c r="S34" s="23">
        <f>SUM(H34:J34)</f>
        <v>8925</v>
      </c>
      <c r="T34" s="23">
        <f>SUM(K34:M34)</f>
        <v>8925</v>
      </c>
      <c r="V34" s="23">
        <f>SUM(Q34:U34)</f>
        <v>38773.770000000004</v>
      </c>
    </row>
    <row r="35" spans="1:22" x14ac:dyDescent="0.2">
      <c r="A35" s="18" t="s">
        <v>2</v>
      </c>
      <c r="B35" s="23">
        <v>0</v>
      </c>
      <c r="C35" s="23">
        <v>48786</v>
      </c>
      <c r="D35" s="23">
        <v>94463</v>
      </c>
      <c r="E35" s="23">
        <v>97469.98</v>
      </c>
      <c r="F35" s="23">
        <f t="shared" ref="F35:M35" si="19">F105</f>
        <v>25378</v>
      </c>
      <c r="G35" s="23">
        <f t="shared" si="19"/>
        <v>26084</v>
      </c>
      <c r="H35" s="23">
        <f t="shared" si="19"/>
        <v>26084</v>
      </c>
      <c r="I35" s="23">
        <f t="shared" si="19"/>
        <v>26084</v>
      </c>
      <c r="J35" s="23">
        <f t="shared" si="19"/>
        <v>26084</v>
      </c>
      <c r="K35" s="23">
        <f t="shared" si="19"/>
        <v>26084</v>
      </c>
      <c r="L35" s="23">
        <f t="shared" si="19"/>
        <v>26084</v>
      </c>
      <c r="M35" s="23">
        <f t="shared" si="19"/>
        <v>26534</v>
      </c>
      <c r="O35" s="23">
        <f t="shared" si="1"/>
        <v>449134.98</v>
      </c>
      <c r="Q35" s="23">
        <f t="shared" si="2"/>
        <v>143249</v>
      </c>
      <c r="R35" s="23">
        <f t="shared" si="3"/>
        <v>148931.97999999998</v>
      </c>
      <c r="S35" s="23">
        <f t="shared" si="4"/>
        <v>78252</v>
      </c>
      <c r="T35" s="23">
        <f t="shared" si="5"/>
        <v>78702</v>
      </c>
      <c r="V35" s="23">
        <f t="shared" si="6"/>
        <v>449134.98</v>
      </c>
    </row>
    <row r="36" spans="1:22" x14ac:dyDescent="0.2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">
      <c r="A37" s="18" t="s">
        <v>72</v>
      </c>
      <c r="B37" s="23">
        <v>0</v>
      </c>
      <c r="C37" s="23">
        <v>0</v>
      </c>
      <c r="D37" s="23">
        <v>0</v>
      </c>
      <c r="E37" s="23">
        <v>0</v>
      </c>
      <c r="F37" s="23">
        <f t="shared" ref="F37:M38" si="20">F107</f>
        <v>146</v>
      </c>
      <c r="G37" s="23">
        <f t="shared" si="20"/>
        <v>146</v>
      </c>
      <c r="H37" s="23">
        <f t="shared" si="20"/>
        <v>146</v>
      </c>
      <c r="I37" s="23">
        <f t="shared" si="20"/>
        <v>146</v>
      </c>
      <c r="J37" s="23">
        <f t="shared" si="20"/>
        <v>146</v>
      </c>
      <c r="K37" s="23">
        <f t="shared" si="20"/>
        <v>146</v>
      </c>
      <c r="L37" s="23">
        <f t="shared" si="20"/>
        <v>146</v>
      </c>
      <c r="M37" s="23">
        <f t="shared" si="20"/>
        <v>144</v>
      </c>
      <c r="O37" s="23">
        <f t="shared" si="1"/>
        <v>1166</v>
      </c>
      <c r="Q37" s="23">
        <f t="shared" si="2"/>
        <v>0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1166</v>
      </c>
    </row>
    <row r="38" spans="1:22" x14ac:dyDescent="0.2">
      <c r="A38" s="18" t="s">
        <v>48</v>
      </c>
      <c r="B38" s="23">
        <v>0</v>
      </c>
      <c r="C38" s="23">
        <v>0</v>
      </c>
      <c r="D38" s="23">
        <f>26311</f>
        <v>26311</v>
      </c>
      <c r="E38" s="23">
        <v>5208.83</v>
      </c>
      <c r="F38" s="23">
        <f t="shared" si="20"/>
        <v>23400</v>
      </c>
      <c r="G38" s="23">
        <f t="shared" si="20"/>
        <v>23400</v>
      </c>
      <c r="H38" s="23">
        <f t="shared" si="20"/>
        <v>23400</v>
      </c>
      <c r="I38" s="23">
        <f t="shared" si="20"/>
        <v>23400</v>
      </c>
      <c r="J38" s="23">
        <f t="shared" si="20"/>
        <v>23400</v>
      </c>
      <c r="K38" s="23">
        <f t="shared" si="20"/>
        <v>11143</v>
      </c>
      <c r="L38" s="23">
        <f t="shared" si="20"/>
        <v>11143</v>
      </c>
      <c r="M38" s="23">
        <f t="shared" si="20"/>
        <v>11142</v>
      </c>
      <c r="O38" s="23">
        <f t="shared" si="1"/>
        <v>181947.83000000002</v>
      </c>
      <c r="Q38" s="23">
        <f t="shared" si="2"/>
        <v>26311</v>
      </c>
      <c r="R38" s="23">
        <f t="shared" si="3"/>
        <v>52008.83</v>
      </c>
      <c r="S38" s="23">
        <f t="shared" si="4"/>
        <v>70200</v>
      </c>
      <c r="T38" s="23">
        <f t="shared" si="5"/>
        <v>33428</v>
      </c>
      <c r="V38" s="23">
        <f t="shared" si="6"/>
        <v>181947.83000000002</v>
      </c>
    </row>
    <row r="39" spans="1:22" x14ac:dyDescent="0.2">
      <c r="A39" s="18" t="s">
        <v>74</v>
      </c>
      <c r="B39" s="23">
        <v>0</v>
      </c>
      <c r="C39" s="23">
        <v>0</v>
      </c>
      <c r="D39" s="23">
        <f t="shared" ref="D39:M39" si="21">D109</f>
        <v>0</v>
      </c>
      <c r="E39" s="23">
        <f t="shared" si="21"/>
        <v>0</v>
      </c>
      <c r="F39" s="23">
        <f t="shared" si="21"/>
        <v>0</v>
      </c>
      <c r="G39" s="23">
        <f t="shared" si="21"/>
        <v>0</v>
      </c>
      <c r="H39" s="23">
        <f t="shared" si="21"/>
        <v>0</v>
      </c>
      <c r="I39" s="23">
        <f t="shared" si="21"/>
        <v>0</v>
      </c>
      <c r="J39" s="23">
        <f t="shared" si="21"/>
        <v>0</v>
      </c>
      <c r="K39" s="23">
        <f t="shared" si="21"/>
        <v>0</v>
      </c>
      <c r="L39" s="23">
        <f t="shared" si="21"/>
        <v>0</v>
      </c>
      <c r="M39" s="23">
        <f t="shared" si="21"/>
        <v>0</v>
      </c>
      <c r="O39" s="23">
        <f t="shared" si="1"/>
        <v>0</v>
      </c>
      <c r="Q39" s="23">
        <f t="shared" si="2"/>
        <v>0</v>
      </c>
      <c r="R39" s="23">
        <f t="shared" si="3"/>
        <v>0</v>
      </c>
      <c r="S39" s="23">
        <f t="shared" si="4"/>
        <v>0</v>
      </c>
      <c r="T39" s="23">
        <f t="shared" si="5"/>
        <v>0</v>
      </c>
      <c r="V39" s="23">
        <f t="shared" si="6"/>
        <v>0</v>
      </c>
    </row>
    <row r="40" spans="1:22" x14ac:dyDescent="0.2">
      <c r="A40" s="18" t="s">
        <v>96</v>
      </c>
      <c r="B40" s="23">
        <v>12222</v>
      </c>
      <c r="C40" s="30">
        <f>18596-3</f>
        <v>18593</v>
      </c>
      <c r="D40" s="23">
        <f>2684</f>
        <v>2684</v>
      </c>
      <c r="E40" s="23">
        <v>7794.53</v>
      </c>
      <c r="O40" s="23">
        <f t="shared" si="1"/>
        <v>41293.53</v>
      </c>
      <c r="Q40" s="23">
        <f>SUM(B40:D40)</f>
        <v>33499</v>
      </c>
      <c r="R40" s="23">
        <f>SUM(E40:G40)</f>
        <v>7794.53</v>
      </c>
      <c r="S40" s="23">
        <f>SUM(H40:J40)</f>
        <v>0</v>
      </c>
      <c r="T40" s="23">
        <f>SUM(K40:M40)</f>
        <v>0</v>
      </c>
      <c r="V40" s="23">
        <f t="shared" si="6"/>
        <v>41293.53</v>
      </c>
    </row>
    <row r="41" spans="1:22" x14ac:dyDescent="0.2">
      <c r="A41" s="18"/>
      <c r="C41" s="30"/>
    </row>
    <row r="42" spans="1:22" x14ac:dyDescent="0.2">
      <c r="A42" s="19" t="s">
        <v>28</v>
      </c>
      <c r="B42" s="27">
        <f>SUM(B13:B40)</f>
        <v>62190</v>
      </c>
      <c r="C42" s="27">
        <f t="shared" ref="C42:M42" si="22">SUM(C13:C40)</f>
        <v>155623</v>
      </c>
      <c r="D42" s="27">
        <f t="shared" si="22"/>
        <v>243815</v>
      </c>
      <c r="E42" s="27">
        <f t="shared" si="22"/>
        <v>362817.79000000004</v>
      </c>
      <c r="F42" s="27">
        <f t="shared" si="22"/>
        <v>170748</v>
      </c>
      <c r="G42" s="27">
        <f t="shared" si="22"/>
        <v>156454</v>
      </c>
      <c r="H42" s="27">
        <f t="shared" si="22"/>
        <v>156454</v>
      </c>
      <c r="I42" s="27">
        <f t="shared" si="22"/>
        <v>156454</v>
      </c>
      <c r="J42" s="27">
        <f t="shared" si="22"/>
        <v>156454</v>
      </c>
      <c r="K42" s="27">
        <f t="shared" si="22"/>
        <v>139721</v>
      </c>
      <c r="L42" s="27">
        <f t="shared" si="22"/>
        <v>104721</v>
      </c>
      <c r="M42" s="27">
        <f t="shared" si="22"/>
        <v>105179</v>
      </c>
      <c r="O42" s="27">
        <f>SUM(O13:O40)</f>
        <v>1970630.7900000003</v>
      </c>
      <c r="Q42" s="27">
        <f t="shared" si="2"/>
        <v>461628</v>
      </c>
      <c r="R42" s="27">
        <f t="shared" si="3"/>
        <v>690019.79</v>
      </c>
      <c r="S42" s="27">
        <f t="shared" si="4"/>
        <v>469362</v>
      </c>
      <c r="T42" s="27">
        <f t="shared" si="5"/>
        <v>349621</v>
      </c>
      <c r="V42" s="27">
        <f t="shared" si="6"/>
        <v>1970630.79</v>
      </c>
    </row>
    <row r="43" spans="1:22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">
      <c r="A45" s="17"/>
    </row>
    <row r="46" spans="1:22" x14ac:dyDescent="0.2">
      <c r="A46" s="17" t="s">
        <v>30</v>
      </c>
      <c r="B46" s="25">
        <v>133333</v>
      </c>
      <c r="C46" s="25">
        <v>133334</v>
      </c>
      <c r="D46" s="25">
        <v>6000</v>
      </c>
      <c r="E46" s="37">
        <f>66667</f>
        <v>66667</v>
      </c>
      <c r="F46" s="25">
        <v>83333</v>
      </c>
      <c r="G46" s="25">
        <v>83333</v>
      </c>
      <c r="H46" s="25">
        <v>83334</v>
      </c>
      <c r="I46" s="25">
        <v>83333</v>
      </c>
      <c r="J46" s="25">
        <v>83333</v>
      </c>
      <c r="K46" s="25">
        <v>83334</v>
      </c>
      <c r="L46" s="25">
        <v>83333</v>
      </c>
      <c r="M46" s="25">
        <v>83333</v>
      </c>
      <c r="O46" s="25">
        <f>SUM(B46:M46)</f>
        <v>1006000</v>
      </c>
      <c r="Q46" s="25">
        <f>SUM(B46:D46)</f>
        <v>272667</v>
      </c>
      <c r="R46" s="25">
        <f>SUM(E46:G46)</f>
        <v>233333</v>
      </c>
      <c r="S46" s="25">
        <f>SUM(H46:J46)</f>
        <v>250000</v>
      </c>
      <c r="T46" s="25">
        <f>SUM(K46:M46)</f>
        <v>250000</v>
      </c>
      <c r="V46" s="25">
        <f>SUM(Q46:U46)</f>
        <v>1006000</v>
      </c>
    </row>
    <row r="47" spans="1:22" x14ac:dyDescent="0.2">
      <c r="A47" s="17"/>
    </row>
    <row r="48" spans="1:22" ht="13.5" thickBot="1" x14ac:dyDescent="0.25">
      <c r="A48" s="4" t="s">
        <v>16</v>
      </c>
      <c r="B48" s="24">
        <f t="shared" ref="B48:M48" si="23">+B42+B44+B46</f>
        <v>213705</v>
      </c>
      <c r="C48" s="24">
        <f t="shared" si="23"/>
        <v>307139</v>
      </c>
      <c r="D48" s="24">
        <f t="shared" si="23"/>
        <v>265967</v>
      </c>
      <c r="E48" s="24">
        <f t="shared" si="23"/>
        <v>446651.79000000004</v>
      </c>
      <c r="F48" s="24">
        <f t="shared" si="23"/>
        <v>271248</v>
      </c>
      <c r="G48" s="24">
        <f t="shared" si="23"/>
        <v>256954</v>
      </c>
      <c r="H48" s="24">
        <f t="shared" si="23"/>
        <v>256955</v>
      </c>
      <c r="I48" s="24">
        <f t="shared" si="23"/>
        <v>256954</v>
      </c>
      <c r="J48" s="24">
        <f t="shared" si="23"/>
        <v>256954</v>
      </c>
      <c r="K48" s="24">
        <f t="shared" si="23"/>
        <v>240222</v>
      </c>
      <c r="L48" s="24">
        <f t="shared" si="23"/>
        <v>205221</v>
      </c>
      <c r="M48" s="24">
        <f t="shared" si="23"/>
        <v>205679</v>
      </c>
      <c r="O48" s="24">
        <f>+O42+O44+O46</f>
        <v>3183649.79</v>
      </c>
      <c r="Q48" s="24">
        <f>SUM(B48:D48)</f>
        <v>786811</v>
      </c>
      <c r="R48" s="24">
        <f>SUM(E48:G48)</f>
        <v>974853.79</v>
      </c>
      <c r="S48" s="24">
        <f>SUM(H48:J48)</f>
        <v>770863</v>
      </c>
      <c r="T48" s="24">
        <f>SUM(K48:M48)</f>
        <v>651122</v>
      </c>
      <c r="V48" s="24">
        <f>SUM(Q48:U48)</f>
        <v>3183649.79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23">
        <v>19403</v>
      </c>
      <c r="C51" s="23">
        <v>19403</v>
      </c>
      <c r="D51" s="23">
        <v>19403</v>
      </c>
      <c r="E51" s="23">
        <v>22583</v>
      </c>
      <c r="F51" s="23">
        <v>22583</v>
      </c>
      <c r="G51" s="23">
        <v>22583</v>
      </c>
      <c r="H51" s="23">
        <v>22583</v>
      </c>
      <c r="I51" s="23">
        <v>22583</v>
      </c>
      <c r="J51" s="23">
        <v>22583</v>
      </c>
      <c r="K51" s="23">
        <v>22583</v>
      </c>
      <c r="L51" s="23">
        <v>22583</v>
      </c>
      <c r="M51" s="23">
        <v>22583</v>
      </c>
      <c r="O51" s="23">
        <f t="shared" ref="O51:O57" si="24">SUM(B51:M51)</f>
        <v>261456</v>
      </c>
      <c r="Q51" s="23">
        <f t="shared" ref="Q51:Q58" si="25">SUM(B51:D51)</f>
        <v>58209</v>
      </c>
      <c r="R51" s="23">
        <f t="shared" ref="R51:R58" si="26">SUM(E51:G51)</f>
        <v>67749</v>
      </c>
      <c r="S51" s="23">
        <f t="shared" ref="S51:S58" si="27">SUM(H51:J51)</f>
        <v>67749</v>
      </c>
      <c r="T51" s="23">
        <f t="shared" ref="T51:T58" si="28">SUM(K51:M51)</f>
        <v>67749</v>
      </c>
      <c r="V51" s="23">
        <f t="shared" ref="V51:V58" si="29">SUM(Q51:U51)</f>
        <v>261456</v>
      </c>
    </row>
    <row r="52" spans="1:22" x14ac:dyDescent="0.2">
      <c r="A52" s="3" t="s">
        <v>1</v>
      </c>
      <c r="B52" s="23">
        <v>45000</v>
      </c>
      <c r="C52" s="23">
        <v>52455</v>
      </c>
      <c r="D52" s="23">
        <v>52455</v>
      </c>
      <c r="E52" s="23">
        <v>52455</v>
      </c>
      <c r="F52" s="23">
        <v>48604</v>
      </c>
      <c r="G52" s="23">
        <v>48604</v>
      </c>
      <c r="H52" s="23">
        <v>48604</v>
      </c>
      <c r="I52" s="23">
        <v>48604</v>
      </c>
      <c r="J52" s="23">
        <v>48604</v>
      </c>
      <c r="K52" s="23">
        <v>48604</v>
      </c>
      <c r="L52" s="23">
        <v>48604</v>
      </c>
      <c r="M52" s="23">
        <v>48607</v>
      </c>
      <c r="O52" s="23">
        <f t="shared" si="24"/>
        <v>591200</v>
      </c>
      <c r="Q52" s="23">
        <f t="shared" si="25"/>
        <v>149910</v>
      </c>
      <c r="R52" s="23">
        <f t="shared" si="26"/>
        <v>149663</v>
      </c>
      <c r="S52" s="23">
        <f t="shared" si="27"/>
        <v>145812</v>
      </c>
      <c r="T52" s="23">
        <f t="shared" si="28"/>
        <v>145815</v>
      </c>
      <c r="V52" s="23">
        <f t="shared" si="29"/>
        <v>591200</v>
      </c>
    </row>
    <row r="53" spans="1:22" x14ac:dyDescent="0.2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 t="shared" ref="F53:M53" si="30">F123</f>
        <v>8333.3333333333339</v>
      </c>
      <c r="G53" s="23">
        <f t="shared" si="30"/>
        <v>8583.3333333333339</v>
      </c>
      <c r="H53" s="23">
        <f t="shared" si="30"/>
        <v>8583.3333333333339</v>
      </c>
      <c r="I53" s="23">
        <f t="shared" si="30"/>
        <v>8583.3333333333339</v>
      </c>
      <c r="J53" s="23">
        <f t="shared" si="30"/>
        <v>8583.3333333333339</v>
      </c>
      <c r="K53" s="23">
        <f t="shared" si="30"/>
        <v>8583.3333333333339</v>
      </c>
      <c r="L53" s="23">
        <f t="shared" si="30"/>
        <v>8583.3333333333339</v>
      </c>
      <c r="M53" s="23">
        <f t="shared" si="30"/>
        <v>8583.3333333333339</v>
      </c>
      <c r="O53" s="23">
        <f t="shared" si="24"/>
        <v>68416.666666666672</v>
      </c>
      <c r="Q53" s="23">
        <f t="shared" si="25"/>
        <v>0</v>
      </c>
      <c r="R53" s="23">
        <f t="shared" si="26"/>
        <v>16916.666666666668</v>
      </c>
      <c r="S53" s="23">
        <f t="shared" si="27"/>
        <v>25750</v>
      </c>
      <c r="T53" s="23">
        <f t="shared" si="28"/>
        <v>25750</v>
      </c>
      <c r="V53" s="23">
        <f t="shared" si="29"/>
        <v>68416.666666666672</v>
      </c>
    </row>
    <row r="54" spans="1:22" x14ac:dyDescent="0.2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f t="shared" ref="F54:M54" si="31">F124</f>
        <v>2500</v>
      </c>
      <c r="G54" s="23">
        <f t="shared" si="31"/>
        <v>2575</v>
      </c>
      <c r="H54" s="23">
        <f t="shared" si="31"/>
        <v>2575</v>
      </c>
      <c r="I54" s="23">
        <f t="shared" si="31"/>
        <v>2575</v>
      </c>
      <c r="J54" s="23">
        <f t="shared" si="31"/>
        <v>2575</v>
      </c>
      <c r="K54" s="23">
        <f t="shared" si="31"/>
        <v>2575</v>
      </c>
      <c r="L54" s="23">
        <f t="shared" si="31"/>
        <v>2575</v>
      </c>
      <c r="M54" s="23">
        <f t="shared" si="31"/>
        <v>2575</v>
      </c>
      <c r="O54" s="23">
        <f t="shared" si="24"/>
        <v>20525</v>
      </c>
      <c r="Q54" s="23">
        <f t="shared" si="25"/>
        <v>0</v>
      </c>
      <c r="R54" s="23">
        <f t="shared" si="26"/>
        <v>5075</v>
      </c>
      <c r="S54" s="23">
        <f t="shared" si="27"/>
        <v>7725</v>
      </c>
      <c r="T54" s="23">
        <f t="shared" si="28"/>
        <v>7725</v>
      </c>
      <c r="V54" s="23">
        <f t="shared" si="29"/>
        <v>20525</v>
      </c>
    </row>
    <row r="55" spans="1:22" x14ac:dyDescent="0.2">
      <c r="A55" s="3" t="s">
        <v>5</v>
      </c>
      <c r="B55" s="23">
        <v>0</v>
      </c>
      <c r="C55" s="23">
        <v>4521</v>
      </c>
      <c r="D55" s="23">
        <f>-18996-4834-2-6000</f>
        <v>-29832</v>
      </c>
      <c r="E55" s="30">
        <f>28223+6000</f>
        <v>34223</v>
      </c>
      <c r="F55" s="23">
        <f t="shared" ref="F55:M55" si="32">F125</f>
        <v>6250</v>
      </c>
      <c r="G55" s="23">
        <f t="shared" si="32"/>
        <v>6500</v>
      </c>
      <c r="H55" s="23">
        <f t="shared" si="32"/>
        <v>6500</v>
      </c>
      <c r="I55" s="23">
        <f t="shared" si="32"/>
        <v>6500</v>
      </c>
      <c r="J55" s="23">
        <f t="shared" si="32"/>
        <v>6500</v>
      </c>
      <c r="K55" s="23">
        <f t="shared" si="32"/>
        <v>6500</v>
      </c>
      <c r="L55" s="23">
        <f t="shared" si="32"/>
        <v>6500</v>
      </c>
      <c r="M55" s="23">
        <f t="shared" si="32"/>
        <v>6371</v>
      </c>
      <c r="O55" s="23">
        <f t="shared" si="24"/>
        <v>60533</v>
      </c>
      <c r="Q55" s="23">
        <f t="shared" si="25"/>
        <v>-25311</v>
      </c>
      <c r="R55" s="23">
        <f t="shared" si="26"/>
        <v>46973</v>
      </c>
      <c r="S55" s="23">
        <f t="shared" si="27"/>
        <v>19500</v>
      </c>
      <c r="T55" s="23">
        <f t="shared" si="28"/>
        <v>19371</v>
      </c>
      <c r="V55" s="23">
        <f t="shared" si="29"/>
        <v>60533</v>
      </c>
    </row>
    <row r="56" spans="1:22" x14ac:dyDescent="0.2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24"/>
        <v>0</v>
      </c>
      <c r="Q56" s="23">
        <f t="shared" si="25"/>
        <v>0</v>
      </c>
      <c r="R56" s="23">
        <f t="shared" si="26"/>
        <v>0</v>
      </c>
      <c r="S56" s="23">
        <f t="shared" si="27"/>
        <v>0</v>
      </c>
      <c r="T56" s="23">
        <f t="shared" si="28"/>
        <v>0</v>
      </c>
      <c r="V56" s="23">
        <f t="shared" si="29"/>
        <v>0</v>
      </c>
    </row>
    <row r="57" spans="1:22" x14ac:dyDescent="0.2">
      <c r="A57" s="3"/>
      <c r="O57" s="23">
        <f t="shared" si="24"/>
        <v>0</v>
      </c>
      <c r="Q57" s="23">
        <f t="shared" si="25"/>
        <v>0</v>
      </c>
      <c r="R57" s="23">
        <f t="shared" si="26"/>
        <v>0</v>
      </c>
      <c r="S57" s="23">
        <f t="shared" si="27"/>
        <v>0</v>
      </c>
      <c r="T57" s="23">
        <f t="shared" si="28"/>
        <v>0</v>
      </c>
      <c r="V57" s="23">
        <f t="shared" si="29"/>
        <v>0</v>
      </c>
    </row>
    <row r="58" spans="1:22" ht="13.5" thickBot="1" x14ac:dyDescent="0.25">
      <c r="A58" s="4" t="s">
        <v>15</v>
      </c>
      <c r="B58" s="28">
        <f t="shared" ref="B58:M58" si="33">SUM(B50:B57)</f>
        <v>64403</v>
      </c>
      <c r="C58" s="28">
        <f t="shared" si="33"/>
        <v>76379</v>
      </c>
      <c r="D58" s="28">
        <f t="shared" si="33"/>
        <v>42026</v>
      </c>
      <c r="E58" s="28">
        <f t="shared" si="33"/>
        <v>109261</v>
      </c>
      <c r="F58" s="28">
        <f t="shared" si="33"/>
        <v>88270.333333333328</v>
      </c>
      <c r="G58" s="28">
        <f t="shared" si="33"/>
        <v>88845.333333333328</v>
      </c>
      <c r="H58" s="28">
        <f t="shared" si="33"/>
        <v>88845.333333333328</v>
      </c>
      <c r="I58" s="28">
        <f t="shared" si="33"/>
        <v>88845.333333333328</v>
      </c>
      <c r="J58" s="28">
        <f t="shared" si="33"/>
        <v>88845.333333333328</v>
      </c>
      <c r="K58" s="28">
        <f t="shared" si="33"/>
        <v>88845.333333333328</v>
      </c>
      <c r="L58" s="28">
        <f t="shared" si="33"/>
        <v>88845.333333333328</v>
      </c>
      <c r="M58" s="28">
        <f t="shared" si="33"/>
        <v>88719.333333333328</v>
      </c>
      <c r="O58" s="28">
        <f>SUM(O50:O57)</f>
        <v>1002130.6666666666</v>
      </c>
      <c r="Q58" s="28">
        <f t="shared" si="25"/>
        <v>182808</v>
      </c>
      <c r="R58" s="28">
        <f t="shared" si="26"/>
        <v>286376.66666666663</v>
      </c>
      <c r="S58" s="28">
        <f t="shared" si="27"/>
        <v>266536</v>
      </c>
      <c r="T58" s="28">
        <f t="shared" si="28"/>
        <v>266410</v>
      </c>
      <c r="V58" s="28">
        <f t="shared" si="29"/>
        <v>1002130.6666666666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">
      <c r="A62" s="3" t="s">
        <v>7</v>
      </c>
      <c r="B62" s="23">
        <f>817883-5926</f>
        <v>811957</v>
      </c>
      <c r="C62" s="23">
        <v>529000</v>
      </c>
      <c r="D62" s="23">
        <v>527832</v>
      </c>
      <c r="E62" s="23">
        <v>628158</v>
      </c>
      <c r="F62" s="23">
        <f>'[1]99 Peakers'!$J$16</f>
        <v>641471.80024473742</v>
      </c>
      <c r="G62" s="23">
        <f>'[1]99 Peakers'!$J$17</f>
        <v>645393.35930161877</v>
      </c>
      <c r="H62" s="23">
        <f>'[1]99 Peakers'!$J$18</f>
        <v>622556.26305339136</v>
      </c>
      <c r="I62" s="23">
        <f>'[1]99 Peakers'!$J$19</f>
        <v>539853.20211715274</v>
      </c>
      <c r="J62" s="23">
        <f>'[1]99 Peakers'!$J$20</f>
        <v>447086.96543417627</v>
      </c>
      <c r="K62" s="23">
        <f>'[1]99 Peakers'!$J$21</f>
        <v>446737.63538583356</v>
      </c>
      <c r="L62" s="23">
        <f>'[1]99 Peakers'!$J$22</f>
        <v>450695.52313306247</v>
      </c>
      <c r="M62" s="23">
        <f>'[1]99 Peakers'!$J$23</f>
        <v>454611.45277225535</v>
      </c>
      <c r="O62" s="23">
        <f>SUM(B62:M62)</f>
        <v>6745353.2014422277</v>
      </c>
      <c r="Q62" s="23">
        <f>SUM(B62:D62)</f>
        <v>1868789</v>
      </c>
      <c r="R62" s="23">
        <f>SUM(E62:G62)</f>
        <v>1915023.1595463562</v>
      </c>
      <c r="S62" s="23">
        <f>SUM(H62:J62)</f>
        <v>1609496.4306047205</v>
      </c>
      <c r="T62" s="23">
        <f>SUM(K62:M62)</f>
        <v>1352044.6112911513</v>
      </c>
      <c r="V62" s="23">
        <f>SUM(Q62:U62)</f>
        <v>6745353.2014422286</v>
      </c>
    </row>
    <row r="63" spans="1:22" x14ac:dyDescent="0.2">
      <c r="A63" s="3" t="s">
        <v>8</v>
      </c>
      <c r="B63" s="23">
        <v>392899</v>
      </c>
      <c r="C63" s="23">
        <v>366702</v>
      </c>
      <c r="D63" s="23">
        <v>381816</v>
      </c>
      <c r="E63" s="23">
        <v>383264</v>
      </c>
      <c r="F63" s="23">
        <v>383264</v>
      </c>
      <c r="G63" s="23">
        <v>383264</v>
      </c>
      <c r="H63" s="23">
        <v>383264</v>
      </c>
      <c r="I63" s="23">
        <v>383264</v>
      </c>
      <c r="J63" s="23">
        <v>383264</v>
      </c>
      <c r="K63" s="23">
        <v>383264</v>
      </c>
      <c r="L63" s="23">
        <v>383264</v>
      </c>
      <c r="M63" s="23">
        <v>383264</v>
      </c>
      <c r="O63" s="23">
        <f>SUM(B63:M63)</f>
        <v>4590793</v>
      </c>
      <c r="Q63" s="23">
        <f>SUM(B63:D63)</f>
        <v>1141417</v>
      </c>
      <c r="R63" s="23">
        <f>SUM(E63:G63)</f>
        <v>1149792</v>
      </c>
      <c r="S63" s="23">
        <f>SUM(H63:J63)</f>
        <v>1149792</v>
      </c>
      <c r="T63" s="23">
        <f>SUM(K63:M63)</f>
        <v>1149792</v>
      </c>
      <c r="V63" s="23">
        <f>SUM(Q63:U63)</f>
        <v>4590793</v>
      </c>
    </row>
    <row r="64" spans="1:22" x14ac:dyDescent="0.2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5" thickBot="1" x14ac:dyDescent="0.25">
      <c r="A65" s="4" t="s">
        <v>17</v>
      </c>
      <c r="B65" s="28">
        <f t="shared" ref="B65:M65" si="34">SUM(B60:B64)</f>
        <v>1204856</v>
      </c>
      <c r="C65" s="28">
        <f t="shared" si="34"/>
        <v>895702</v>
      </c>
      <c r="D65" s="28">
        <f t="shared" si="34"/>
        <v>909648</v>
      </c>
      <c r="E65" s="28">
        <f t="shared" si="34"/>
        <v>1011422</v>
      </c>
      <c r="F65" s="28">
        <f t="shared" si="34"/>
        <v>1024735.8002447374</v>
      </c>
      <c r="G65" s="28">
        <f t="shared" si="34"/>
        <v>1028657.3593016188</v>
      </c>
      <c r="H65" s="28">
        <f t="shared" si="34"/>
        <v>1005820.2630533914</v>
      </c>
      <c r="I65" s="28">
        <f t="shared" si="34"/>
        <v>923117.20211715274</v>
      </c>
      <c r="J65" s="28">
        <f t="shared" si="34"/>
        <v>830350.96543417627</v>
      </c>
      <c r="K65" s="28">
        <f t="shared" si="34"/>
        <v>830001.63538583356</v>
      </c>
      <c r="L65" s="28">
        <f t="shared" si="34"/>
        <v>833959.52313306252</v>
      </c>
      <c r="M65" s="28">
        <f t="shared" si="34"/>
        <v>837875.45277225529</v>
      </c>
      <c r="O65" s="28">
        <f>SUM(O60:O64)</f>
        <v>11336146.201442227</v>
      </c>
      <c r="Q65" s="28">
        <f>SUM(B65:D65)</f>
        <v>3010206</v>
      </c>
      <c r="R65" s="28">
        <f>SUM(E65:G65)</f>
        <v>3064815.1595463562</v>
      </c>
      <c r="S65" s="28">
        <f>SUM(H65:J65)</f>
        <v>2759288.4306047205</v>
      </c>
      <c r="T65" s="28">
        <f>SUM(K65:M65)</f>
        <v>2501836.6112911515</v>
      </c>
      <c r="V65" s="28">
        <f>SUM(Q65:U65)</f>
        <v>11336146.201442229</v>
      </c>
    </row>
    <row r="67" spans="1:22" ht="13.5" thickBot="1" x14ac:dyDescent="0.25">
      <c r="A67" s="1" t="s">
        <v>13</v>
      </c>
      <c r="B67" s="29">
        <f t="shared" ref="B67:M67" si="35">+B10+B48+B58+B65</f>
        <v>1482964</v>
      </c>
      <c r="C67" s="29">
        <f t="shared" si="35"/>
        <v>1279220</v>
      </c>
      <c r="D67" s="29">
        <f t="shared" si="35"/>
        <v>1217641</v>
      </c>
      <c r="E67" s="29">
        <f t="shared" si="35"/>
        <v>1567334.79</v>
      </c>
      <c r="F67" s="29">
        <f t="shared" si="35"/>
        <v>1384254.1335780707</v>
      </c>
      <c r="G67" s="29">
        <f t="shared" si="35"/>
        <v>1374456.692634952</v>
      </c>
      <c r="H67" s="29">
        <f t="shared" si="35"/>
        <v>1351620.5963867246</v>
      </c>
      <c r="I67" s="29">
        <f t="shared" si="35"/>
        <v>1268916.535450486</v>
      </c>
      <c r="J67" s="29">
        <f t="shared" si="35"/>
        <v>1176150.2987675096</v>
      </c>
      <c r="K67" s="29">
        <f t="shared" si="35"/>
        <v>1159068.9687191669</v>
      </c>
      <c r="L67" s="29">
        <f t="shared" si="35"/>
        <v>1128025.8564663958</v>
      </c>
      <c r="M67" s="29">
        <f t="shared" si="35"/>
        <v>1132273.7861055885</v>
      </c>
      <c r="O67" s="29">
        <f>+O10+O48+O58+O65</f>
        <v>15521926.658108894</v>
      </c>
      <c r="Q67" s="29">
        <f>SUM(B67:D67)</f>
        <v>3979825</v>
      </c>
      <c r="R67" s="29">
        <f>SUM(E67:G67)</f>
        <v>4326045.6162130227</v>
      </c>
      <c r="S67" s="29">
        <f>SUM(H67:J67)</f>
        <v>3796687.4306047205</v>
      </c>
      <c r="T67" s="29">
        <f>SUM(K67:M67)</f>
        <v>3419368.611291151</v>
      </c>
      <c r="V67" s="29">
        <f>SUM(Q67:U67)</f>
        <v>15521926.658108894</v>
      </c>
    </row>
    <row r="68" spans="1:22" ht="13.5" thickTop="1" x14ac:dyDescent="0.2">
      <c r="A68" s="40" t="s">
        <v>80</v>
      </c>
      <c r="B68" s="26">
        <f>811957+392899+213705+64403+133333</f>
        <v>1616297</v>
      </c>
      <c r="C68" s="41">
        <f>529000+366702-8308+125162+133333</f>
        <v>1145889</v>
      </c>
      <c r="D68" s="26">
        <f>1530346-144638+182588-189638-3875-2810-154105-224</f>
        <v>1217644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">
      <c r="A69" s="40" t="s">
        <v>27</v>
      </c>
      <c r="B69" s="26">
        <f>B67-B68</f>
        <v>-133333</v>
      </c>
      <c r="C69" s="26">
        <f>C67-C68</f>
        <v>133331</v>
      </c>
      <c r="D69" s="26">
        <f>D67-D68</f>
        <v>-3</v>
      </c>
      <c r="E69" s="26">
        <f>SUM(B69:D69)</f>
        <v>-5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75" x14ac:dyDescent="0.25">
      <c r="A71" s="43" t="str">
        <f>+A1</f>
        <v>GENCO - Caledonia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75" x14ac:dyDescent="0.25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75" x14ac:dyDescent="0.25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36697.4890556713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">
      <c r="A82" s="1" t="s">
        <v>10</v>
      </c>
    </row>
    <row r="83" spans="1:22" x14ac:dyDescent="0.2">
      <c r="A83" s="17" t="s">
        <v>49</v>
      </c>
    </row>
    <row r="84" spans="1:22" x14ac:dyDescent="0.2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09" si="36">SUM(B85:M85)</f>
        <v>9500</v>
      </c>
      <c r="Q85" s="23">
        <f t="shared" ref="Q85:Q109" si="37">SUM(B85:D85)</f>
        <v>1629</v>
      </c>
      <c r="R85" s="23">
        <f t="shared" ref="R85:R109" si="38">SUM(E85:G85)</f>
        <v>2823</v>
      </c>
      <c r="S85" s="23">
        <f t="shared" ref="S85:S109" si="39">SUM(H85:J85)</f>
        <v>3420</v>
      </c>
      <c r="T85" s="23">
        <f t="shared" ref="T85:T109" si="40">SUM(K85:M85)</f>
        <v>1628</v>
      </c>
      <c r="V85" s="23">
        <f t="shared" ref="V85:V112" si="41">SUM(Q85:U85)</f>
        <v>9500</v>
      </c>
    </row>
    <row r="86" spans="1:22" x14ac:dyDescent="0.2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36"/>
        <v>0</v>
      </c>
      <c r="Q86" s="23">
        <f t="shared" si="37"/>
        <v>0</v>
      </c>
      <c r="R86" s="23">
        <f t="shared" si="38"/>
        <v>0</v>
      </c>
      <c r="S86" s="23">
        <f t="shared" si="39"/>
        <v>0</v>
      </c>
      <c r="T86" s="23">
        <f t="shared" si="40"/>
        <v>0</v>
      </c>
      <c r="V86" s="23">
        <f t="shared" si="41"/>
        <v>0</v>
      </c>
    </row>
    <row r="87" spans="1:22" x14ac:dyDescent="0.2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>SUM(B87:M87)</f>
        <v>0</v>
      </c>
      <c r="Q87" s="23">
        <f>SUM(B87:D87)</f>
        <v>0</v>
      </c>
      <c r="R87" s="23">
        <f>SUM(E87:G87)</f>
        <v>0</v>
      </c>
      <c r="S87" s="23">
        <f>SUM(H87:J87)</f>
        <v>0</v>
      </c>
      <c r="T87" s="23">
        <f>SUM(K87:M87)</f>
        <v>0</v>
      </c>
      <c r="V87" s="23">
        <f>SUM(Q87:U87)</f>
        <v>0</v>
      </c>
    </row>
    <row r="88" spans="1:22" x14ac:dyDescent="0.2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>SUM(B88:M88)</f>
        <v>0</v>
      </c>
      <c r="Q88" s="23">
        <f>SUM(B88:D88)</f>
        <v>0</v>
      </c>
      <c r="R88" s="23">
        <f>SUM(E88:G88)</f>
        <v>0</v>
      </c>
      <c r="S88" s="23">
        <f>SUM(H88:J88)</f>
        <v>0</v>
      </c>
      <c r="T88" s="23">
        <f>SUM(K88:M88)</f>
        <v>0</v>
      </c>
      <c r="V88" s="23">
        <f>SUM(Q88:U88)</f>
        <v>0</v>
      </c>
    </row>
    <row r="89" spans="1:22" x14ac:dyDescent="0.2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36"/>
        <v>0</v>
      </c>
      <c r="Q89" s="23">
        <f t="shared" si="37"/>
        <v>0</v>
      </c>
      <c r="R89" s="23">
        <f t="shared" si="38"/>
        <v>0</v>
      </c>
      <c r="S89" s="23">
        <f t="shared" si="39"/>
        <v>0</v>
      </c>
      <c r="T89" s="23">
        <f t="shared" si="40"/>
        <v>0</v>
      </c>
      <c r="V89" s="23">
        <f t="shared" si="41"/>
        <v>0</v>
      </c>
    </row>
    <row r="90" spans="1:22" x14ac:dyDescent="0.2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36"/>
        <v>0</v>
      </c>
      <c r="Q90" s="23">
        <f t="shared" si="37"/>
        <v>0</v>
      </c>
      <c r="R90" s="23">
        <f t="shared" si="38"/>
        <v>0</v>
      </c>
      <c r="S90" s="23">
        <f t="shared" si="39"/>
        <v>0</v>
      </c>
      <c r="T90" s="23">
        <f t="shared" si="40"/>
        <v>0</v>
      </c>
      <c r="V90" s="23">
        <f t="shared" si="41"/>
        <v>0</v>
      </c>
    </row>
    <row r="91" spans="1:22" x14ac:dyDescent="0.2">
      <c r="A91" s="18" t="s">
        <v>92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>SUM(B91:M91)</f>
        <v>0</v>
      </c>
      <c r="Q91" s="23">
        <f>SUM(B91:D91)</f>
        <v>0</v>
      </c>
      <c r="R91" s="23">
        <f>SUM(E91:G91)</f>
        <v>0</v>
      </c>
      <c r="S91" s="23">
        <f>SUM(H91:J91)</f>
        <v>0</v>
      </c>
      <c r="T91" s="23">
        <f>SUM(K91:M91)</f>
        <v>0</v>
      </c>
      <c r="V91" s="23">
        <f>SUM(Q91:U91)</f>
        <v>0</v>
      </c>
    </row>
    <row r="92" spans="1:22" x14ac:dyDescent="0.2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36"/>
        <v>5500</v>
      </c>
      <c r="Q92" s="23">
        <f t="shared" si="37"/>
        <v>1374</v>
      </c>
      <c r="R92" s="23">
        <f t="shared" si="38"/>
        <v>1374</v>
      </c>
      <c r="S92" s="23">
        <f t="shared" si="39"/>
        <v>1374</v>
      </c>
      <c r="T92" s="23">
        <f t="shared" si="40"/>
        <v>1378</v>
      </c>
      <c r="V92" s="23">
        <f t="shared" si="41"/>
        <v>5500</v>
      </c>
    </row>
    <row r="93" spans="1:22" x14ac:dyDescent="0.2">
      <c r="A93" s="18" t="s">
        <v>45</v>
      </c>
      <c r="B93" s="23">
        <v>86</v>
      </c>
      <c r="C93" s="23">
        <v>86</v>
      </c>
      <c r="D93" s="23">
        <v>86</v>
      </c>
      <c r="E93" s="23">
        <v>5086</v>
      </c>
      <c r="F93" s="23">
        <v>12180</v>
      </c>
      <c r="G93" s="23">
        <v>12180</v>
      </c>
      <c r="H93" s="23">
        <v>12180</v>
      </c>
      <c r="I93" s="23">
        <v>12180</v>
      </c>
      <c r="J93" s="23">
        <v>12180</v>
      </c>
      <c r="K93" s="23">
        <v>5086</v>
      </c>
      <c r="L93" s="23">
        <v>86</v>
      </c>
      <c r="M93" s="23">
        <v>84</v>
      </c>
      <c r="O93" s="23">
        <f t="shared" si="36"/>
        <v>71500</v>
      </c>
      <c r="Q93" s="23">
        <f t="shared" si="37"/>
        <v>258</v>
      </c>
      <c r="R93" s="23">
        <f t="shared" si="38"/>
        <v>29446</v>
      </c>
      <c r="S93" s="23">
        <f t="shared" si="39"/>
        <v>36540</v>
      </c>
      <c r="T93" s="23">
        <f t="shared" si="40"/>
        <v>5256</v>
      </c>
      <c r="V93" s="23">
        <f t="shared" si="41"/>
        <v>71500</v>
      </c>
    </row>
    <row r="94" spans="1:22" x14ac:dyDescent="0.2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36"/>
        <v>1500</v>
      </c>
      <c r="Q94" s="23">
        <f t="shared" si="37"/>
        <v>258</v>
      </c>
      <c r="R94" s="23">
        <f t="shared" si="38"/>
        <v>446</v>
      </c>
      <c r="S94" s="23">
        <f t="shared" si="39"/>
        <v>540</v>
      </c>
      <c r="T94" s="23">
        <f t="shared" si="40"/>
        <v>256</v>
      </c>
      <c r="V94" s="23">
        <f t="shared" si="41"/>
        <v>1500</v>
      </c>
    </row>
    <row r="95" spans="1:22" x14ac:dyDescent="0.2">
      <c r="A95" s="18" t="s">
        <v>67</v>
      </c>
      <c r="B95" s="23">
        <v>286</v>
      </c>
      <c r="C95" s="23">
        <v>286</v>
      </c>
      <c r="D95" s="23">
        <v>286</v>
      </c>
      <c r="E95" s="23">
        <v>286</v>
      </c>
      <c r="F95" s="23">
        <v>600</v>
      </c>
      <c r="G95" s="23">
        <v>600</v>
      </c>
      <c r="H95" s="23">
        <v>600</v>
      </c>
      <c r="I95" s="23">
        <v>600</v>
      </c>
      <c r="J95" s="23">
        <v>600</v>
      </c>
      <c r="K95" s="23">
        <v>286</v>
      </c>
      <c r="L95" s="23">
        <v>286</v>
      </c>
      <c r="M95" s="23">
        <v>284</v>
      </c>
      <c r="O95" s="23">
        <f t="shared" si="36"/>
        <v>5000</v>
      </c>
      <c r="Q95" s="23">
        <f t="shared" si="37"/>
        <v>858</v>
      </c>
      <c r="R95" s="23">
        <f t="shared" si="38"/>
        <v>1486</v>
      </c>
      <c r="S95" s="23">
        <f t="shared" si="39"/>
        <v>1800</v>
      </c>
      <c r="T95" s="23">
        <f t="shared" si="40"/>
        <v>856</v>
      </c>
      <c r="V95" s="23">
        <f t="shared" si="41"/>
        <v>5000</v>
      </c>
    </row>
    <row r="96" spans="1:22" x14ac:dyDescent="0.2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6"/>
        <v>0</v>
      </c>
      <c r="Q96" s="23">
        <f t="shared" si="37"/>
        <v>0</v>
      </c>
      <c r="R96" s="23">
        <f t="shared" si="38"/>
        <v>0</v>
      </c>
      <c r="S96" s="23">
        <f t="shared" si="39"/>
        <v>0</v>
      </c>
      <c r="T96" s="23">
        <f t="shared" si="40"/>
        <v>0</v>
      </c>
      <c r="V96" s="23">
        <f t="shared" si="41"/>
        <v>0</v>
      </c>
    </row>
    <row r="97" spans="1:22" x14ac:dyDescent="0.2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36"/>
        <v>4000</v>
      </c>
      <c r="Q97" s="23">
        <f t="shared" si="37"/>
        <v>999</v>
      </c>
      <c r="R97" s="23">
        <f t="shared" si="38"/>
        <v>999</v>
      </c>
      <c r="S97" s="23">
        <f t="shared" si="39"/>
        <v>999</v>
      </c>
      <c r="T97" s="23">
        <f t="shared" si="40"/>
        <v>1003</v>
      </c>
      <c r="V97" s="23">
        <f t="shared" si="41"/>
        <v>4000</v>
      </c>
    </row>
    <row r="98" spans="1:22" x14ac:dyDescent="0.2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9660</v>
      </c>
      <c r="G100" s="23">
        <v>9660</v>
      </c>
      <c r="H100" s="23">
        <v>9660</v>
      </c>
      <c r="I100" s="23">
        <v>9660</v>
      </c>
      <c r="J100" s="23">
        <v>9660</v>
      </c>
      <c r="K100" s="23">
        <v>600</v>
      </c>
      <c r="L100" s="23">
        <v>600</v>
      </c>
      <c r="M100" s="23">
        <v>600</v>
      </c>
      <c r="O100" s="23">
        <f t="shared" si="36"/>
        <v>52500</v>
      </c>
      <c r="Q100" s="23">
        <f t="shared" si="37"/>
        <v>1800</v>
      </c>
      <c r="R100" s="23">
        <f t="shared" si="38"/>
        <v>19920</v>
      </c>
      <c r="S100" s="23">
        <f t="shared" si="39"/>
        <v>28980</v>
      </c>
      <c r="T100" s="23">
        <f t="shared" si="40"/>
        <v>1800</v>
      </c>
      <c r="V100" s="23">
        <f t="shared" si="41"/>
        <v>52500</v>
      </c>
    </row>
    <row r="101" spans="1:22" x14ac:dyDescent="0.2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36"/>
        <v>46200</v>
      </c>
      <c r="Q101" s="23">
        <f t="shared" si="37"/>
        <v>9624</v>
      </c>
      <c r="R101" s="23">
        <f t="shared" si="38"/>
        <v>12704</v>
      </c>
      <c r="S101" s="23">
        <f t="shared" si="39"/>
        <v>14244</v>
      </c>
      <c r="T101" s="23">
        <f t="shared" si="40"/>
        <v>9628</v>
      </c>
      <c r="V101" s="23">
        <f t="shared" si="41"/>
        <v>46200</v>
      </c>
    </row>
    <row r="102" spans="1:22" x14ac:dyDescent="0.2">
      <c r="A102" s="18" t="s">
        <v>71</v>
      </c>
      <c r="B102" s="30">
        <v>5452</v>
      </c>
      <c r="C102" s="23">
        <v>5452</v>
      </c>
      <c r="D102" s="23">
        <v>5452</v>
      </c>
      <c r="E102" s="23">
        <v>5452</v>
      </c>
      <c r="F102" s="23">
        <v>20767</v>
      </c>
      <c r="G102" s="23">
        <v>5767</v>
      </c>
      <c r="H102" s="23">
        <v>5767</v>
      </c>
      <c r="I102" s="23">
        <v>5767</v>
      </c>
      <c r="J102" s="23">
        <v>5767</v>
      </c>
      <c r="K102" s="23">
        <v>5452</v>
      </c>
      <c r="L102" s="23">
        <v>5452</v>
      </c>
      <c r="M102" s="30">
        <v>5453</v>
      </c>
      <c r="O102" s="23">
        <f t="shared" si="36"/>
        <v>82000</v>
      </c>
      <c r="Q102" s="23">
        <f t="shared" si="37"/>
        <v>16356</v>
      </c>
      <c r="R102" s="23">
        <f t="shared" si="38"/>
        <v>31986</v>
      </c>
      <c r="S102" s="23">
        <f t="shared" si="39"/>
        <v>17301</v>
      </c>
      <c r="T102" s="23">
        <f t="shared" si="40"/>
        <v>16357</v>
      </c>
      <c r="V102" s="23">
        <f t="shared" si="41"/>
        <v>82000</v>
      </c>
    </row>
    <row r="103" spans="1:22" x14ac:dyDescent="0.2">
      <c r="A103" s="18" t="s">
        <v>44</v>
      </c>
      <c r="B103" s="23">
        <v>52488</v>
      </c>
      <c r="C103" s="23">
        <v>52488</v>
      </c>
      <c r="D103" s="23">
        <v>52488</v>
      </c>
      <c r="E103" s="23">
        <v>52488</v>
      </c>
      <c r="F103" s="23">
        <v>67950</v>
      </c>
      <c r="G103" s="23">
        <v>67950</v>
      </c>
      <c r="H103" s="23">
        <v>67950</v>
      </c>
      <c r="I103" s="23">
        <v>67950</v>
      </c>
      <c r="J103" s="23">
        <v>67950</v>
      </c>
      <c r="K103" s="23">
        <v>82488</v>
      </c>
      <c r="L103" s="23">
        <v>52488</v>
      </c>
      <c r="M103" s="30">
        <v>52489</v>
      </c>
      <c r="O103" s="23">
        <f t="shared" si="36"/>
        <v>737167</v>
      </c>
      <c r="Q103" s="23">
        <f t="shared" si="37"/>
        <v>157464</v>
      </c>
      <c r="R103" s="23">
        <f t="shared" si="38"/>
        <v>188388</v>
      </c>
      <c r="S103" s="23">
        <f t="shared" si="39"/>
        <v>203850</v>
      </c>
      <c r="T103" s="23">
        <f t="shared" si="40"/>
        <v>187465</v>
      </c>
      <c r="V103" s="23">
        <f t="shared" si="41"/>
        <v>737167</v>
      </c>
    </row>
    <row r="104" spans="1:22" x14ac:dyDescent="0.2">
      <c r="A104" s="18" t="s">
        <v>47</v>
      </c>
      <c r="B104" s="23">
        <v>2975</v>
      </c>
      <c r="C104" s="23">
        <v>2975</v>
      </c>
      <c r="D104" s="23">
        <v>2975</v>
      </c>
      <c r="E104" s="23">
        <v>2975</v>
      </c>
      <c r="F104" s="23">
        <v>2975</v>
      </c>
      <c r="G104" s="23">
        <v>2975</v>
      </c>
      <c r="H104" s="23">
        <v>2975</v>
      </c>
      <c r="I104" s="23">
        <v>2975</v>
      </c>
      <c r="J104" s="23">
        <v>2975</v>
      </c>
      <c r="K104" s="23">
        <v>2975</v>
      </c>
      <c r="L104" s="23">
        <v>2975</v>
      </c>
      <c r="M104" s="23">
        <v>2975</v>
      </c>
      <c r="O104" s="23">
        <f t="shared" si="36"/>
        <v>35700</v>
      </c>
      <c r="Q104" s="23">
        <f t="shared" si="37"/>
        <v>8925</v>
      </c>
      <c r="R104" s="23">
        <f t="shared" si="38"/>
        <v>8925</v>
      </c>
      <c r="S104" s="23">
        <f t="shared" si="39"/>
        <v>8925</v>
      </c>
      <c r="T104" s="23">
        <f t="shared" si="40"/>
        <v>8925</v>
      </c>
      <c r="V104" s="23">
        <f t="shared" si="41"/>
        <v>35700</v>
      </c>
    </row>
    <row r="105" spans="1:22" x14ac:dyDescent="0.2">
      <c r="A105" s="18" t="s">
        <v>2</v>
      </c>
      <c r="B105" s="23">
        <f>1850+23528</f>
        <v>25378</v>
      </c>
      <c r="C105" s="23">
        <f>1850+23528</f>
        <v>25378</v>
      </c>
      <c r="D105" s="23">
        <f>1850+23528</f>
        <v>25378</v>
      </c>
      <c r="E105" s="23">
        <f>2600+23528</f>
        <v>26128</v>
      </c>
      <c r="F105" s="23">
        <f>1850+23528</f>
        <v>25378</v>
      </c>
      <c r="G105" s="23">
        <f t="shared" ref="G105:L105" si="42">1850+24234</f>
        <v>26084</v>
      </c>
      <c r="H105" s="23">
        <f t="shared" si="42"/>
        <v>26084</v>
      </c>
      <c r="I105" s="23">
        <f t="shared" si="42"/>
        <v>26084</v>
      </c>
      <c r="J105" s="23">
        <f t="shared" si="42"/>
        <v>26084</v>
      </c>
      <c r="K105" s="23">
        <f t="shared" si="42"/>
        <v>26084</v>
      </c>
      <c r="L105" s="23">
        <f t="shared" si="42"/>
        <v>26084</v>
      </c>
      <c r="M105" s="23">
        <f>2300+24234</f>
        <v>26534</v>
      </c>
      <c r="O105" s="23">
        <f>SUM(B105:M105)</f>
        <v>310678</v>
      </c>
      <c r="Q105" s="23">
        <f>SUM(B105:D105)</f>
        <v>76134</v>
      </c>
      <c r="R105" s="23">
        <f>SUM(E105:G105)</f>
        <v>77590</v>
      </c>
      <c r="S105" s="23">
        <f>SUM(H105:J105)</f>
        <v>78252</v>
      </c>
      <c r="T105" s="23">
        <f>SUM(K105:M105)</f>
        <v>78702</v>
      </c>
      <c r="V105" s="23">
        <f>SUM(Q105:U105)</f>
        <v>310678</v>
      </c>
    </row>
    <row r="106" spans="1:22" x14ac:dyDescent="0.2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36"/>
        <v>195000</v>
      </c>
      <c r="Q108" s="23">
        <f t="shared" si="37"/>
        <v>33429</v>
      </c>
      <c r="R108" s="23">
        <f t="shared" si="38"/>
        <v>57943</v>
      </c>
      <c r="S108" s="23">
        <f t="shared" si="39"/>
        <v>70200</v>
      </c>
      <c r="T108" s="23">
        <f t="shared" si="40"/>
        <v>33428</v>
      </c>
      <c r="V108" s="23">
        <f t="shared" si="41"/>
        <v>195000</v>
      </c>
    </row>
    <row r="109" spans="1:22" x14ac:dyDescent="0.2">
      <c r="A109" s="18" t="s">
        <v>74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6"/>
        <v>0</v>
      </c>
      <c r="Q109" s="23">
        <f t="shared" si="37"/>
        <v>0</v>
      </c>
      <c r="R109" s="23">
        <f t="shared" si="38"/>
        <v>0</v>
      </c>
      <c r="S109" s="23">
        <f t="shared" si="39"/>
        <v>0</v>
      </c>
      <c r="T109" s="23">
        <f t="shared" si="40"/>
        <v>0</v>
      </c>
      <c r="V109" s="23">
        <f t="shared" si="41"/>
        <v>0</v>
      </c>
    </row>
    <row r="110" spans="1:22" x14ac:dyDescent="0.2">
      <c r="A110" s="18" t="s">
        <v>96</v>
      </c>
    </row>
    <row r="111" spans="1:22" x14ac:dyDescent="0.2">
      <c r="A111" s="18"/>
    </row>
    <row r="112" spans="1:22" x14ac:dyDescent="0.2">
      <c r="A112" s="19" t="s">
        <v>28</v>
      </c>
      <c r="B112" s="27">
        <f>SUM(B83:B110)</f>
        <v>104015</v>
      </c>
      <c r="C112" s="27">
        <f t="shared" ref="C112:O112" si="43">SUM(C83:C110)</f>
        <v>104015</v>
      </c>
      <c r="D112" s="27">
        <f t="shared" si="43"/>
        <v>119015</v>
      </c>
      <c r="E112" s="27">
        <f t="shared" si="43"/>
        <v>109765</v>
      </c>
      <c r="F112" s="27">
        <f t="shared" si="43"/>
        <v>170748</v>
      </c>
      <c r="G112" s="27">
        <f t="shared" si="43"/>
        <v>156454</v>
      </c>
      <c r="H112" s="27">
        <f t="shared" si="43"/>
        <v>156454</v>
      </c>
      <c r="I112" s="27">
        <f t="shared" si="43"/>
        <v>156454</v>
      </c>
      <c r="J112" s="27">
        <f t="shared" si="43"/>
        <v>156454</v>
      </c>
      <c r="K112" s="27">
        <f t="shared" si="43"/>
        <v>139721</v>
      </c>
      <c r="L112" s="27">
        <f t="shared" si="43"/>
        <v>104721</v>
      </c>
      <c r="M112" s="27">
        <f t="shared" si="43"/>
        <v>105179</v>
      </c>
      <c r="O112" s="27">
        <f t="shared" si="43"/>
        <v>1582995</v>
      </c>
      <c r="Q112" s="27">
        <f>SUM(Q83:Q110)</f>
        <v>327045</v>
      </c>
      <c r="R112" s="27">
        <f>SUM(R83:R110)</f>
        <v>436967</v>
      </c>
      <c r="S112" s="27">
        <f>SUM(S83:S110)</f>
        <v>469362</v>
      </c>
      <c r="T112" s="27">
        <f>SUM(T83:T110)</f>
        <v>349621</v>
      </c>
      <c r="V112" s="27">
        <f t="shared" si="41"/>
        <v>1582995</v>
      </c>
    </row>
    <row r="113" spans="1:22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v>17167</v>
      </c>
      <c r="H114" s="25">
        <v>17167</v>
      </c>
      <c r="I114" s="25">
        <v>17167</v>
      </c>
      <c r="J114" s="25">
        <v>17167</v>
      </c>
      <c r="K114" s="25">
        <v>17167</v>
      </c>
      <c r="L114" s="25">
        <v>17167</v>
      </c>
      <c r="M114" s="25">
        <v>17167</v>
      </c>
      <c r="O114" s="25">
        <f>SUM(B114:M114)</f>
        <v>203502.33333333334</v>
      </c>
      <c r="Q114" s="25">
        <f>SUM(B114:D114)</f>
        <v>50000</v>
      </c>
      <c r="R114" s="25">
        <f>SUM(E114:G114)</f>
        <v>50500.333333333336</v>
      </c>
      <c r="S114" s="25">
        <f>SUM(H114:J114)</f>
        <v>51501</v>
      </c>
      <c r="T114" s="25">
        <f>SUM(K114:M114)</f>
        <v>51501</v>
      </c>
      <c r="V114" s="25">
        <f>SUM(Q114:U114)</f>
        <v>203502.33333333334</v>
      </c>
    </row>
    <row r="115" spans="1:22" x14ac:dyDescent="0.2">
      <c r="A115" s="17"/>
    </row>
    <row r="116" spans="1:22" x14ac:dyDescent="0.2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24">
        <f t="shared" ref="B118:M118" si="44">+B112+B114+B116</f>
        <v>170681.66666666669</v>
      </c>
      <c r="C118" s="24">
        <f t="shared" si="44"/>
        <v>170681.66666666669</v>
      </c>
      <c r="D118" s="24">
        <f t="shared" si="44"/>
        <v>185681.66666666666</v>
      </c>
      <c r="E118" s="24">
        <f t="shared" si="44"/>
        <v>176431.66666666669</v>
      </c>
      <c r="F118" s="24">
        <f t="shared" si="44"/>
        <v>237414.66666666666</v>
      </c>
      <c r="G118" s="24">
        <f t="shared" si="44"/>
        <v>223621</v>
      </c>
      <c r="H118" s="24">
        <f t="shared" si="44"/>
        <v>223621</v>
      </c>
      <c r="I118" s="24">
        <f t="shared" si="44"/>
        <v>223621</v>
      </c>
      <c r="J118" s="24">
        <f t="shared" si="44"/>
        <v>223621</v>
      </c>
      <c r="K118" s="24">
        <f t="shared" si="44"/>
        <v>206888</v>
      </c>
      <c r="L118" s="24">
        <f t="shared" si="44"/>
        <v>171888</v>
      </c>
      <c r="M118" s="24">
        <f t="shared" si="44"/>
        <v>172346</v>
      </c>
      <c r="O118" s="24">
        <f>+O112+O114+O116</f>
        <v>2386497.333333333</v>
      </c>
      <c r="Q118" s="24">
        <f>SUM(B118:D118)</f>
        <v>527045</v>
      </c>
      <c r="R118" s="24">
        <f>SUM(E118:G118)</f>
        <v>637467.33333333337</v>
      </c>
      <c r="S118" s="24">
        <f>SUM(H118:J118)</f>
        <v>670863</v>
      </c>
      <c r="T118" s="24">
        <f>SUM(K118:M118)</f>
        <v>551122</v>
      </c>
      <c r="V118" s="24">
        <f>SUM(Q118:U118)</f>
        <v>2386497.3333333335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23">
        <f>255760/12</f>
        <v>21313.333333333332</v>
      </c>
      <c r="C121" s="23">
        <f>255760/12</f>
        <v>21313.333333333332</v>
      </c>
      <c r="D121" s="23">
        <f>255760/12</f>
        <v>21313.333333333332</v>
      </c>
      <c r="E121" s="23">
        <f>255760/12</f>
        <v>21313.333333333332</v>
      </c>
      <c r="F121" s="23">
        <f>255760/12</f>
        <v>21313.333333333332</v>
      </c>
      <c r="G121" s="23">
        <f>263433/12</f>
        <v>21952.75</v>
      </c>
      <c r="H121" s="23">
        <f t="shared" ref="H121:M121" si="45">263433/12</f>
        <v>21952.75</v>
      </c>
      <c r="I121" s="23">
        <f t="shared" si="45"/>
        <v>21952.75</v>
      </c>
      <c r="J121" s="23">
        <f t="shared" si="45"/>
        <v>21952.75</v>
      </c>
      <c r="K121" s="23">
        <f t="shared" si="45"/>
        <v>21952.75</v>
      </c>
      <c r="L121" s="23">
        <f t="shared" si="45"/>
        <v>21952.75</v>
      </c>
      <c r="M121" s="23">
        <f t="shared" si="45"/>
        <v>21952.75</v>
      </c>
      <c r="O121" s="23">
        <f t="shared" ref="O121:O127" si="46">SUM(B121:M121)</f>
        <v>260235.91666666666</v>
      </c>
      <c r="Q121" s="23">
        <f t="shared" ref="Q121:Q128" si="47">SUM(B121:D121)</f>
        <v>63940</v>
      </c>
      <c r="R121" s="23">
        <f t="shared" ref="R121:R128" si="48">SUM(E121:G121)</f>
        <v>64579.416666666664</v>
      </c>
      <c r="S121" s="23">
        <f t="shared" ref="S121:S128" si="49">SUM(H121:J121)</f>
        <v>65858.25</v>
      </c>
      <c r="T121" s="23">
        <f t="shared" ref="T121:T128" si="50">SUM(K121:M121)</f>
        <v>65858.25</v>
      </c>
      <c r="V121" s="23">
        <f t="shared" ref="V121:V128" si="51">SUM(Q121:U121)</f>
        <v>260235.91666666666</v>
      </c>
    </row>
    <row r="122" spans="1:22" x14ac:dyDescent="0.2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539306/12</f>
        <v>44942.166666666664</v>
      </c>
      <c r="H122" s="23">
        <f t="shared" ref="H122:M122" si="52">539306/12</f>
        <v>44942.166666666664</v>
      </c>
      <c r="I122" s="23">
        <f t="shared" si="52"/>
        <v>44942.166666666664</v>
      </c>
      <c r="J122" s="23">
        <f t="shared" si="52"/>
        <v>44942.166666666664</v>
      </c>
      <c r="K122" s="23">
        <f t="shared" si="52"/>
        <v>44942.166666666664</v>
      </c>
      <c r="L122" s="23">
        <f t="shared" si="52"/>
        <v>44942.166666666664</v>
      </c>
      <c r="M122" s="23">
        <f t="shared" si="52"/>
        <v>44942.166666666664</v>
      </c>
      <c r="O122" s="23">
        <f t="shared" si="46"/>
        <v>314595.16666666669</v>
      </c>
      <c r="Q122" s="23">
        <f t="shared" si="47"/>
        <v>0</v>
      </c>
      <c r="R122" s="23">
        <f t="shared" si="48"/>
        <v>44942.166666666664</v>
      </c>
      <c r="S122" s="23">
        <f t="shared" si="49"/>
        <v>134826.5</v>
      </c>
      <c r="T122" s="23">
        <f t="shared" si="50"/>
        <v>134826.5</v>
      </c>
      <c r="V122" s="23">
        <f t="shared" si="51"/>
        <v>314595.16666666663</v>
      </c>
    </row>
    <row r="123" spans="1:22" x14ac:dyDescent="0.2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3">103000/12</f>
        <v>8583.3333333333339</v>
      </c>
      <c r="I123" s="23">
        <f t="shared" si="53"/>
        <v>8583.3333333333339</v>
      </c>
      <c r="J123" s="23">
        <f t="shared" si="53"/>
        <v>8583.3333333333339</v>
      </c>
      <c r="K123" s="23">
        <f t="shared" si="53"/>
        <v>8583.3333333333339</v>
      </c>
      <c r="L123" s="23">
        <f t="shared" si="53"/>
        <v>8583.3333333333339</v>
      </c>
      <c r="M123" s="23">
        <f t="shared" si="53"/>
        <v>8583.3333333333339</v>
      </c>
      <c r="O123" s="23">
        <f t="shared" si="46"/>
        <v>101749.99999999999</v>
      </c>
      <c r="Q123" s="23">
        <f t="shared" si="47"/>
        <v>25000</v>
      </c>
      <c r="R123" s="23">
        <f t="shared" si="48"/>
        <v>25250</v>
      </c>
      <c r="S123" s="23">
        <f t="shared" si="49"/>
        <v>25750</v>
      </c>
      <c r="T123" s="23">
        <f t="shared" si="50"/>
        <v>25750</v>
      </c>
      <c r="V123" s="23">
        <f t="shared" si="51"/>
        <v>101750</v>
      </c>
    </row>
    <row r="124" spans="1:22" x14ac:dyDescent="0.2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6"/>
        <v>30525</v>
      </c>
      <c r="Q124" s="23">
        <f t="shared" si="47"/>
        <v>7500</v>
      </c>
      <c r="R124" s="23">
        <f t="shared" si="48"/>
        <v>7575</v>
      </c>
      <c r="S124" s="23">
        <f t="shared" si="49"/>
        <v>7725</v>
      </c>
      <c r="T124" s="23">
        <f t="shared" si="50"/>
        <v>7725</v>
      </c>
      <c r="V124" s="23">
        <f t="shared" si="51"/>
        <v>30525</v>
      </c>
    </row>
    <row r="125" spans="1:22" x14ac:dyDescent="0.2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v>6500</v>
      </c>
      <c r="H125" s="23">
        <v>6500</v>
      </c>
      <c r="I125" s="23">
        <v>6500</v>
      </c>
      <c r="J125" s="23">
        <v>6500</v>
      </c>
      <c r="K125" s="23">
        <v>6500</v>
      </c>
      <c r="L125" s="23">
        <v>6500</v>
      </c>
      <c r="M125" s="23">
        <f>6400-29</f>
        <v>6371</v>
      </c>
      <c r="O125" s="23">
        <f t="shared" si="46"/>
        <v>76621</v>
      </c>
      <c r="Q125" s="23">
        <f t="shared" si="47"/>
        <v>18750</v>
      </c>
      <c r="R125" s="23">
        <f t="shared" si="48"/>
        <v>19000</v>
      </c>
      <c r="S125" s="23">
        <f t="shared" si="49"/>
        <v>19500</v>
      </c>
      <c r="T125" s="23">
        <f t="shared" si="50"/>
        <v>19371</v>
      </c>
      <c r="V125" s="23">
        <f t="shared" si="51"/>
        <v>76621</v>
      </c>
    </row>
    <row r="126" spans="1:22" x14ac:dyDescent="0.2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6"/>
        <v>0</v>
      </c>
      <c r="Q126" s="23">
        <f t="shared" si="47"/>
        <v>0</v>
      </c>
      <c r="R126" s="23">
        <f t="shared" si="48"/>
        <v>0</v>
      </c>
      <c r="S126" s="23">
        <f t="shared" si="49"/>
        <v>0</v>
      </c>
      <c r="T126" s="23">
        <f t="shared" si="50"/>
        <v>0</v>
      </c>
      <c r="V126" s="23">
        <f t="shared" si="51"/>
        <v>0</v>
      </c>
    </row>
    <row r="127" spans="1:22" x14ac:dyDescent="0.2">
      <c r="A127" s="3"/>
      <c r="O127" s="23">
        <f t="shared" si="46"/>
        <v>0</v>
      </c>
      <c r="Q127" s="23">
        <f t="shared" si="47"/>
        <v>0</v>
      </c>
      <c r="R127" s="23">
        <f t="shared" si="48"/>
        <v>0</v>
      </c>
      <c r="S127" s="23">
        <f t="shared" si="49"/>
        <v>0</v>
      </c>
      <c r="T127" s="23">
        <f t="shared" si="50"/>
        <v>0</v>
      </c>
      <c r="V127" s="23">
        <f t="shared" si="51"/>
        <v>0</v>
      </c>
    </row>
    <row r="128" spans="1:22" ht="13.5" thickBot="1" x14ac:dyDescent="0.25">
      <c r="A128" s="4" t="s">
        <v>15</v>
      </c>
      <c r="B128" s="28">
        <f t="shared" ref="B128:M128" si="54">SUM(B120:B127)</f>
        <v>38396.666666666664</v>
      </c>
      <c r="C128" s="28">
        <f t="shared" si="54"/>
        <v>38396.666666666664</v>
      </c>
      <c r="D128" s="28">
        <f t="shared" si="54"/>
        <v>38396.666666666664</v>
      </c>
      <c r="E128" s="28">
        <f t="shared" si="54"/>
        <v>38396.666666666664</v>
      </c>
      <c r="F128" s="28">
        <f t="shared" si="54"/>
        <v>38396.666666666664</v>
      </c>
      <c r="G128" s="28">
        <f t="shared" si="54"/>
        <v>84553.249999999985</v>
      </c>
      <c r="H128" s="28">
        <f t="shared" si="54"/>
        <v>84553.249999999985</v>
      </c>
      <c r="I128" s="28">
        <f t="shared" si="54"/>
        <v>84553.249999999985</v>
      </c>
      <c r="J128" s="28">
        <f t="shared" si="54"/>
        <v>84553.249999999985</v>
      </c>
      <c r="K128" s="28">
        <f t="shared" si="54"/>
        <v>84553.249999999985</v>
      </c>
      <c r="L128" s="28">
        <f t="shared" si="54"/>
        <v>84553.249999999985</v>
      </c>
      <c r="M128" s="28">
        <f t="shared" si="54"/>
        <v>84424.249999999985</v>
      </c>
      <c r="O128" s="28">
        <f>SUM(O120:O127)</f>
        <v>783727.08333333337</v>
      </c>
      <c r="Q128" s="28">
        <f t="shared" si="47"/>
        <v>115190</v>
      </c>
      <c r="R128" s="28">
        <f t="shared" si="48"/>
        <v>161346.58333333331</v>
      </c>
      <c r="S128" s="28">
        <f t="shared" si="49"/>
        <v>253659.74999999994</v>
      </c>
      <c r="T128" s="28">
        <f t="shared" si="50"/>
        <v>253530.74999999994</v>
      </c>
      <c r="V128" s="28">
        <f t="shared" si="51"/>
        <v>783727.08333333326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">
      <c r="A132" s="3" t="s">
        <v>7</v>
      </c>
      <c r="B132" s="23">
        <v>668000</v>
      </c>
      <c r="C132" s="23">
        <v>673000</v>
      </c>
      <c r="D132" s="23">
        <v>685000</v>
      </c>
      <c r="E132" s="23">
        <v>681000</v>
      </c>
      <c r="F132" s="23">
        <v>683000</v>
      </c>
      <c r="G132" s="23">
        <v>678000</v>
      </c>
      <c r="H132" s="23">
        <v>678000</v>
      </c>
      <c r="I132" s="23">
        <v>681000</v>
      </c>
      <c r="J132" s="23">
        <v>680000</v>
      </c>
      <c r="K132" s="23">
        <v>684000</v>
      </c>
      <c r="L132" s="23">
        <v>689000</v>
      </c>
      <c r="M132" s="23">
        <v>692000</v>
      </c>
      <c r="O132" s="23">
        <f>SUM(B132:M132)</f>
        <v>8172000</v>
      </c>
      <c r="Q132" s="23">
        <f>SUM(B132:D132)</f>
        <v>2026000</v>
      </c>
      <c r="R132" s="23">
        <f>SUM(E132:G132)</f>
        <v>2042000</v>
      </c>
      <c r="S132" s="23">
        <f>SUM(H132:J132)</f>
        <v>2039000</v>
      </c>
      <c r="T132" s="23">
        <f>SUM(K132:M132)</f>
        <v>2065000</v>
      </c>
      <c r="V132" s="23">
        <f>SUM(Q132:U132)</f>
        <v>8172000</v>
      </c>
    </row>
    <row r="133" spans="1:22" x14ac:dyDescent="0.2">
      <c r="A133" s="3" t="s">
        <v>8</v>
      </c>
      <c r="B133" s="23">
        <v>382000</v>
      </c>
      <c r="C133" s="23">
        <v>382000</v>
      </c>
      <c r="D133" s="23">
        <v>382000</v>
      </c>
      <c r="E133" s="23">
        <v>382000</v>
      </c>
      <c r="F133" s="23">
        <v>382000</v>
      </c>
      <c r="G133" s="23">
        <v>382000</v>
      </c>
      <c r="H133" s="23">
        <v>382000</v>
      </c>
      <c r="I133" s="23">
        <v>382000</v>
      </c>
      <c r="J133" s="23">
        <v>382000</v>
      </c>
      <c r="K133" s="23">
        <v>382000</v>
      </c>
      <c r="L133" s="23">
        <v>382000</v>
      </c>
      <c r="M133" s="23">
        <v>380000</v>
      </c>
      <c r="O133" s="23">
        <f>SUM(B133:M133)</f>
        <v>4582000</v>
      </c>
      <c r="Q133" s="23">
        <f>SUM(B133:D133)</f>
        <v>1146000</v>
      </c>
      <c r="R133" s="23">
        <f>SUM(E133:G133)</f>
        <v>1146000</v>
      </c>
      <c r="S133" s="23">
        <f>SUM(H133:J133)</f>
        <v>1146000</v>
      </c>
      <c r="T133" s="23">
        <f>SUM(K133:M133)</f>
        <v>1144000</v>
      </c>
      <c r="V133" s="23">
        <f>SUM(Q133:U133)</f>
        <v>4582000</v>
      </c>
    </row>
    <row r="134" spans="1:22" x14ac:dyDescent="0.2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5" thickBot="1" x14ac:dyDescent="0.25">
      <c r="A135" s="4" t="s">
        <v>17</v>
      </c>
      <c r="B135" s="28">
        <f t="shared" ref="B135:M135" si="55">SUM(B130:B134)</f>
        <v>1050000</v>
      </c>
      <c r="C135" s="28">
        <f t="shared" si="55"/>
        <v>1055000</v>
      </c>
      <c r="D135" s="28">
        <f t="shared" si="55"/>
        <v>1067000</v>
      </c>
      <c r="E135" s="28">
        <f t="shared" si="55"/>
        <v>1063000</v>
      </c>
      <c r="F135" s="28">
        <f t="shared" si="55"/>
        <v>1065000</v>
      </c>
      <c r="G135" s="28">
        <f t="shared" si="55"/>
        <v>1060000</v>
      </c>
      <c r="H135" s="28">
        <f t="shared" si="55"/>
        <v>1060000</v>
      </c>
      <c r="I135" s="28">
        <f t="shared" si="55"/>
        <v>1063000</v>
      </c>
      <c r="J135" s="28">
        <f t="shared" si="55"/>
        <v>1062000</v>
      </c>
      <c r="K135" s="28">
        <f t="shared" si="55"/>
        <v>1066000</v>
      </c>
      <c r="L135" s="28">
        <f t="shared" si="55"/>
        <v>1071000</v>
      </c>
      <c r="M135" s="28">
        <f t="shared" si="55"/>
        <v>1072000</v>
      </c>
      <c r="O135" s="28">
        <f>SUM(O130:O134)</f>
        <v>12754000</v>
      </c>
      <c r="Q135" s="28">
        <f>SUM(B135:D135)</f>
        <v>3172000</v>
      </c>
      <c r="R135" s="28">
        <f>SUM(E135:G135)</f>
        <v>3188000</v>
      </c>
      <c r="S135" s="28">
        <f>SUM(H135:J135)</f>
        <v>3185000</v>
      </c>
      <c r="T135" s="28">
        <f>SUM(K135:M135)</f>
        <v>3209000</v>
      </c>
      <c r="V135" s="28">
        <f>SUM(Q135:U135)</f>
        <v>12754000</v>
      </c>
    </row>
    <row r="137" spans="1:22" ht="13.5" thickBot="1" x14ac:dyDescent="0.25">
      <c r="A137" s="1" t="s">
        <v>13</v>
      </c>
      <c r="B137" s="29">
        <f t="shared" ref="B137:M137" si="56">+B80+B118+B128+B135</f>
        <v>1259078.3333333333</v>
      </c>
      <c r="C137" s="29">
        <f t="shared" si="56"/>
        <v>1264078.3333333333</v>
      </c>
      <c r="D137" s="29">
        <f t="shared" si="56"/>
        <v>1291078.3333333333</v>
      </c>
      <c r="E137" s="29">
        <f t="shared" si="56"/>
        <v>1277828.3333333333</v>
      </c>
      <c r="F137" s="29">
        <f t="shared" si="56"/>
        <v>1340811.3333333333</v>
      </c>
      <c r="G137" s="29">
        <f t="shared" si="56"/>
        <v>1368174.25</v>
      </c>
      <c r="H137" s="29">
        <f t="shared" si="56"/>
        <v>1368174.25</v>
      </c>
      <c r="I137" s="29">
        <f t="shared" si="56"/>
        <v>1371174.25</v>
      </c>
      <c r="J137" s="29">
        <f t="shared" si="56"/>
        <v>1370174.25</v>
      </c>
      <c r="K137" s="29">
        <f t="shared" si="56"/>
        <v>1357441.25</v>
      </c>
      <c r="L137" s="29">
        <f t="shared" si="56"/>
        <v>1327441.25</v>
      </c>
      <c r="M137" s="29">
        <f t="shared" si="56"/>
        <v>1328770.25</v>
      </c>
      <c r="O137" s="29">
        <f>+O80+O118+O128+O135</f>
        <v>15924224.416666666</v>
      </c>
      <c r="Q137" s="29">
        <f>SUM(B137:D137)</f>
        <v>3814235</v>
      </c>
      <c r="R137" s="29">
        <f>SUM(E137:G137)</f>
        <v>3986813.9166666665</v>
      </c>
      <c r="S137" s="29">
        <f>SUM(H137:J137)</f>
        <v>4109522.75</v>
      </c>
      <c r="T137" s="29">
        <f>SUM(K137:M137)</f>
        <v>4013652.75</v>
      </c>
      <c r="V137" s="29">
        <f>SUM(Q137:U137)</f>
        <v>15924224.416666666</v>
      </c>
    </row>
    <row r="138" spans="1:22" ht="13.5" thickTop="1" x14ac:dyDescent="0.2"/>
    <row r="141" spans="1:22" ht="15.75" x14ac:dyDescent="0.25">
      <c r="A141" s="43" t="str">
        <f>+A1</f>
        <v>GENCO - Caledonia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75" x14ac:dyDescent="0.25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75" x14ac:dyDescent="0.25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36697.4890556713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24">
        <f t="shared" ref="B150:M150" si="57">+B80-B10</f>
        <v>0</v>
      </c>
      <c r="C150" s="24">
        <f t="shared" si="57"/>
        <v>0</v>
      </c>
      <c r="D150" s="24">
        <f t="shared" si="57"/>
        <v>0</v>
      </c>
      <c r="E150" s="24">
        <f t="shared" si="57"/>
        <v>0</v>
      </c>
      <c r="F150" s="24">
        <f t="shared" si="57"/>
        <v>0</v>
      </c>
      <c r="G150" s="24">
        <f t="shared" si="57"/>
        <v>0</v>
      </c>
      <c r="H150" s="24">
        <f t="shared" si="57"/>
        <v>0</v>
      </c>
      <c r="I150" s="24">
        <f t="shared" si="57"/>
        <v>0</v>
      </c>
      <c r="J150" s="24">
        <f t="shared" si="57"/>
        <v>0</v>
      </c>
      <c r="K150" s="24">
        <f t="shared" si="57"/>
        <v>0</v>
      </c>
      <c r="L150" s="24">
        <f t="shared" si="57"/>
        <v>0</v>
      </c>
      <c r="M150" s="24">
        <f t="shared" si="57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">
      <c r="A152" s="1" t="s">
        <v>10</v>
      </c>
    </row>
    <row r="153" spans="1:22" x14ac:dyDescent="0.2">
      <c r="A153" s="17" t="s">
        <v>49</v>
      </c>
    </row>
    <row r="154" spans="1:22" x14ac:dyDescent="0.2">
      <c r="A154" s="18" t="s">
        <v>87</v>
      </c>
      <c r="B154" s="23">
        <f t="shared" ref="B154:B178" si="58">B84-B14</f>
        <v>0</v>
      </c>
      <c r="C154" s="23">
        <f t="shared" ref="C154:M154" si="59">C84-C14</f>
        <v>0</v>
      </c>
      <c r="D154" s="23">
        <f t="shared" si="59"/>
        <v>0</v>
      </c>
      <c r="E154" s="23">
        <f t="shared" si="59"/>
        <v>0</v>
      </c>
      <c r="F154" s="23">
        <f t="shared" si="59"/>
        <v>0</v>
      </c>
      <c r="G154" s="23">
        <f t="shared" si="59"/>
        <v>0</v>
      </c>
      <c r="H154" s="23">
        <f t="shared" si="59"/>
        <v>0</v>
      </c>
      <c r="I154" s="23">
        <f t="shared" si="59"/>
        <v>0</v>
      </c>
      <c r="J154" s="23">
        <f t="shared" si="59"/>
        <v>0</v>
      </c>
      <c r="K154" s="23">
        <f t="shared" si="59"/>
        <v>0</v>
      </c>
      <c r="L154" s="23">
        <f t="shared" si="59"/>
        <v>0</v>
      </c>
      <c r="M154" s="23">
        <f t="shared" si="59"/>
        <v>0</v>
      </c>
      <c r="O154" s="23">
        <f t="shared" ref="O154:O170" si="60">SUM(B154:M154)</f>
        <v>0</v>
      </c>
      <c r="Q154" s="23">
        <f t="shared" ref="Q154:Q180" si="61">SUM(B154:D154)</f>
        <v>0</v>
      </c>
      <c r="R154" s="23">
        <f t="shared" ref="R154:R180" si="62">SUM(E154:G154)</f>
        <v>0</v>
      </c>
      <c r="S154" s="23">
        <f t="shared" ref="S154:S180" si="63">SUM(H154:J154)</f>
        <v>0</v>
      </c>
      <c r="T154" s="23">
        <f t="shared" ref="T154:T180" si="64">SUM(K154:M154)</f>
        <v>0</v>
      </c>
      <c r="V154" s="23">
        <f t="shared" ref="V154:V182" si="65">SUM(Q154:U154)</f>
        <v>0</v>
      </c>
    </row>
    <row r="155" spans="1:22" x14ac:dyDescent="0.2">
      <c r="A155" s="18" t="s">
        <v>63</v>
      </c>
      <c r="B155" s="23">
        <f t="shared" si="58"/>
        <v>543</v>
      </c>
      <c r="C155" s="23">
        <f t="shared" ref="C155:M155" si="66">C85-C15</f>
        <v>543</v>
      </c>
      <c r="D155" s="23">
        <f t="shared" si="66"/>
        <v>543</v>
      </c>
      <c r="E155" s="23">
        <f t="shared" si="66"/>
        <v>-5633.04</v>
      </c>
      <c r="F155" s="23">
        <f t="shared" si="66"/>
        <v>0</v>
      </c>
      <c r="G155" s="23">
        <f t="shared" si="66"/>
        <v>0</v>
      </c>
      <c r="H155" s="23">
        <f t="shared" si="66"/>
        <v>0</v>
      </c>
      <c r="I155" s="23">
        <f t="shared" si="66"/>
        <v>0</v>
      </c>
      <c r="J155" s="23">
        <f t="shared" si="66"/>
        <v>0</v>
      </c>
      <c r="K155" s="23">
        <f t="shared" si="66"/>
        <v>0</v>
      </c>
      <c r="L155" s="23">
        <f t="shared" si="66"/>
        <v>0</v>
      </c>
      <c r="M155" s="23">
        <f t="shared" si="66"/>
        <v>0</v>
      </c>
      <c r="O155" s="23">
        <f t="shared" si="60"/>
        <v>-4004.04</v>
      </c>
      <c r="Q155" s="23">
        <f t="shared" si="61"/>
        <v>1629</v>
      </c>
      <c r="R155" s="23">
        <f t="shared" si="62"/>
        <v>-5633.04</v>
      </c>
      <c r="S155" s="23">
        <f t="shared" si="63"/>
        <v>0</v>
      </c>
      <c r="T155" s="23">
        <f t="shared" si="64"/>
        <v>0</v>
      </c>
      <c r="V155" s="23">
        <f t="shared" si="65"/>
        <v>-4004.04</v>
      </c>
    </row>
    <row r="156" spans="1:22" x14ac:dyDescent="0.2">
      <c r="A156" s="18" t="s">
        <v>88</v>
      </c>
      <c r="B156" s="23">
        <f t="shared" si="58"/>
        <v>0</v>
      </c>
      <c r="C156" s="23">
        <f t="shared" ref="C156:M156" si="67">C86-C16</f>
        <v>0</v>
      </c>
      <c r="D156" s="23">
        <f t="shared" si="67"/>
        <v>0</v>
      </c>
      <c r="E156" s="23">
        <f t="shared" si="67"/>
        <v>0</v>
      </c>
      <c r="F156" s="23">
        <f t="shared" si="67"/>
        <v>0</v>
      </c>
      <c r="G156" s="23">
        <f t="shared" si="67"/>
        <v>0</v>
      </c>
      <c r="H156" s="23">
        <f t="shared" si="67"/>
        <v>0</v>
      </c>
      <c r="I156" s="23">
        <f t="shared" si="67"/>
        <v>0</v>
      </c>
      <c r="J156" s="23">
        <f t="shared" si="67"/>
        <v>0</v>
      </c>
      <c r="K156" s="23">
        <f t="shared" si="67"/>
        <v>0</v>
      </c>
      <c r="L156" s="23">
        <f t="shared" si="67"/>
        <v>0</v>
      </c>
      <c r="M156" s="23">
        <f t="shared" si="67"/>
        <v>0</v>
      </c>
      <c r="O156" s="23">
        <f t="shared" si="60"/>
        <v>0</v>
      </c>
      <c r="Q156" s="23">
        <f t="shared" si="61"/>
        <v>0</v>
      </c>
      <c r="R156" s="23">
        <f t="shared" si="62"/>
        <v>0</v>
      </c>
      <c r="S156" s="23">
        <f t="shared" si="63"/>
        <v>0</v>
      </c>
      <c r="T156" s="23">
        <f t="shared" si="64"/>
        <v>0</v>
      </c>
      <c r="V156" s="23">
        <f t="shared" si="65"/>
        <v>0</v>
      </c>
    </row>
    <row r="157" spans="1:22" x14ac:dyDescent="0.2">
      <c r="A157" s="18" t="s">
        <v>89</v>
      </c>
      <c r="B157" s="23">
        <f t="shared" si="58"/>
        <v>0</v>
      </c>
      <c r="C157" s="23">
        <f t="shared" ref="C157:M157" si="68">C87-C17</f>
        <v>0</v>
      </c>
      <c r="D157" s="23">
        <f t="shared" si="68"/>
        <v>0</v>
      </c>
      <c r="E157" s="23">
        <f t="shared" si="68"/>
        <v>0</v>
      </c>
      <c r="F157" s="23">
        <f t="shared" si="68"/>
        <v>0</v>
      </c>
      <c r="G157" s="23">
        <f t="shared" si="68"/>
        <v>0</v>
      </c>
      <c r="H157" s="23">
        <f t="shared" si="68"/>
        <v>0</v>
      </c>
      <c r="I157" s="23">
        <f t="shared" si="68"/>
        <v>0</v>
      </c>
      <c r="J157" s="23">
        <f t="shared" si="68"/>
        <v>0</v>
      </c>
      <c r="K157" s="23">
        <f t="shared" si="68"/>
        <v>0</v>
      </c>
      <c r="L157" s="23">
        <f t="shared" si="68"/>
        <v>0</v>
      </c>
      <c r="M157" s="23">
        <f t="shared" si="68"/>
        <v>0</v>
      </c>
      <c r="O157" s="23">
        <f t="shared" si="60"/>
        <v>0</v>
      </c>
      <c r="Q157" s="23">
        <f t="shared" si="61"/>
        <v>0</v>
      </c>
      <c r="R157" s="23">
        <f t="shared" si="62"/>
        <v>0</v>
      </c>
      <c r="S157" s="23">
        <f t="shared" si="63"/>
        <v>0</v>
      </c>
      <c r="T157" s="23">
        <f t="shared" si="64"/>
        <v>0</v>
      </c>
      <c r="V157" s="23">
        <f t="shared" si="65"/>
        <v>0</v>
      </c>
    </row>
    <row r="158" spans="1:22" x14ac:dyDescent="0.2">
      <c r="A158" s="18" t="s">
        <v>90</v>
      </c>
      <c r="B158" s="23">
        <f t="shared" si="58"/>
        <v>0</v>
      </c>
      <c r="C158" s="23">
        <f t="shared" ref="C158:M158" si="69">C88-C18</f>
        <v>0</v>
      </c>
      <c r="D158" s="23">
        <f t="shared" si="69"/>
        <v>0</v>
      </c>
      <c r="E158" s="23">
        <f t="shared" si="69"/>
        <v>0</v>
      </c>
      <c r="F158" s="23">
        <f t="shared" si="69"/>
        <v>0</v>
      </c>
      <c r="G158" s="23">
        <f t="shared" si="69"/>
        <v>0</v>
      </c>
      <c r="H158" s="23">
        <f t="shared" si="69"/>
        <v>0</v>
      </c>
      <c r="I158" s="23">
        <f t="shared" si="69"/>
        <v>0</v>
      </c>
      <c r="J158" s="23">
        <f t="shared" si="69"/>
        <v>0</v>
      </c>
      <c r="K158" s="23">
        <f t="shared" si="69"/>
        <v>0</v>
      </c>
      <c r="L158" s="23">
        <f t="shared" si="69"/>
        <v>0</v>
      </c>
      <c r="M158" s="23">
        <f t="shared" si="69"/>
        <v>0</v>
      </c>
      <c r="O158" s="23">
        <f t="shared" si="60"/>
        <v>0</v>
      </c>
      <c r="Q158" s="23">
        <f t="shared" si="61"/>
        <v>0</v>
      </c>
      <c r="R158" s="23">
        <f t="shared" si="62"/>
        <v>0</v>
      </c>
      <c r="S158" s="23">
        <f t="shared" si="63"/>
        <v>0</v>
      </c>
      <c r="T158" s="23">
        <f t="shared" si="64"/>
        <v>0</v>
      </c>
      <c r="V158" s="23">
        <f t="shared" si="65"/>
        <v>0</v>
      </c>
    </row>
    <row r="159" spans="1:22" x14ac:dyDescent="0.2">
      <c r="A159" s="18" t="s">
        <v>64</v>
      </c>
      <c r="B159" s="23">
        <f t="shared" si="58"/>
        <v>0</v>
      </c>
      <c r="C159" s="23">
        <f t="shared" ref="C159:M159" si="70">C89-C19</f>
        <v>0</v>
      </c>
      <c r="D159" s="23">
        <f t="shared" si="70"/>
        <v>0</v>
      </c>
      <c r="E159" s="23">
        <f t="shared" si="70"/>
        <v>0</v>
      </c>
      <c r="F159" s="23">
        <f t="shared" si="70"/>
        <v>0</v>
      </c>
      <c r="G159" s="23">
        <f t="shared" si="70"/>
        <v>0</v>
      </c>
      <c r="H159" s="23">
        <f t="shared" si="70"/>
        <v>0</v>
      </c>
      <c r="I159" s="23">
        <f t="shared" si="70"/>
        <v>0</v>
      </c>
      <c r="J159" s="23">
        <f t="shared" si="70"/>
        <v>0</v>
      </c>
      <c r="K159" s="23">
        <f t="shared" si="70"/>
        <v>0</v>
      </c>
      <c r="L159" s="23">
        <f t="shared" si="70"/>
        <v>0</v>
      </c>
      <c r="M159" s="23">
        <f t="shared" si="70"/>
        <v>0</v>
      </c>
      <c r="O159" s="23">
        <f t="shared" si="60"/>
        <v>0</v>
      </c>
      <c r="Q159" s="23">
        <f t="shared" si="61"/>
        <v>0</v>
      </c>
      <c r="R159" s="23">
        <f t="shared" si="62"/>
        <v>0</v>
      </c>
      <c r="S159" s="23">
        <f t="shared" si="63"/>
        <v>0</v>
      </c>
      <c r="T159" s="23">
        <f t="shared" si="64"/>
        <v>0</v>
      </c>
      <c r="V159" s="23">
        <f t="shared" si="65"/>
        <v>0</v>
      </c>
    </row>
    <row r="160" spans="1:22" x14ac:dyDescent="0.2">
      <c r="A160" s="18" t="s">
        <v>91</v>
      </c>
      <c r="B160" s="23">
        <f t="shared" si="58"/>
        <v>0</v>
      </c>
      <c r="C160" s="23">
        <f t="shared" ref="C160:M160" si="71">C90-C20</f>
        <v>-1413</v>
      </c>
      <c r="D160" s="23">
        <f t="shared" si="71"/>
        <v>0</v>
      </c>
      <c r="E160" s="23">
        <f t="shared" si="71"/>
        <v>0</v>
      </c>
      <c r="F160" s="23">
        <f t="shared" si="71"/>
        <v>0</v>
      </c>
      <c r="G160" s="23">
        <f t="shared" si="71"/>
        <v>0</v>
      </c>
      <c r="H160" s="23">
        <f t="shared" si="71"/>
        <v>0</v>
      </c>
      <c r="I160" s="23">
        <f t="shared" si="71"/>
        <v>0</v>
      </c>
      <c r="J160" s="23">
        <f t="shared" si="71"/>
        <v>0</v>
      </c>
      <c r="K160" s="23">
        <f t="shared" si="71"/>
        <v>0</v>
      </c>
      <c r="L160" s="23">
        <f t="shared" si="71"/>
        <v>0</v>
      </c>
      <c r="M160" s="23">
        <f t="shared" si="71"/>
        <v>0</v>
      </c>
      <c r="O160" s="23">
        <f t="shared" si="60"/>
        <v>-1413</v>
      </c>
      <c r="Q160" s="23">
        <f t="shared" si="61"/>
        <v>-1413</v>
      </c>
      <c r="R160" s="23">
        <f t="shared" si="62"/>
        <v>0</v>
      </c>
      <c r="S160" s="23">
        <f t="shared" si="63"/>
        <v>0</v>
      </c>
      <c r="T160" s="23">
        <f t="shared" si="64"/>
        <v>0</v>
      </c>
      <c r="V160" s="23">
        <f t="shared" si="65"/>
        <v>-1413</v>
      </c>
    </row>
    <row r="161" spans="1:22" x14ac:dyDescent="0.2">
      <c r="A161" s="18" t="s">
        <v>92</v>
      </c>
      <c r="B161" s="23">
        <f t="shared" si="58"/>
        <v>0</v>
      </c>
      <c r="C161" s="23">
        <f t="shared" ref="C161:M161" si="72">C91-C21</f>
        <v>0</v>
      </c>
      <c r="D161" s="23">
        <f t="shared" si="72"/>
        <v>0</v>
      </c>
      <c r="E161" s="23">
        <f t="shared" si="72"/>
        <v>0</v>
      </c>
      <c r="F161" s="23">
        <f t="shared" si="72"/>
        <v>0</v>
      </c>
      <c r="G161" s="23">
        <f t="shared" si="72"/>
        <v>0</v>
      </c>
      <c r="H161" s="23">
        <f t="shared" si="72"/>
        <v>0</v>
      </c>
      <c r="I161" s="23">
        <f t="shared" si="72"/>
        <v>0</v>
      </c>
      <c r="J161" s="23">
        <f t="shared" si="72"/>
        <v>0</v>
      </c>
      <c r="K161" s="23">
        <f t="shared" si="72"/>
        <v>0</v>
      </c>
      <c r="L161" s="23">
        <f t="shared" si="72"/>
        <v>0</v>
      </c>
      <c r="M161" s="23">
        <f t="shared" si="72"/>
        <v>0</v>
      </c>
      <c r="O161" s="23">
        <f t="shared" si="60"/>
        <v>0</v>
      </c>
      <c r="Q161" s="23">
        <f t="shared" si="61"/>
        <v>0</v>
      </c>
      <c r="R161" s="23">
        <f t="shared" si="62"/>
        <v>0</v>
      </c>
      <c r="S161" s="23">
        <f t="shared" si="63"/>
        <v>0</v>
      </c>
      <c r="T161" s="23">
        <f t="shared" si="64"/>
        <v>0</v>
      </c>
      <c r="V161" s="23">
        <f t="shared" si="65"/>
        <v>0</v>
      </c>
    </row>
    <row r="162" spans="1:22" x14ac:dyDescent="0.2">
      <c r="A162" s="18" t="s">
        <v>65</v>
      </c>
      <c r="B162" s="23">
        <f t="shared" si="58"/>
        <v>458</v>
      </c>
      <c r="C162" s="23">
        <f t="shared" ref="C162:M162" si="73">C92-C22</f>
        <v>458</v>
      </c>
      <c r="D162" s="23">
        <f t="shared" si="73"/>
        <v>315</v>
      </c>
      <c r="E162" s="23">
        <f t="shared" si="73"/>
        <v>458</v>
      </c>
      <c r="F162" s="23">
        <f t="shared" si="73"/>
        <v>0</v>
      </c>
      <c r="G162" s="23">
        <f t="shared" si="73"/>
        <v>0</v>
      </c>
      <c r="H162" s="23">
        <f t="shared" si="73"/>
        <v>0</v>
      </c>
      <c r="I162" s="23">
        <f t="shared" si="73"/>
        <v>0</v>
      </c>
      <c r="J162" s="23">
        <f t="shared" si="73"/>
        <v>0</v>
      </c>
      <c r="K162" s="23">
        <f t="shared" si="73"/>
        <v>0</v>
      </c>
      <c r="L162" s="23">
        <f t="shared" si="73"/>
        <v>0</v>
      </c>
      <c r="M162" s="23">
        <f t="shared" si="73"/>
        <v>0</v>
      </c>
      <c r="O162" s="23">
        <f t="shared" si="60"/>
        <v>1689</v>
      </c>
      <c r="Q162" s="23">
        <f t="shared" si="61"/>
        <v>1231</v>
      </c>
      <c r="R162" s="23">
        <f t="shared" si="62"/>
        <v>458</v>
      </c>
      <c r="S162" s="23">
        <f t="shared" si="63"/>
        <v>0</v>
      </c>
      <c r="T162" s="23">
        <f t="shared" si="64"/>
        <v>0</v>
      </c>
      <c r="V162" s="23">
        <f t="shared" si="65"/>
        <v>1689</v>
      </c>
    </row>
    <row r="163" spans="1:22" x14ac:dyDescent="0.2">
      <c r="A163" s="18" t="s">
        <v>45</v>
      </c>
      <c r="B163" s="23">
        <f t="shared" si="58"/>
        <v>86</v>
      </c>
      <c r="C163" s="23">
        <f t="shared" ref="C163:M163" si="74">C93-C23</f>
        <v>86</v>
      </c>
      <c r="D163" s="23">
        <f t="shared" si="74"/>
        <v>-1139</v>
      </c>
      <c r="E163" s="23">
        <f t="shared" si="74"/>
        <v>5086</v>
      </c>
      <c r="F163" s="23">
        <f t="shared" si="74"/>
        <v>0</v>
      </c>
      <c r="G163" s="23">
        <f t="shared" si="74"/>
        <v>0</v>
      </c>
      <c r="H163" s="23">
        <f t="shared" si="74"/>
        <v>0</v>
      </c>
      <c r="I163" s="23">
        <f t="shared" si="74"/>
        <v>0</v>
      </c>
      <c r="J163" s="23">
        <f t="shared" si="74"/>
        <v>0</v>
      </c>
      <c r="K163" s="23">
        <f t="shared" si="74"/>
        <v>0</v>
      </c>
      <c r="L163" s="23">
        <f t="shared" si="74"/>
        <v>0</v>
      </c>
      <c r="M163" s="23">
        <f t="shared" si="74"/>
        <v>0</v>
      </c>
      <c r="O163" s="23">
        <f t="shared" si="60"/>
        <v>4119</v>
      </c>
      <c r="Q163" s="23">
        <f t="shared" si="61"/>
        <v>-967</v>
      </c>
      <c r="R163" s="23">
        <f t="shared" si="62"/>
        <v>5086</v>
      </c>
      <c r="S163" s="23">
        <f t="shared" si="63"/>
        <v>0</v>
      </c>
      <c r="T163" s="23">
        <f t="shared" si="64"/>
        <v>0</v>
      </c>
      <c r="V163" s="23">
        <f t="shared" si="65"/>
        <v>4119</v>
      </c>
    </row>
    <row r="164" spans="1:22" x14ac:dyDescent="0.2">
      <c r="A164" s="18" t="s">
        <v>66</v>
      </c>
      <c r="B164" s="23">
        <f t="shared" si="58"/>
        <v>86</v>
      </c>
      <c r="C164" s="23">
        <f t="shared" ref="C164:M164" si="75">C94-C24</f>
        <v>-716</v>
      </c>
      <c r="D164" s="23">
        <f t="shared" si="75"/>
        <v>86</v>
      </c>
      <c r="E164" s="23">
        <f t="shared" si="75"/>
        <v>86</v>
      </c>
      <c r="F164" s="23">
        <f t="shared" si="75"/>
        <v>0</v>
      </c>
      <c r="G164" s="23">
        <f t="shared" si="75"/>
        <v>0</v>
      </c>
      <c r="H164" s="23">
        <f t="shared" si="75"/>
        <v>0</v>
      </c>
      <c r="I164" s="23">
        <f t="shared" si="75"/>
        <v>0</v>
      </c>
      <c r="J164" s="23">
        <f t="shared" si="75"/>
        <v>0</v>
      </c>
      <c r="K164" s="23">
        <f t="shared" si="75"/>
        <v>0</v>
      </c>
      <c r="L164" s="23">
        <f t="shared" si="75"/>
        <v>0</v>
      </c>
      <c r="M164" s="23">
        <f t="shared" si="75"/>
        <v>0</v>
      </c>
      <c r="O164" s="23">
        <f t="shared" si="60"/>
        <v>-458</v>
      </c>
      <c r="Q164" s="23">
        <f t="shared" si="61"/>
        <v>-544</v>
      </c>
      <c r="R164" s="23">
        <f t="shared" si="62"/>
        <v>86</v>
      </c>
      <c r="S164" s="23">
        <f t="shared" si="63"/>
        <v>0</v>
      </c>
      <c r="T164" s="23">
        <f t="shared" si="64"/>
        <v>0</v>
      </c>
      <c r="V164" s="23">
        <f t="shared" si="65"/>
        <v>-458</v>
      </c>
    </row>
    <row r="165" spans="1:22" x14ac:dyDescent="0.2">
      <c r="A165" s="18" t="s">
        <v>67</v>
      </c>
      <c r="B165" s="23">
        <f t="shared" si="58"/>
        <v>286</v>
      </c>
      <c r="C165" s="23">
        <f t="shared" ref="C165:M165" si="76">C95-C25</f>
        <v>286</v>
      </c>
      <c r="D165" s="23">
        <f t="shared" si="76"/>
        <v>286</v>
      </c>
      <c r="E165" s="23">
        <f t="shared" si="76"/>
        <v>286</v>
      </c>
      <c r="F165" s="23">
        <f t="shared" si="76"/>
        <v>0</v>
      </c>
      <c r="G165" s="23">
        <f t="shared" si="76"/>
        <v>0</v>
      </c>
      <c r="H165" s="23">
        <f t="shared" si="76"/>
        <v>0</v>
      </c>
      <c r="I165" s="23">
        <f t="shared" si="76"/>
        <v>0</v>
      </c>
      <c r="J165" s="23">
        <f t="shared" si="76"/>
        <v>0</v>
      </c>
      <c r="K165" s="23">
        <f t="shared" si="76"/>
        <v>0</v>
      </c>
      <c r="L165" s="23">
        <f t="shared" si="76"/>
        <v>0</v>
      </c>
      <c r="M165" s="23">
        <f t="shared" si="76"/>
        <v>0</v>
      </c>
      <c r="O165" s="23">
        <f t="shared" si="60"/>
        <v>1144</v>
      </c>
      <c r="Q165" s="23">
        <f t="shared" si="61"/>
        <v>858</v>
      </c>
      <c r="R165" s="23">
        <f t="shared" si="62"/>
        <v>286</v>
      </c>
      <c r="S165" s="23">
        <f t="shared" si="63"/>
        <v>0</v>
      </c>
      <c r="T165" s="23">
        <f t="shared" si="64"/>
        <v>0</v>
      </c>
      <c r="V165" s="23">
        <f t="shared" si="65"/>
        <v>1144</v>
      </c>
    </row>
    <row r="166" spans="1:22" x14ac:dyDescent="0.2">
      <c r="A166" s="18" t="s">
        <v>93</v>
      </c>
      <c r="B166" s="23">
        <f t="shared" si="58"/>
        <v>0</v>
      </c>
      <c r="C166" s="23">
        <f t="shared" ref="C166:M166" si="77">C96-C26</f>
        <v>0</v>
      </c>
      <c r="D166" s="23">
        <f t="shared" si="77"/>
        <v>0</v>
      </c>
      <c r="E166" s="23">
        <f t="shared" si="77"/>
        <v>0</v>
      </c>
      <c r="F166" s="23">
        <f t="shared" si="77"/>
        <v>0</v>
      </c>
      <c r="G166" s="23">
        <f t="shared" si="77"/>
        <v>0</v>
      </c>
      <c r="H166" s="23">
        <f t="shared" si="77"/>
        <v>0</v>
      </c>
      <c r="I166" s="23">
        <f t="shared" si="77"/>
        <v>0</v>
      </c>
      <c r="J166" s="23">
        <f t="shared" si="77"/>
        <v>0</v>
      </c>
      <c r="K166" s="23">
        <f t="shared" si="77"/>
        <v>0</v>
      </c>
      <c r="L166" s="23">
        <f t="shared" si="77"/>
        <v>0</v>
      </c>
      <c r="M166" s="23">
        <f t="shared" si="77"/>
        <v>0</v>
      </c>
      <c r="O166" s="23">
        <f t="shared" si="60"/>
        <v>0</v>
      </c>
      <c r="Q166" s="23">
        <f t="shared" si="61"/>
        <v>0</v>
      </c>
      <c r="R166" s="23">
        <f t="shared" si="62"/>
        <v>0</v>
      </c>
      <c r="S166" s="23">
        <f t="shared" si="63"/>
        <v>0</v>
      </c>
      <c r="T166" s="23">
        <f t="shared" si="64"/>
        <v>0</v>
      </c>
      <c r="V166" s="23">
        <f t="shared" si="65"/>
        <v>0</v>
      </c>
    </row>
    <row r="167" spans="1:22" x14ac:dyDescent="0.2">
      <c r="A167" s="18" t="s">
        <v>69</v>
      </c>
      <c r="B167" s="23">
        <f t="shared" si="58"/>
        <v>333</v>
      </c>
      <c r="C167" s="23">
        <f t="shared" ref="C167:M167" si="78">C97-C27</f>
        <v>333</v>
      </c>
      <c r="D167" s="23">
        <f t="shared" si="78"/>
        <v>-8322</v>
      </c>
      <c r="E167" s="23">
        <f t="shared" si="78"/>
        <v>333</v>
      </c>
      <c r="F167" s="23">
        <f t="shared" si="78"/>
        <v>0</v>
      </c>
      <c r="G167" s="23">
        <f t="shared" si="78"/>
        <v>0</v>
      </c>
      <c r="H167" s="23">
        <f t="shared" si="78"/>
        <v>0</v>
      </c>
      <c r="I167" s="23">
        <f t="shared" si="78"/>
        <v>0</v>
      </c>
      <c r="J167" s="23">
        <f t="shared" si="78"/>
        <v>0</v>
      </c>
      <c r="K167" s="23">
        <f t="shared" si="78"/>
        <v>0</v>
      </c>
      <c r="L167" s="23">
        <f t="shared" si="78"/>
        <v>0</v>
      </c>
      <c r="M167" s="23">
        <f t="shared" si="78"/>
        <v>0</v>
      </c>
      <c r="O167" s="23">
        <f t="shared" si="60"/>
        <v>-7323</v>
      </c>
      <c r="Q167" s="23">
        <f t="shared" si="61"/>
        <v>-7656</v>
      </c>
      <c r="R167" s="23">
        <f t="shared" si="62"/>
        <v>333</v>
      </c>
      <c r="S167" s="23">
        <f t="shared" si="63"/>
        <v>0</v>
      </c>
      <c r="T167" s="23">
        <f t="shared" si="64"/>
        <v>0</v>
      </c>
      <c r="V167" s="23">
        <f t="shared" si="65"/>
        <v>-7323</v>
      </c>
    </row>
    <row r="168" spans="1:22" x14ac:dyDescent="0.2">
      <c r="A168" s="18" t="s">
        <v>68</v>
      </c>
      <c r="B168" s="23">
        <f t="shared" si="58"/>
        <v>833</v>
      </c>
      <c r="C168" s="23">
        <f t="shared" ref="C168:M168" si="79">C98-C28</f>
        <v>833</v>
      </c>
      <c r="D168" s="23">
        <f t="shared" si="79"/>
        <v>10560</v>
      </c>
      <c r="E168" s="23">
        <f t="shared" si="79"/>
        <v>103.66999999999996</v>
      </c>
      <c r="F168" s="23">
        <f t="shared" si="79"/>
        <v>0</v>
      </c>
      <c r="G168" s="23">
        <f t="shared" si="79"/>
        <v>0</v>
      </c>
      <c r="H168" s="23">
        <f t="shared" si="79"/>
        <v>0</v>
      </c>
      <c r="I168" s="23">
        <f t="shared" si="79"/>
        <v>0</v>
      </c>
      <c r="J168" s="23">
        <f t="shared" si="79"/>
        <v>0</v>
      </c>
      <c r="K168" s="23">
        <f t="shared" si="79"/>
        <v>0</v>
      </c>
      <c r="L168" s="23">
        <f t="shared" si="79"/>
        <v>0</v>
      </c>
      <c r="M168" s="23">
        <f t="shared" si="79"/>
        <v>0</v>
      </c>
      <c r="O168" s="23">
        <f t="shared" si="60"/>
        <v>12329.67</v>
      </c>
      <c r="Q168" s="23">
        <f t="shared" si="61"/>
        <v>12226</v>
      </c>
      <c r="R168" s="23">
        <f t="shared" si="62"/>
        <v>103.66999999999996</v>
      </c>
      <c r="S168" s="23">
        <f t="shared" si="63"/>
        <v>0</v>
      </c>
      <c r="T168" s="23">
        <f t="shared" si="64"/>
        <v>0</v>
      </c>
      <c r="V168" s="23">
        <f t="shared" si="65"/>
        <v>12329.67</v>
      </c>
    </row>
    <row r="169" spans="1:22" x14ac:dyDescent="0.2">
      <c r="A169" s="18" t="s">
        <v>94</v>
      </c>
      <c r="B169" s="23">
        <f t="shared" si="58"/>
        <v>0</v>
      </c>
      <c r="C169" s="23">
        <f t="shared" ref="C169:M169" si="80">C99-C29</f>
        <v>-11</v>
      </c>
      <c r="D169" s="23">
        <f t="shared" si="80"/>
        <v>0</v>
      </c>
      <c r="E169" s="23">
        <f t="shared" si="80"/>
        <v>0</v>
      </c>
      <c r="F169" s="23">
        <f t="shared" si="80"/>
        <v>0</v>
      </c>
      <c r="G169" s="23">
        <f t="shared" si="80"/>
        <v>0</v>
      </c>
      <c r="H169" s="23">
        <f t="shared" si="80"/>
        <v>0</v>
      </c>
      <c r="I169" s="23">
        <f t="shared" si="80"/>
        <v>0</v>
      </c>
      <c r="J169" s="23">
        <f t="shared" si="80"/>
        <v>0</v>
      </c>
      <c r="K169" s="23">
        <f t="shared" si="80"/>
        <v>0</v>
      </c>
      <c r="L169" s="23">
        <f t="shared" si="80"/>
        <v>0</v>
      </c>
      <c r="M169" s="23">
        <f t="shared" si="80"/>
        <v>0</v>
      </c>
      <c r="O169" s="23">
        <f t="shared" si="60"/>
        <v>-11</v>
      </c>
      <c r="Q169" s="23">
        <f t="shared" si="61"/>
        <v>-11</v>
      </c>
      <c r="R169" s="23">
        <f t="shared" si="62"/>
        <v>0</v>
      </c>
      <c r="S169" s="23">
        <f t="shared" si="63"/>
        <v>0</v>
      </c>
      <c r="T169" s="23">
        <f t="shared" si="64"/>
        <v>0</v>
      </c>
      <c r="V169" s="23">
        <f t="shared" si="65"/>
        <v>-11</v>
      </c>
    </row>
    <row r="170" spans="1:22" x14ac:dyDescent="0.2">
      <c r="A170" s="18" t="s">
        <v>46</v>
      </c>
      <c r="B170" s="23">
        <f t="shared" si="58"/>
        <v>600</v>
      </c>
      <c r="C170" s="23">
        <f t="shared" ref="C170:M170" si="81">C100-C30</f>
        <v>600</v>
      </c>
      <c r="D170" s="23">
        <f t="shared" si="81"/>
        <v>600</v>
      </c>
      <c r="E170" s="23">
        <f t="shared" si="81"/>
        <v>600</v>
      </c>
      <c r="F170" s="23">
        <f t="shared" si="81"/>
        <v>0</v>
      </c>
      <c r="G170" s="23">
        <f t="shared" si="81"/>
        <v>0</v>
      </c>
      <c r="H170" s="23">
        <f t="shared" si="81"/>
        <v>0</v>
      </c>
      <c r="I170" s="23">
        <f t="shared" si="81"/>
        <v>0</v>
      </c>
      <c r="J170" s="23">
        <f t="shared" si="81"/>
        <v>0</v>
      </c>
      <c r="K170" s="23">
        <f t="shared" si="81"/>
        <v>0</v>
      </c>
      <c r="L170" s="23">
        <f t="shared" si="81"/>
        <v>0</v>
      </c>
      <c r="M170" s="23">
        <f t="shared" si="81"/>
        <v>0</v>
      </c>
      <c r="O170" s="23">
        <f t="shared" si="60"/>
        <v>2400</v>
      </c>
      <c r="Q170" s="23">
        <f t="shared" si="61"/>
        <v>1800</v>
      </c>
      <c r="R170" s="23">
        <f t="shared" si="62"/>
        <v>600</v>
      </c>
      <c r="S170" s="23">
        <f t="shared" si="63"/>
        <v>0</v>
      </c>
      <c r="T170" s="23">
        <f t="shared" si="64"/>
        <v>0</v>
      </c>
      <c r="V170" s="23">
        <f t="shared" si="65"/>
        <v>2400</v>
      </c>
    </row>
    <row r="171" spans="1:22" x14ac:dyDescent="0.2">
      <c r="A171" s="18" t="s">
        <v>70</v>
      </c>
      <c r="B171" s="23">
        <f t="shared" si="58"/>
        <v>3208</v>
      </c>
      <c r="C171" s="23">
        <f t="shared" ref="C171:M171" si="82">C101-C31</f>
        <v>-1850</v>
      </c>
      <c r="D171" s="23">
        <f t="shared" si="82"/>
        <v>841</v>
      </c>
      <c r="E171" s="23">
        <f t="shared" si="82"/>
        <v>-6753.74</v>
      </c>
      <c r="F171" s="23">
        <f t="shared" si="82"/>
        <v>0</v>
      </c>
      <c r="G171" s="23">
        <f t="shared" si="82"/>
        <v>0</v>
      </c>
      <c r="H171" s="23">
        <f t="shared" si="82"/>
        <v>0</v>
      </c>
      <c r="I171" s="23">
        <f t="shared" si="82"/>
        <v>0</v>
      </c>
      <c r="J171" s="23">
        <f t="shared" si="82"/>
        <v>0</v>
      </c>
      <c r="K171" s="23">
        <f t="shared" si="82"/>
        <v>0</v>
      </c>
      <c r="L171" s="23">
        <f t="shared" si="82"/>
        <v>0</v>
      </c>
      <c r="M171" s="23">
        <f t="shared" si="82"/>
        <v>0</v>
      </c>
      <c r="O171" s="23">
        <f t="shared" ref="O171:O180" si="83">SUM(B171:M171)</f>
        <v>-4554.74</v>
      </c>
      <c r="Q171" s="23">
        <f>SUM(B171:D171)</f>
        <v>2199</v>
      </c>
      <c r="R171" s="23">
        <f>SUM(E171:G171)</f>
        <v>-6753.74</v>
      </c>
      <c r="S171" s="23">
        <f>SUM(H171:J171)</f>
        <v>0</v>
      </c>
      <c r="T171" s="23">
        <f>SUM(K171:M171)</f>
        <v>0</v>
      </c>
      <c r="V171" s="23">
        <f>SUM(Q171:U171)</f>
        <v>-4554.74</v>
      </c>
    </row>
    <row r="172" spans="1:22" x14ac:dyDescent="0.2">
      <c r="A172" s="18" t="s">
        <v>71</v>
      </c>
      <c r="B172" s="23">
        <f t="shared" si="58"/>
        <v>3842</v>
      </c>
      <c r="C172" s="23">
        <f t="shared" ref="C172:M172" si="84">C102-C32</f>
        <v>-8858</v>
      </c>
      <c r="D172" s="23">
        <f t="shared" si="84"/>
        <v>-31775</v>
      </c>
      <c r="E172" s="23">
        <f t="shared" si="84"/>
        <v>-152867.25</v>
      </c>
      <c r="F172" s="23">
        <f t="shared" si="84"/>
        <v>0</v>
      </c>
      <c r="G172" s="23">
        <f t="shared" si="84"/>
        <v>0</v>
      </c>
      <c r="H172" s="23">
        <f t="shared" si="84"/>
        <v>0</v>
      </c>
      <c r="I172" s="23">
        <f t="shared" si="84"/>
        <v>0</v>
      </c>
      <c r="J172" s="23">
        <f t="shared" si="84"/>
        <v>0</v>
      </c>
      <c r="K172" s="23">
        <f t="shared" si="84"/>
        <v>0</v>
      </c>
      <c r="L172" s="23">
        <f t="shared" si="84"/>
        <v>0</v>
      </c>
      <c r="M172" s="23">
        <f t="shared" si="84"/>
        <v>0</v>
      </c>
      <c r="O172" s="23">
        <f t="shared" si="83"/>
        <v>-189658.25</v>
      </c>
      <c r="Q172" s="23">
        <f t="shared" si="61"/>
        <v>-36791</v>
      </c>
      <c r="R172" s="23">
        <f t="shared" si="62"/>
        <v>-152867.25</v>
      </c>
      <c r="S172" s="23">
        <f t="shared" si="63"/>
        <v>0</v>
      </c>
      <c r="T172" s="23">
        <f t="shared" si="64"/>
        <v>0</v>
      </c>
      <c r="V172" s="23">
        <f t="shared" si="65"/>
        <v>-189658.25</v>
      </c>
    </row>
    <row r="173" spans="1:22" x14ac:dyDescent="0.2">
      <c r="A173" s="18" t="s">
        <v>44</v>
      </c>
      <c r="B173" s="23">
        <f t="shared" si="58"/>
        <v>4130</v>
      </c>
      <c r="C173" s="23">
        <f t="shared" ref="C173:M173" si="85">C103-C33</f>
        <v>-6662</v>
      </c>
      <c r="D173" s="23">
        <f t="shared" si="85"/>
        <v>-7801</v>
      </c>
      <c r="E173" s="23">
        <f t="shared" si="85"/>
        <v>-22374.320000000007</v>
      </c>
      <c r="F173" s="23">
        <f t="shared" si="85"/>
        <v>0</v>
      </c>
      <c r="G173" s="23">
        <f t="shared" si="85"/>
        <v>0</v>
      </c>
      <c r="H173" s="23">
        <f t="shared" si="85"/>
        <v>0</v>
      </c>
      <c r="I173" s="23">
        <f t="shared" si="85"/>
        <v>0</v>
      </c>
      <c r="J173" s="23">
        <f t="shared" si="85"/>
        <v>0</v>
      </c>
      <c r="K173" s="23">
        <f t="shared" si="85"/>
        <v>0</v>
      </c>
      <c r="L173" s="23">
        <f t="shared" si="85"/>
        <v>0</v>
      </c>
      <c r="M173" s="23">
        <f t="shared" si="85"/>
        <v>0</v>
      </c>
      <c r="O173" s="23">
        <f t="shared" si="83"/>
        <v>-32707.320000000007</v>
      </c>
      <c r="Q173" s="23">
        <f t="shared" si="61"/>
        <v>-10333</v>
      </c>
      <c r="R173" s="23">
        <f t="shared" si="62"/>
        <v>-22374.320000000007</v>
      </c>
      <c r="S173" s="23">
        <f t="shared" si="63"/>
        <v>0</v>
      </c>
      <c r="T173" s="23">
        <f t="shared" si="64"/>
        <v>0</v>
      </c>
      <c r="V173" s="23">
        <f t="shared" si="65"/>
        <v>-32707.320000000007</v>
      </c>
    </row>
    <row r="174" spans="1:22" x14ac:dyDescent="0.2">
      <c r="A174" s="18" t="s">
        <v>47</v>
      </c>
      <c r="B174" s="23">
        <f t="shared" si="58"/>
        <v>2975</v>
      </c>
      <c r="C174" s="23">
        <f t="shared" ref="C174:M174" si="86">C104-C34</f>
        <v>-4525</v>
      </c>
      <c r="D174" s="23">
        <f t="shared" si="86"/>
        <v>-2203</v>
      </c>
      <c r="E174" s="23">
        <f t="shared" si="86"/>
        <v>679.23</v>
      </c>
      <c r="F174" s="23">
        <f t="shared" si="86"/>
        <v>0</v>
      </c>
      <c r="G174" s="23">
        <f t="shared" si="86"/>
        <v>0</v>
      </c>
      <c r="H174" s="23">
        <f t="shared" si="86"/>
        <v>0</v>
      </c>
      <c r="I174" s="23">
        <f t="shared" si="86"/>
        <v>0</v>
      </c>
      <c r="J174" s="23">
        <f t="shared" si="86"/>
        <v>0</v>
      </c>
      <c r="K174" s="23">
        <f t="shared" si="86"/>
        <v>0</v>
      </c>
      <c r="L174" s="23">
        <f t="shared" si="86"/>
        <v>0</v>
      </c>
      <c r="M174" s="23">
        <f t="shared" si="86"/>
        <v>0</v>
      </c>
      <c r="O174" s="23">
        <f t="shared" si="83"/>
        <v>-3073.77</v>
      </c>
      <c r="Q174" s="23">
        <f t="shared" si="61"/>
        <v>-3753</v>
      </c>
      <c r="R174" s="23">
        <f t="shared" si="62"/>
        <v>679.23</v>
      </c>
      <c r="S174" s="23">
        <f t="shared" si="63"/>
        <v>0</v>
      </c>
      <c r="T174" s="23">
        <f t="shared" si="64"/>
        <v>0</v>
      </c>
      <c r="V174" s="23">
        <f t="shared" si="65"/>
        <v>-3073.77</v>
      </c>
    </row>
    <row r="175" spans="1:22" x14ac:dyDescent="0.2">
      <c r="A175" s="18" t="s">
        <v>2</v>
      </c>
      <c r="B175" s="23">
        <f t="shared" si="58"/>
        <v>25378</v>
      </c>
      <c r="C175" s="23">
        <f t="shared" ref="C175:M175" si="87">C105-C35</f>
        <v>-23408</v>
      </c>
      <c r="D175" s="23">
        <f t="shared" si="87"/>
        <v>-69085</v>
      </c>
      <c r="E175" s="23">
        <f t="shared" si="87"/>
        <v>-71341.98</v>
      </c>
      <c r="F175" s="23">
        <f t="shared" si="87"/>
        <v>0</v>
      </c>
      <c r="G175" s="23">
        <f t="shared" si="87"/>
        <v>0</v>
      </c>
      <c r="H175" s="23">
        <f t="shared" si="87"/>
        <v>0</v>
      </c>
      <c r="I175" s="23">
        <f t="shared" si="87"/>
        <v>0</v>
      </c>
      <c r="J175" s="23">
        <f t="shared" si="87"/>
        <v>0</v>
      </c>
      <c r="K175" s="23">
        <f t="shared" si="87"/>
        <v>0</v>
      </c>
      <c r="L175" s="23">
        <f t="shared" si="87"/>
        <v>0</v>
      </c>
      <c r="M175" s="23">
        <f t="shared" si="87"/>
        <v>0</v>
      </c>
      <c r="O175" s="23">
        <f t="shared" si="83"/>
        <v>-138456.97999999998</v>
      </c>
      <c r="Q175" s="23">
        <f t="shared" si="61"/>
        <v>-67115</v>
      </c>
      <c r="R175" s="23">
        <f t="shared" si="62"/>
        <v>-71341.98</v>
      </c>
      <c r="S175" s="23">
        <f t="shared" si="63"/>
        <v>0</v>
      </c>
      <c r="T175" s="23">
        <f t="shared" si="64"/>
        <v>0</v>
      </c>
      <c r="V175" s="23">
        <f t="shared" si="65"/>
        <v>-138456.97999999998</v>
      </c>
    </row>
    <row r="176" spans="1:22" x14ac:dyDescent="0.2">
      <c r="A176" s="18" t="s">
        <v>95</v>
      </c>
      <c r="B176" s="23">
        <f t="shared" si="58"/>
        <v>0</v>
      </c>
      <c r="C176" s="23">
        <f t="shared" ref="C176:M176" si="88">C106-C36</f>
        <v>0</v>
      </c>
      <c r="D176" s="23">
        <f t="shared" si="88"/>
        <v>0</v>
      </c>
      <c r="E176" s="23">
        <f t="shared" si="88"/>
        <v>0</v>
      </c>
      <c r="F176" s="23">
        <f t="shared" si="88"/>
        <v>0</v>
      </c>
      <c r="G176" s="23">
        <f t="shared" si="88"/>
        <v>0</v>
      </c>
      <c r="H176" s="23">
        <f t="shared" si="88"/>
        <v>0</v>
      </c>
      <c r="I176" s="23">
        <f t="shared" si="88"/>
        <v>0</v>
      </c>
      <c r="J176" s="23">
        <f t="shared" si="88"/>
        <v>0</v>
      </c>
      <c r="K176" s="23">
        <f t="shared" si="88"/>
        <v>0</v>
      </c>
      <c r="L176" s="23">
        <f t="shared" si="88"/>
        <v>0</v>
      </c>
      <c r="M176" s="23">
        <f t="shared" si="88"/>
        <v>0</v>
      </c>
      <c r="O176" s="23">
        <f t="shared" si="83"/>
        <v>0</v>
      </c>
      <c r="Q176" s="23">
        <f>SUM(B176:D176)</f>
        <v>0</v>
      </c>
      <c r="R176" s="23">
        <f>SUM(E176:G176)</f>
        <v>0</v>
      </c>
      <c r="S176" s="23">
        <f>SUM(H176:J176)</f>
        <v>0</v>
      </c>
      <c r="T176" s="23">
        <f>SUM(K176:M176)</f>
        <v>0</v>
      </c>
      <c r="V176" s="23">
        <f>SUM(Q176:U176)</f>
        <v>0</v>
      </c>
    </row>
    <row r="177" spans="1:22" x14ac:dyDescent="0.2">
      <c r="A177" s="18" t="s">
        <v>72</v>
      </c>
      <c r="B177" s="23">
        <f t="shared" si="58"/>
        <v>146</v>
      </c>
      <c r="C177" s="23">
        <f t="shared" ref="C177:M177" si="89">C107-C37</f>
        <v>146</v>
      </c>
      <c r="D177" s="23">
        <f t="shared" si="89"/>
        <v>146</v>
      </c>
      <c r="E177" s="23">
        <f t="shared" si="89"/>
        <v>146</v>
      </c>
      <c r="F177" s="23">
        <f t="shared" si="89"/>
        <v>0</v>
      </c>
      <c r="G177" s="23">
        <f t="shared" si="89"/>
        <v>0</v>
      </c>
      <c r="H177" s="23">
        <f t="shared" si="89"/>
        <v>0</v>
      </c>
      <c r="I177" s="23">
        <f t="shared" si="89"/>
        <v>0</v>
      </c>
      <c r="J177" s="23">
        <f t="shared" si="89"/>
        <v>0</v>
      </c>
      <c r="K177" s="23">
        <f t="shared" si="89"/>
        <v>0</v>
      </c>
      <c r="L177" s="23">
        <f t="shared" si="89"/>
        <v>0</v>
      </c>
      <c r="M177" s="23">
        <f t="shared" si="89"/>
        <v>0</v>
      </c>
      <c r="O177" s="23">
        <f t="shared" si="83"/>
        <v>584</v>
      </c>
      <c r="Q177" s="23">
        <f>SUM(B177:D177)</f>
        <v>438</v>
      </c>
      <c r="R177" s="23">
        <f>SUM(E177:G177)</f>
        <v>146</v>
      </c>
      <c r="S177" s="23">
        <f>SUM(H177:J177)</f>
        <v>0</v>
      </c>
      <c r="T177" s="23">
        <f>SUM(K177:M177)</f>
        <v>0</v>
      </c>
      <c r="V177" s="23">
        <f>SUM(Q177:U177)</f>
        <v>584</v>
      </c>
    </row>
    <row r="178" spans="1:22" x14ac:dyDescent="0.2">
      <c r="A178" s="18" t="s">
        <v>48</v>
      </c>
      <c r="B178" s="23">
        <f t="shared" si="58"/>
        <v>11143</v>
      </c>
      <c r="C178" s="23">
        <f t="shared" ref="C178:M178" si="90">C108-C38</f>
        <v>11143</v>
      </c>
      <c r="D178" s="23">
        <f t="shared" si="90"/>
        <v>-15168</v>
      </c>
      <c r="E178" s="23">
        <f t="shared" si="90"/>
        <v>5934.17</v>
      </c>
      <c r="F178" s="23">
        <f t="shared" si="90"/>
        <v>0</v>
      </c>
      <c r="G178" s="23">
        <f t="shared" si="90"/>
        <v>0</v>
      </c>
      <c r="H178" s="23">
        <f t="shared" si="90"/>
        <v>0</v>
      </c>
      <c r="I178" s="23">
        <f t="shared" si="90"/>
        <v>0</v>
      </c>
      <c r="J178" s="23">
        <f t="shared" si="90"/>
        <v>0</v>
      </c>
      <c r="K178" s="23">
        <f t="shared" si="90"/>
        <v>0</v>
      </c>
      <c r="L178" s="23">
        <f t="shared" si="90"/>
        <v>0</v>
      </c>
      <c r="M178" s="23">
        <f t="shared" si="90"/>
        <v>0</v>
      </c>
      <c r="O178" s="23">
        <f t="shared" si="83"/>
        <v>13052.17</v>
      </c>
      <c r="Q178" s="23">
        <f t="shared" si="61"/>
        <v>7118</v>
      </c>
      <c r="R178" s="23">
        <f t="shared" si="62"/>
        <v>5934.17</v>
      </c>
      <c r="S178" s="23">
        <f t="shared" si="63"/>
        <v>0</v>
      </c>
      <c r="T178" s="23">
        <f t="shared" si="64"/>
        <v>0</v>
      </c>
      <c r="V178" s="23">
        <f t="shared" si="65"/>
        <v>13052.17</v>
      </c>
    </row>
    <row r="179" spans="1:22" x14ac:dyDescent="0.2">
      <c r="A179" s="18" t="s">
        <v>74</v>
      </c>
      <c r="B179" s="23">
        <f t="shared" ref="B179:M179" si="91">B109-B39</f>
        <v>0</v>
      </c>
      <c r="C179" s="23">
        <f t="shared" si="91"/>
        <v>0</v>
      </c>
      <c r="D179" s="23">
        <f t="shared" si="91"/>
        <v>0</v>
      </c>
      <c r="E179" s="23">
        <f t="shared" si="91"/>
        <v>0</v>
      </c>
      <c r="F179" s="23">
        <f t="shared" si="91"/>
        <v>0</v>
      </c>
      <c r="G179" s="23">
        <f t="shared" si="91"/>
        <v>0</v>
      </c>
      <c r="H179" s="23">
        <f t="shared" si="91"/>
        <v>0</v>
      </c>
      <c r="I179" s="23">
        <f t="shared" si="91"/>
        <v>0</v>
      </c>
      <c r="J179" s="23">
        <f t="shared" si="91"/>
        <v>0</v>
      </c>
      <c r="K179" s="23">
        <f t="shared" si="91"/>
        <v>0</v>
      </c>
      <c r="L179" s="23">
        <f t="shared" si="91"/>
        <v>0</v>
      </c>
      <c r="M179" s="23">
        <f t="shared" si="91"/>
        <v>0</v>
      </c>
      <c r="O179" s="23">
        <f t="shared" si="83"/>
        <v>0</v>
      </c>
      <c r="Q179" s="23">
        <f t="shared" si="61"/>
        <v>0</v>
      </c>
      <c r="R179" s="23">
        <f t="shared" si="62"/>
        <v>0</v>
      </c>
      <c r="S179" s="23">
        <f t="shared" si="63"/>
        <v>0</v>
      </c>
      <c r="T179" s="23">
        <f t="shared" si="64"/>
        <v>0</v>
      </c>
      <c r="V179" s="23">
        <f t="shared" si="65"/>
        <v>0</v>
      </c>
    </row>
    <row r="180" spans="1:22" x14ac:dyDescent="0.2">
      <c r="A180" s="18" t="s">
        <v>96</v>
      </c>
      <c r="B180" s="23">
        <f t="shared" ref="B180:M180" si="92">B110-B40</f>
        <v>-12222</v>
      </c>
      <c r="C180" s="23">
        <f t="shared" si="92"/>
        <v>-18593</v>
      </c>
      <c r="D180" s="23">
        <f t="shared" si="92"/>
        <v>-2684</v>
      </c>
      <c r="E180" s="23">
        <f t="shared" si="92"/>
        <v>-7794.53</v>
      </c>
      <c r="F180" s="23">
        <f t="shared" si="92"/>
        <v>0</v>
      </c>
      <c r="G180" s="23">
        <f t="shared" si="92"/>
        <v>0</v>
      </c>
      <c r="H180" s="23">
        <f t="shared" si="92"/>
        <v>0</v>
      </c>
      <c r="I180" s="23">
        <f t="shared" si="92"/>
        <v>0</v>
      </c>
      <c r="J180" s="23">
        <f t="shared" si="92"/>
        <v>0</v>
      </c>
      <c r="K180" s="23">
        <f t="shared" si="92"/>
        <v>0</v>
      </c>
      <c r="L180" s="23">
        <f t="shared" si="92"/>
        <v>0</v>
      </c>
      <c r="M180" s="23">
        <f t="shared" si="92"/>
        <v>0</v>
      </c>
      <c r="O180" s="23">
        <f t="shared" si="83"/>
        <v>-41293.53</v>
      </c>
      <c r="Q180" s="23">
        <f t="shared" si="61"/>
        <v>-33499</v>
      </c>
      <c r="R180" s="23">
        <f t="shared" si="62"/>
        <v>-7794.53</v>
      </c>
      <c r="S180" s="23">
        <f t="shared" si="63"/>
        <v>0</v>
      </c>
      <c r="T180" s="23">
        <f t="shared" si="64"/>
        <v>0</v>
      </c>
      <c r="V180" s="23">
        <f t="shared" si="65"/>
        <v>-41293.53</v>
      </c>
    </row>
    <row r="181" spans="1:22" x14ac:dyDescent="0.2">
      <c r="A181" s="18"/>
    </row>
    <row r="182" spans="1:22" x14ac:dyDescent="0.2">
      <c r="A182" s="19" t="s">
        <v>28</v>
      </c>
      <c r="B182" s="27">
        <f>SUM(B154:B180)</f>
        <v>41825</v>
      </c>
      <c r="C182" s="27">
        <f t="shared" ref="C182:M182" si="93">SUM(C154:C180)</f>
        <v>-51608</v>
      </c>
      <c r="D182" s="27">
        <f t="shared" si="93"/>
        <v>-124800</v>
      </c>
      <c r="E182" s="27">
        <f t="shared" si="93"/>
        <v>-253052.78999999998</v>
      </c>
      <c r="F182" s="27">
        <f t="shared" si="93"/>
        <v>0</v>
      </c>
      <c r="G182" s="27">
        <f t="shared" si="93"/>
        <v>0</v>
      </c>
      <c r="H182" s="27">
        <f t="shared" si="93"/>
        <v>0</v>
      </c>
      <c r="I182" s="27">
        <f t="shared" si="93"/>
        <v>0</v>
      </c>
      <c r="J182" s="27">
        <f t="shared" si="93"/>
        <v>0</v>
      </c>
      <c r="K182" s="27">
        <f t="shared" si="93"/>
        <v>0</v>
      </c>
      <c r="L182" s="27">
        <f t="shared" si="93"/>
        <v>0</v>
      </c>
      <c r="M182" s="27">
        <f t="shared" si="93"/>
        <v>0</v>
      </c>
      <c r="O182" s="27">
        <f>SUM(O153:O180)</f>
        <v>-387635.78999999992</v>
      </c>
      <c r="Q182" s="27">
        <f>SUM(Q153:Q180)</f>
        <v>-134583</v>
      </c>
      <c r="R182" s="27">
        <f>SUM(R153:R180)</f>
        <v>-253052.78999999998</v>
      </c>
      <c r="S182" s="27">
        <f>SUM(S153:S180)</f>
        <v>0</v>
      </c>
      <c r="T182" s="27">
        <f>SUM(T153:T180)</f>
        <v>0</v>
      </c>
      <c r="V182" s="27">
        <f t="shared" si="65"/>
        <v>-387635.79</v>
      </c>
    </row>
    <row r="183" spans="1:22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">
      <c r="A184" s="17" t="s">
        <v>29</v>
      </c>
      <c r="B184" s="25">
        <f t="shared" ref="B184:M184" si="94">+B114-B44</f>
        <v>-1515.3333333333321</v>
      </c>
      <c r="C184" s="25">
        <f t="shared" si="94"/>
        <v>-1515.3333333333321</v>
      </c>
      <c r="D184" s="25">
        <f t="shared" si="94"/>
        <v>514.66666666666788</v>
      </c>
      <c r="E184" s="25">
        <f t="shared" si="94"/>
        <v>-500.33333333333212</v>
      </c>
      <c r="F184" s="25">
        <f t="shared" si="94"/>
        <v>-500.33333333333212</v>
      </c>
      <c r="G184" s="25">
        <f t="shared" si="94"/>
        <v>0</v>
      </c>
      <c r="H184" s="25">
        <f t="shared" si="94"/>
        <v>0</v>
      </c>
      <c r="I184" s="25">
        <f t="shared" si="94"/>
        <v>0</v>
      </c>
      <c r="J184" s="25">
        <f t="shared" si="94"/>
        <v>0</v>
      </c>
      <c r="K184" s="25">
        <f t="shared" si="94"/>
        <v>0</v>
      </c>
      <c r="L184" s="25">
        <f t="shared" si="94"/>
        <v>0</v>
      </c>
      <c r="M184" s="25">
        <f t="shared" si="94"/>
        <v>0</v>
      </c>
      <c r="O184" s="25">
        <f>SUM(B184:M184)</f>
        <v>-3516.6666666666606</v>
      </c>
      <c r="Q184" s="25">
        <f>SUM(B184:D184)</f>
        <v>-2515.9999999999964</v>
      </c>
      <c r="R184" s="25">
        <f>SUM(E184:G184)</f>
        <v>-1000.6666666666642</v>
      </c>
      <c r="S184" s="25">
        <f>SUM(H184:J184)</f>
        <v>0</v>
      </c>
      <c r="T184" s="25">
        <f>SUM(K184:M184)</f>
        <v>0</v>
      </c>
      <c r="V184" s="25">
        <f>SUM(Q184:U184)</f>
        <v>-3516.6666666666606</v>
      </c>
    </row>
    <row r="185" spans="1:22" x14ac:dyDescent="0.2">
      <c r="A185" s="17"/>
    </row>
    <row r="186" spans="1:22" x14ac:dyDescent="0.2">
      <c r="A186" s="17" t="s">
        <v>30</v>
      </c>
      <c r="B186" s="25">
        <f t="shared" ref="B186:M186" si="95">+B116-B46</f>
        <v>-83333</v>
      </c>
      <c r="C186" s="25">
        <f t="shared" si="95"/>
        <v>-83334</v>
      </c>
      <c r="D186" s="25">
        <f t="shared" si="95"/>
        <v>44000</v>
      </c>
      <c r="E186" s="25">
        <f t="shared" si="95"/>
        <v>-16667</v>
      </c>
      <c r="F186" s="25">
        <f t="shared" si="95"/>
        <v>-33333</v>
      </c>
      <c r="G186" s="25">
        <f t="shared" si="95"/>
        <v>-33333</v>
      </c>
      <c r="H186" s="25">
        <f t="shared" si="95"/>
        <v>-33334</v>
      </c>
      <c r="I186" s="25">
        <f t="shared" si="95"/>
        <v>-33333</v>
      </c>
      <c r="J186" s="25">
        <f t="shared" si="95"/>
        <v>-33333</v>
      </c>
      <c r="K186" s="25">
        <f t="shared" si="95"/>
        <v>-33334</v>
      </c>
      <c r="L186" s="25">
        <f t="shared" si="95"/>
        <v>-33333</v>
      </c>
      <c r="M186" s="25">
        <f t="shared" si="95"/>
        <v>-33333</v>
      </c>
      <c r="O186" s="25">
        <f>SUM(B186:M186)</f>
        <v>-406000</v>
      </c>
      <c r="Q186" s="25">
        <f>SUM(B186:D186)</f>
        <v>-122667</v>
      </c>
      <c r="R186" s="25">
        <f>SUM(E186:G186)</f>
        <v>-83333</v>
      </c>
      <c r="S186" s="25">
        <f>SUM(H186:J186)</f>
        <v>-100000</v>
      </c>
      <c r="T186" s="25">
        <f>SUM(K186:M186)</f>
        <v>-100000</v>
      </c>
      <c r="V186" s="25">
        <f>SUM(Q186:U186)</f>
        <v>-406000</v>
      </c>
    </row>
    <row r="187" spans="1:22" x14ac:dyDescent="0.2">
      <c r="A187" s="17"/>
    </row>
    <row r="188" spans="1:22" ht="13.5" thickBot="1" x14ac:dyDescent="0.25">
      <c r="A188" s="4" t="s">
        <v>16</v>
      </c>
      <c r="B188" s="24">
        <f t="shared" ref="B188:M188" si="96">+B182+B184+B186</f>
        <v>-43023.333333333328</v>
      </c>
      <c r="C188" s="24">
        <f t="shared" si="96"/>
        <v>-136457.33333333331</v>
      </c>
      <c r="D188" s="24">
        <f t="shared" si="96"/>
        <v>-80285.333333333328</v>
      </c>
      <c r="E188" s="24">
        <f t="shared" si="96"/>
        <v>-270220.12333333329</v>
      </c>
      <c r="F188" s="24">
        <f t="shared" si="96"/>
        <v>-33833.333333333328</v>
      </c>
      <c r="G188" s="24">
        <f t="shared" si="96"/>
        <v>-33333</v>
      </c>
      <c r="H188" s="24">
        <f t="shared" si="96"/>
        <v>-33334</v>
      </c>
      <c r="I188" s="24">
        <f t="shared" si="96"/>
        <v>-33333</v>
      </c>
      <c r="J188" s="24">
        <f t="shared" si="96"/>
        <v>-33333</v>
      </c>
      <c r="K188" s="24">
        <f t="shared" si="96"/>
        <v>-33334</v>
      </c>
      <c r="L188" s="24">
        <f t="shared" si="96"/>
        <v>-33333</v>
      </c>
      <c r="M188" s="24">
        <f t="shared" si="96"/>
        <v>-33333</v>
      </c>
      <c r="O188" s="24">
        <f>+O182+O184+O186</f>
        <v>-797152.45666666655</v>
      </c>
      <c r="Q188" s="24">
        <f>+Q182+Q184+Q186</f>
        <v>-259766</v>
      </c>
      <c r="R188" s="24">
        <f>+R182+R184+R186</f>
        <v>-337386.45666666667</v>
      </c>
      <c r="S188" s="24">
        <f>+S182+S184+S186</f>
        <v>-100000</v>
      </c>
      <c r="T188" s="24">
        <f>+T182+T184+T186</f>
        <v>-100000</v>
      </c>
      <c r="V188" s="24">
        <f>+V182+V184+V186</f>
        <v>-797152.45666666667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23">
        <f t="shared" ref="B191:M191" si="97">+B121-B51</f>
        <v>1910.3333333333321</v>
      </c>
      <c r="C191" s="23">
        <f t="shared" si="97"/>
        <v>1910.3333333333321</v>
      </c>
      <c r="D191" s="23">
        <f t="shared" si="97"/>
        <v>1910.3333333333321</v>
      </c>
      <c r="E191" s="23">
        <f t="shared" si="97"/>
        <v>-1269.6666666666679</v>
      </c>
      <c r="F191" s="23">
        <f t="shared" si="97"/>
        <v>-1269.6666666666679</v>
      </c>
      <c r="G191" s="23">
        <f t="shared" si="97"/>
        <v>-630.25</v>
      </c>
      <c r="H191" s="23">
        <f t="shared" si="97"/>
        <v>-630.25</v>
      </c>
      <c r="I191" s="23">
        <f t="shared" si="97"/>
        <v>-630.25</v>
      </c>
      <c r="J191" s="23">
        <f t="shared" si="97"/>
        <v>-630.25</v>
      </c>
      <c r="K191" s="23">
        <f t="shared" si="97"/>
        <v>-630.25</v>
      </c>
      <c r="L191" s="23">
        <f t="shared" si="97"/>
        <v>-630.25</v>
      </c>
      <c r="M191" s="23">
        <f t="shared" si="97"/>
        <v>-630.25</v>
      </c>
      <c r="O191" s="23">
        <f t="shared" ref="O191:O197" si="98">SUM(B191:M191)</f>
        <v>-1220.0833333333394</v>
      </c>
      <c r="Q191" s="23">
        <f t="shared" ref="Q191:Q198" si="99">SUM(B191:D191)</f>
        <v>5730.9999999999964</v>
      </c>
      <c r="R191" s="23">
        <f t="shared" ref="R191:R198" si="100">SUM(E191:G191)</f>
        <v>-3169.5833333333358</v>
      </c>
      <c r="S191" s="23">
        <f t="shared" ref="S191:S198" si="101">SUM(H191:J191)</f>
        <v>-1890.75</v>
      </c>
      <c r="T191" s="23">
        <f t="shared" ref="T191:T198" si="102">SUM(K191:M191)</f>
        <v>-1890.75</v>
      </c>
      <c r="V191" s="23">
        <f t="shared" ref="V191:V198" si="103">SUM(Q191:U191)</f>
        <v>-1220.0833333333394</v>
      </c>
    </row>
    <row r="192" spans="1:22" x14ac:dyDescent="0.2">
      <c r="A192" s="3" t="s">
        <v>1</v>
      </c>
      <c r="B192" s="23">
        <f t="shared" ref="B192:M192" si="104">+B122-B52</f>
        <v>-45000</v>
      </c>
      <c r="C192" s="23">
        <f t="shared" si="104"/>
        <v>-52455</v>
      </c>
      <c r="D192" s="23">
        <f t="shared" si="104"/>
        <v>-52455</v>
      </c>
      <c r="E192" s="23">
        <f t="shared" si="104"/>
        <v>-52455</v>
      </c>
      <c r="F192" s="23">
        <f t="shared" si="104"/>
        <v>-48604</v>
      </c>
      <c r="G192" s="23">
        <f t="shared" si="104"/>
        <v>-3661.8333333333358</v>
      </c>
      <c r="H192" s="23">
        <f t="shared" si="104"/>
        <v>-3661.8333333333358</v>
      </c>
      <c r="I192" s="23">
        <f t="shared" si="104"/>
        <v>-3661.8333333333358</v>
      </c>
      <c r="J192" s="23">
        <f t="shared" si="104"/>
        <v>-3661.8333333333358</v>
      </c>
      <c r="K192" s="23">
        <f t="shared" si="104"/>
        <v>-3661.8333333333358</v>
      </c>
      <c r="L192" s="23">
        <f t="shared" si="104"/>
        <v>-3661.8333333333358</v>
      </c>
      <c r="M192" s="23">
        <f t="shared" si="104"/>
        <v>-3664.8333333333358</v>
      </c>
      <c r="O192" s="23">
        <f t="shared" si="98"/>
        <v>-276604.83333333331</v>
      </c>
      <c r="Q192" s="23">
        <f t="shared" si="99"/>
        <v>-149910</v>
      </c>
      <c r="R192" s="23">
        <f t="shared" si="100"/>
        <v>-104720.83333333334</v>
      </c>
      <c r="S192" s="23">
        <f t="shared" si="101"/>
        <v>-10985.500000000007</v>
      </c>
      <c r="T192" s="23">
        <f t="shared" si="102"/>
        <v>-10988.500000000007</v>
      </c>
      <c r="V192" s="23">
        <f t="shared" si="103"/>
        <v>-276604.83333333337</v>
      </c>
    </row>
    <row r="193" spans="1:22" x14ac:dyDescent="0.2">
      <c r="A193" s="3" t="s">
        <v>3</v>
      </c>
      <c r="B193" s="23">
        <f t="shared" ref="B193:M193" si="105">+B123-B53</f>
        <v>8333.3333333333339</v>
      </c>
      <c r="C193" s="23">
        <f t="shared" si="105"/>
        <v>8333.3333333333339</v>
      </c>
      <c r="D193" s="23">
        <f t="shared" si="105"/>
        <v>8333.3333333333339</v>
      </c>
      <c r="E193" s="23">
        <f t="shared" si="105"/>
        <v>8333.3333333333339</v>
      </c>
      <c r="F193" s="23">
        <f t="shared" si="105"/>
        <v>0</v>
      </c>
      <c r="G193" s="23">
        <f t="shared" si="105"/>
        <v>0</v>
      </c>
      <c r="H193" s="23">
        <f t="shared" si="105"/>
        <v>0</v>
      </c>
      <c r="I193" s="23">
        <f t="shared" si="105"/>
        <v>0</v>
      </c>
      <c r="J193" s="23">
        <f t="shared" si="105"/>
        <v>0</v>
      </c>
      <c r="K193" s="23">
        <f t="shared" si="105"/>
        <v>0</v>
      </c>
      <c r="L193" s="23">
        <f t="shared" si="105"/>
        <v>0</v>
      </c>
      <c r="M193" s="23">
        <f t="shared" si="105"/>
        <v>0</v>
      </c>
      <c r="O193" s="23">
        <f t="shared" si="98"/>
        <v>33333.333333333336</v>
      </c>
      <c r="Q193" s="23">
        <f t="shared" si="99"/>
        <v>25000</v>
      </c>
      <c r="R193" s="23">
        <f t="shared" si="100"/>
        <v>8333.3333333333339</v>
      </c>
      <c r="S193" s="23">
        <f t="shared" si="101"/>
        <v>0</v>
      </c>
      <c r="T193" s="23">
        <f t="shared" si="102"/>
        <v>0</v>
      </c>
      <c r="V193" s="23">
        <f t="shared" si="103"/>
        <v>33333.333333333336</v>
      </c>
    </row>
    <row r="194" spans="1:22" x14ac:dyDescent="0.2">
      <c r="A194" s="3" t="s">
        <v>4</v>
      </c>
      <c r="B194" s="23">
        <f t="shared" ref="B194:M194" si="106">+B124-B54</f>
        <v>2500</v>
      </c>
      <c r="C194" s="23">
        <f t="shared" si="106"/>
        <v>2500</v>
      </c>
      <c r="D194" s="23">
        <f t="shared" si="106"/>
        <v>2500</v>
      </c>
      <c r="E194" s="23">
        <f t="shared" si="106"/>
        <v>2500</v>
      </c>
      <c r="F194" s="23">
        <f t="shared" si="106"/>
        <v>0</v>
      </c>
      <c r="G194" s="23">
        <f t="shared" si="106"/>
        <v>0</v>
      </c>
      <c r="H194" s="23">
        <f t="shared" si="106"/>
        <v>0</v>
      </c>
      <c r="I194" s="23">
        <f t="shared" si="106"/>
        <v>0</v>
      </c>
      <c r="J194" s="23">
        <f t="shared" si="106"/>
        <v>0</v>
      </c>
      <c r="K194" s="23">
        <f t="shared" si="106"/>
        <v>0</v>
      </c>
      <c r="L194" s="23">
        <f t="shared" si="106"/>
        <v>0</v>
      </c>
      <c r="M194" s="23">
        <f t="shared" si="106"/>
        <v>0</v>
      </c>
      <c r="O194" s="23">
        <f t="shared" si="98"/>
        <v>10000</v>
      </c>
      <c r="Q194" s="23">
        <f t="shared" si="99"/>
        <v>7500</v>
      </c>
      <c r="R194" s="23">
        <f t="shared" si="100"/>
        <v>2500</v>
      </c>
      <c r="S194" s="23">
        <f t="shared" si="101"/>
        <v>0</v>
      </c>
      <c r="T194" s="23">
        <f t="shared" si="102"/>
        <v>0</v>
      </c>
      <c r="V194" s="23">
        <f t="shared" si="103"/>
        <v>10000</v>
      </c>
    </row>
    <row r="195" spans="1:22" x14ac:dyDescent="0.2">
      <c r="A195" s="3" t="s">
        <v>5</v>
      </c>
      <c r="B195" s="23">
        <f t="shared" ref="B195:M195" si="107">+B125-B55</f>
        <v>6250</v>
      </c>
      <c r="C195" s="23">
        <f t="shared" si="107"/>
        <v>1729</v>
      </c>
      <c r="D195" s="23">
        <f t="shared" si="107"/>
        <v>36082</v>
      </c>
      <c r="E195" s="23">
        <f t="shared" si="107"/>
        <v>-27973</v>
      </c>
      <c r="F195" s="23">
        <f t="shared" si="107"/>
        <v>0</v>
      </c>
      <c r="G195" s="23">
        <f t="shared" si="107"/>
        <v>0</v>
      </c>
      <c r="H195" s="23">
        <f t="shared" si="107"/>
        <v>0</v>
      </c>
      <c r="I195" s="23">
        <f t="shared" si="107"/>
        <v>0</v>
      </c>
      <c r="J195" s="23">
        <f t="shared" si="107"/>
        <v>0</v>
      </c>
      <c r="K195" s="23">
        <f t="shared" si="107"/>
        <v>0</v>
      </c>
      <c r="L195" s="23">
        <f t="shared" si="107"/>
        <v>0</v>
      </c>
      <c r="M195" s="23">
        <f t="shared" si="107"/>
        <v>0</v>
      </c>
      <c r="O195" s="23">
        <f t="shared" si="98"/>
        <v>16088</v>
      </c>
      <c r="Q195" s="23">
        <f t="shared" si="99"/>
        <v>44061</v>
      </c>
      <c r="R195" s="23">
        <f t="shared" si="100"/>
        <v>-27973</v>
      </c>
      <c r="S195" s="23">
        <f t="shared" si="101"/>
        <v>0</v>
      </c>
      <c r="T195" s="23">
        <f t="shared" si="102"/>
        <v>0</v>
      </c>
      <c r="V195" s="23">
        <f t="shared" si="103"/>
        <v>16088</v>
      </c>
    </row>
    <row r="196" spans="1:22" x14ac:dyDescent="0.2">
      <c r="A196" s="3" t="s">
        <v>14</v>
      </c>
      <c r="B196" s="23">
        <f t="shared" ref="B196:M196" si="108">+B126-B56</f>
        <v>0</v>
      </c>
      <c r="C196" s="23">
        <f t="shared" si="108"/>
        <v>0</v>
      </c>
      <c r="D196" s="23">
        <f t="shared" si="108"/>
        <v>0</v>
      </c>
      <c r="E196" s="23">
        <f t="shared" si="108"/>
        <v>0</v>
      </c>
      <c r="F196" s="23">
        <f t="shared" si="108"/>
        <v>0</v>
      </c>
      <c r="G196" s="23">
        <f t="shared" si="108"/>
        <v>0</v>
      </c>
      <c r="H196" s="23">
        <f t="shared" si="108"/>
        <v>0</v>
      </c>
      <c r="I196" s="23">
        <f t="shared" si="108"/>
        <v>0</v>
      </c>
      <c r="J196" s="23">
        <f t="shared" si="108"/>
        <v>0</v>
      </c>
      <c r="K196" s="23">
        <f t="shared" si="108"/>
        <v>0</v>
      </c>
      <c r="L196" s="23">
        <f t="shared" si="108"/>
        <v>0</v>
      </c>
      <c r="M196" s="23">
        <f t="shared" si="108"/>
        <v>0</v>
      </c>
      <c r="O196" s="23">
        <f t="shared" si="98"/>
        <v>0</v>
      </c>
      <c r="Q196" s="23">
        <f t="shared" si="99"/>
        <v>0</v>
      </c>
      <c r="R196" s="23">
        <f t="shared" si="100"/>
        <v>0</v>
      </c>
      <c r="S196" s="23">
        <f t="shared" si="101"/>
        <v>0</v>
      </c>
      <c r="T196" s="23">
        <f t="shared" si="102"/>
        <v>0</v>
      </c>
      <c r="V196" s="23">
        <f t="shared" si="103"/>
        <v>0</v>
      </c>
    </row>
    <row r="197" spans="1:22" x14ac:dyDescent="0.2">
      <c r="A197" s="3"/>
      <c r="B197" s="23">
        <f t="shared" ref="B197:M197" si="109">+B127-B57</f>
        <v>0</v>
      </c>
      <c r="C197" s="23">
        <f t="shared" si="109"/>
        <v>0</v>
      </c>
      <c r="D197" s="23">
        <f t="shared" si="109"/>
        <v>0</v>
      </c>
      <c r="E197" s="23">
        <f t="shared" si="109"/>
        <v>0</v>
      </c>
      <c r="F197" s="23">
        <f t="shared" si="109"/>
        <v>0</v>
      </c>
      <c r="G197" s="23">
        <f t="shared" si="109"/>
        <v>0</v>
      </c>
      <c r="H197" s="23">
        <f t="shared" si="109"/>
        <v>0</v>
      </c>
      <c r="I197" s="23">
        <f t="shared" si="109"/>
        <v>0</v>
      </c>
      <c r="J197" s="23">
        <f t="shared" si="109"/>
        <v>0</v>
      </c>
      <c r="K197" s="23">
        <f t="shared" si="109"/>
        <v>0</v>
      </c>
      <c r="L197" s="23">
        <f t="shared" si="109"/>
        <v>0</v>
      </c>
      <c r="M197" s="23">
        <f t="shared" si="109"/>
        <v>0</v>
      </c>
      <c r="O197" s="23">
        <f t="shared" si="98"/>
        <v>0</v>
      </c>
      <c r="Q197" s="23">
        <f t="shared" si="99"/>
        <v>0</v>
      </c>
      <c r="R197" s="23">
        <f t="shared" si="100"/>
        <v>0</v>
      </c>
      <c r="S197" s="23">
        <f t="shared" si="101"/>
        <v>0</v>
      </c>
      <c r="T197" s="23">
        <f t="shared" si="102"/>
        <v>0</v>
      </c>
      <c r="V197" s="23">
        <f t="shared" si="103"/>
        <v>0</v>
      </c>
    </row>
    <row r="198" spans="1:22" ht="13.5" thickBot="1" x14ac:dyDescent="0.25">
      <c r="A198" s="4" t="s">
        <v>15</v>
      </c>
      <c r="B198" s="28">
        <f t="shared" ref="B198:M198" si="110">SUM(B190:B197)</f>
        <v>-26006.333333333336</v>
      </c>
      <c r="C198" s="28">
        <f t="shared" si="110"/>
        <v>-37982.333333333336</v>
      </c>
      <c r="D198" s="28">
        <f t="shared" si="110"/>
        <v>-3629.3333333333358</v>
      </c>
      <c r="E198" s="28">
        <f t="shared" si="110"/>
        <v>-70864.333333333343</v>
      </c>
      <c r="F198" s="28">
        <f t="shared" si="110"/>
        <v>-49873.666666666672</v>
      </c>
      <c r="G198" s="28">
        <f t="shared" si="110"/>
        <v>-4292.0833333333358</v>
      </c>
      <c r="H198" s="28">
        <f t="shared" si="110"/>
        <v>-4292.0833333333358</v>
      </c>
      <c r="I198" s="28">
        <f t="shared" si="110"/>
        <v>-4292.0833333333358</v>
      </c>
      <c r="J198" s="28">
        <f t="shared" si="110"/>
        <v>-4292.0833333333358</v>
      </c>
      <c r="K198" s="28">
        <f t="shared" si="110"/>
        <v>-4292.0833333333358</v>
      </c>
      <c r="L198" s="28">
        <f t="shared" si="110"/>
        <v>-4292.0833333333358</v>
      </c>
      <c r="M198" s="28">
        <f t="shared" si="110"/>
        <v>-4295.0833333333358</v>
      </c>
      <c r="O198" s="28">
        <f>SUM(O190:O197)</f>
        <v>-218403.58333333328</v>
      </c>
      <c r="Q198" s="28">
        <f t="shared" si="99"/>
        <v>-67618</v>
      </c>
      <c r="R198" s="28">
        <f t="shared" si="100"/>
        <v>-125030.08333333334</v>
      </c>
      <c r="S198" s="28">
        <f t="shared" si="101"/>
        <v>-12876.250000000007</v>
      </c>
      <c r="T198" s="28">
        <f t="shared" si="102"/>
        <v>-12879.250000000007</v>
      </c>
      <c r="V198" s="28">
        <f t="shared" si="103"/>
        <v>-218403.58333333334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23">
        <f t="shared" ref="B201:M201" si="111">+B131-B61</f>
        <v>0</v>
      </c>
      <c r="C201" s="23">
        <f t="shared" si="111"/>
        <v>0</v>
      </c>
      <c r="D201" s="23">
        <f t="shared" si="111"/>
        <v>0</v>
      </c>
      <c r="E201" s="23">
        <f t="shared" si="111"/>
        <v>0</v>
      </c>
      <c r="F201" s="23">
        <f t="shared" si="111"/>
        <v>0</v>
      </c>
      <c r="G201" s="23">
        <f t="shared" si="111"/>
        <v>0</v>
      </c>
      <c r="H201" s="23">
        <f t="shared" si="111"/>
        <v>0</v>
      </c>
      <c r="I201" s="23">
        <f t="shared" si="111"/>
        <v>0</v>
      </c>
      <c r="J201" s="23">
        <f t="shared" si="111"/>
        <v>0</v>
      </c>
      <c r="K201" s="23">
        <f t="shared" si="111"/>
        <v>0</v>
      </c>
      <c r="L201" s="23">
        <f t="shared" si="111"/>
        <v>0</v>
      </c>
      <c r="M201" s="23">
        <f t="shared" si="111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">
      <c r="A202" s="3" t="s">
        <v>7</v>
      </c>
      <c r="B202" s="23">
        <f t="shared" ref="B202:M202" si="112">+B132-B62</f>
        <v>-143957</v>
      </c>
      <c r="C202" s="23">
        <f t="shared" si="112"/>
        <v>144000</v>
      </c>
      <c r="D202" s="23">
        <f t="shared" si="112"/>
        <v>157168</v>
      </c>
      <c r="E202" s="23">
        <f t="shared" si="112"/>
        <v>52842</v>
      </c>
      <c r="F202" s="23">
        <f t="shared" si="112"/>
        <v>41528.199755262583</v>
      </c>
      <c r="G202" s="23">
        <f t="shared" si="112"/>
        <v>32606.640698381234</v>
      </c>
      <c r="H202" s="23">
        <f t="shared" si="112"/>
        <v>55443.736946608638</v>
      </c>
      <c r="I202" s="23">
        <f t="shared" si="112"/>
        <v>141146.79788284726</v>
      </c>
      <c r="J202" s="23">
        <f t="shared" si="112"/>
        <v>232913.03456582373</v>
      </c>
      <c r="K202" s="23">
        <f t="shared" si="112"/>
        <v>237262.36461416644</v>
      </c>
      <c r="L202" s="23">
        <f t="shared" si="112"/>
        <v>238304.47686693753</v>
      </c>
      <c r="M202" s="23">
        <f t="shared" si="112"/>
        <v>237388.54722774465</v>
      </c>
      <c r="O202" s="23">
        <f>SUM(B202:M202)</f>
        <v>1426646.7985577721</v>
      </c>
      <c r="Q202" s="23">
        <f>SUM(B202:D202)</f>
        <v>157211</v>
      </c>
      <c r="R202" s="23">
        <f>SUM(E202:G202)</f>
        <v>126976.84045364382</v>
      </c>
      <c r="S202" s="23">
        <f>SUM(H202:J202)</f>
        <v>429503.56939527963</v>
      </c>
      <c r="T202" s="23">
        <f>SUM(K202:M202)</f>
        <v>712955.38870884862</v>
      </c>
      <c r="V202" s="23">
        <f>SUM(Q202:U202)</f>
        <v>1426646.7985577721</v>
      </c>
    </row>
    <row r="203" spans="1:22" x14ac:dyDescent="0.2">
      <c r="A203" s="3" t="s">
        <v>8</v>
      </c>
      <c r="B203" s="23">
        <f t="shared" ref="B203:M203" si="113">+B133-B63</f>
        <v>-10899</v>
      </c>
      <c r="C203" s="23">
        <f t="shared" si="113"/>
        <v>15298</v>
      </c>
      <c r="D203" s="23">
        <f t="shared" si="113"/>
        <v>184</v>
      </c>
      <c r="E203" s="23">
        <f t="shared" si="113"/>
        <v>-1264</v>
      </c>
      <c r="F203" s="23">
        <f t="shared" si="113"/>
        <v>-1264</v>
      </c>
      <c r="G203" s="23">
        <f t="shared" si="113"/>
        <v>-1264</v>
      </c>
      <c r="H203" s="23">
        <f t="shared" si="113"/>
        <v>-1264</v>
      </c>
      <c r="I203" s="23">
        <f t="shared" si="113"/>
        <v>-1264</v>
      </c>
      <c r="J203" s="23">
        <f t="shared" si="113"/>
        <v>-1264</v>
      </c>
      <c r="K203" s="23">
        <f t="shared" si="113"/>
        <v>-1264</v>
      </c>
      <c r="L203" s="23">
        <f t="shared" si="113"/>
        <v>-1264</v>
      </c>
      <c r="M203" s="23">
        <f t="shared" si="113"/>
        <v>-3264</v>
      </c>
      <c r="O203" s="23">
        <f>SUM(B203:M203)</f>
        <v>-8793</v>
      </c>
      <c r="Q203" s="23">
        <f>SUM(B203:D203)</f>
        <v>4583</v>
      </c>
      <c r="R203" s="23">
        <f>SUM(E203:G203)</f>
        <v>-3792</v>
      </c>
      <c r="S203" s="23">
        <f>SUM(H203:J203)</f>
        <v>-3792</v>
      </c>
      <c r="T203" s="23">
        <f>SUM(K203:M203)</f>
        <v>-5792</v>
      </c>
      <c r="V203" s="23">
        <f>SUM(Q203:U203)</f>
        <v>-8793</v>
      </c>
    </row>
    <row r="204" spans="1:22" x14ac:dyDescent="0.2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5" thickBot="1" x14ac:dyDescent="0.25">
      <c r="A205" s="4" t="s">
        <v>17</v>
      </c>
      <c r="B205" s="28">
        <f t="shared" ref="B205:M205" si="114">SUM(B200:B204)</f>
        <v>-154856</v>
      </c>
      <c r="C205" s="28">
        <f t="shared" si="114"/>
        <v>159298</v>
      </c>
      <c r="D205" s="28">
        <f t="shared" si="114"/>
        <v>157352</v>
      </c>
      <c r="E205" s="28">
        <f t="shared" si="114"/>
        <v>51578</v>
      </c>
      <c r="F205" s="28">
        <f t="shared" si="114"/>
        <v>40264.199755262583</v>
      </c>
      <c r="G205" s="28">
        <f t="shared" si="114"/>
        <v>31342.640698381234</v>
      </c>
      <c r="H205" s="28">
        <f t="shared" si="114"/>
        <v>54179.736946608638</v>
      </c>
      <c r="I205" s="28">
        <f t="shared" si="114"/>
        <v>139882.79788284726</v>
      </c>
      <c r="J205" s="28">
        <f t="shared" si="114"/>
        <v>231649.03456582373</v>
      </c>
      <c r="K205" s="28">
        <f t="shared" si="114"/>
        <v>235998.36461416644</v>
      </c>
      <c r="L205" s="28">
        <f t="shared" si="114"/>
        <v>237040.47686693753</v>
      </c>
      <c r="M205" s="28">
        <f t="shared" si="114"/>
        <v>234124.54722774465</v>
      </c>
      <c r="O205" s="28">
        <f>SUM(O200:O204)</f>
        <v>1417853.7985577721</v>
      </c>
      <c r="Q205" s="28">
        <f>SUM(B205:D205)</f>
        <v>161794</v>
      </c>
      <c r="R205" s="28">
        <f>SUM(E205:G205)</f>
        <v>123184.84045364382</v>
      </c>
      <c r="S205" s="28">
        <f>SUM(H205:J205)</f>
        <v>425711.56939527963</v>
      </c>
      <c r="T205" s="28">
        <f>SUM(K205:M205)</f>
        <v>707163.38870884862</v>
      </c>
      <c r="V205" s="28">
        <f>SUM(Q205:U205)</f>
        <v>1417853.7985577721</v>
      </c>
    </row>
    <row r="207" spans="1:22" ht="13.5" thickBot="1" x14ac:dyDescent="0.25">
      <c r="A207" s="1" t="s">
        <v>13</v>
      </c>
      <c r="B207" s="29">
        <f t="shared" ref="B207:M207" si="115">+B150+B188+B198+B205</f>
        <v>-223885.66666666666</v>
      </c>
      <c r="C207" s="29">
        <f t="shared" si="115"/>
        <v>-15141.666666666657</v>
      </c>
      <c r="D207" s="29">
        <f t="shared" si="115"/>
        <v>73437.333333333343</v>
      </c>
      <c r="E207" s="29">
        <f t="shared" si="115"/>
        <v>-289506.45666666667</v>
      </c>
      <c r="F207" s="29">
        <f t="shared" si="115"/>
        <v>-43442.800244737417</v>
      </c>
      <c r="G207" s="29">
        <f t="shared" si="115"/>
        <v>-6282.4426349521018</v>
      </c>
      <c r="H207" s="29">
        <f t="shared" si="115"/>
        <v>16553.653613275303</v>
      </c>
      <c r="I207" s="29">
        <f t="shared" si="115"/>
        <v>102257.71454951391</v>
      </c>
      <c r="J207" s="29">
        <f t="shared" si="115"/>
        <v>194023.95123249039</v>
      </c>
      <c r="K207" s="29">
        <f t="shared" si="115"/>
        <v>198372.28128083309</v>
      </c>
      <c r="L207" s="29">
        <f t="shared" si="115"/>
        <v>199415.39353360419</v>
      </c>
      <c r="M207" s="29">
        <f t="shared" si="115"/>
        <v>196496.46389441131</v>
      </c>
      <c r="O207" s="29">
        <f>+O150+O188+O198+O205</f>
        <v>402297.75855777226</v>
      </c>
      <c r="Q207" s="29">
        <f>SUM(B207:D207)</f>
        <v>-165589.99999999997</v>
      </c>
      <c r="R207" s="29">
        <f>SUM(E207:G207)</f>
        <v>-339231.69954635616</v>
      </c>
      <c r="S207" s="29">
        <f>SUM(H207:J207)</f>
        <v>312835.31939527963</v>
      </c>
      <c r="T207" s="29">
        <f>SUM(K207:M207)</f>
        <v>594284.13870884862</v>
      </c>
      <c r="V207" s="29">
        <f>SUM(Q207:U207)</f>
        <v>402297.75855777215</v>
      </c>
    </row>
    <row r="208" spans="1:22" ht="13.5" thickTop="1" x14ac:dyDescent="0.2"/>
  </sheetData>
  <mergeCells count="12">
    <mergeCell ref="A73:V73"/>
    <mergeCell ref="A74:V74"/>
    <mergeCell ref="A141:V141"/>
    <mergeCell ref="A142:V142"/>
    <mergeCell ref="A143:V143"/>
    <mergeCell ref="A144:V144"/>
    <mergeCell ref="A1:V1"/>
    <mergeCell ref="A2:V2"/>
    <mergeCell ref="A4:V4"/>
    <mergeCell ref="A3:V3"/>
    <mergeCell ref="A71:V71"/>
    <mergeCell ref="A72:V72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69" activePane="bottomRight" state="frozen"/>
      <selection activeCell="B7" sqref="B7:D7"/>
      <selection pane="topRight" activeCell="B7" sqref="B7:D7"/>
      <selection pane="bottomLeft" activeCell="B7" sqref="B7:D7"/>
      <selection pane="bottomRight" activeCell="D10" sqref="D10:D67"/>
    </sheetView>
  </sheetViews>
  <sheetFormatPr defaultColWidth="8.85546875" defaultRowHeight="12.75" x14ac:dyDescent="0.2"/>
  <cols>
    <col min="1" max="1" width="41.140625" customWidth="1"/>
    <col min="2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71" s="2" customFormat="1" ht="15.75" x14ac:dyDescent="0.25">
      <c r="A1" s="43" t="str">
        <f>+'CAL MO'!A1:V1</f>
        <v>GENCO - Caledonia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75" x14ac:dyDescent="0.25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75" x14ac:dyDescent="0.25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75" x14ac:dyDescent="0.25">
      <c r="A4" s="45">
        <v>36585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75" x14ac:dyDescent="0.25">
      <c r="A6" s="15">
        <f ca="1">NOW()</f>
        <v>36697.489055787039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5" thickBot="1" x14ac:dyDescent="0.25">
      <c r="A10" s="1" t="s">
        <v>9</v>
      </c>
      <c r="B10" s="24">
        <f>SUM('CAL MO'!$B10:B10)</f>
        <v>0</v>
      </c>
      <c r="C10" s="24">
        <f>SUM('CAL MO'!$B10:C10)</f>
        <v>0</v>
      </c>
      <c r="D10" s="24">
        <f>SUM('CAL MO'!$B10:D10)</f>
        <v>0</v>
      </c>
      <c r="E10" s="24">
        <f>SUM('CAL MO'!$B10:E10)</f>
        <v>0</v>
      </c>
      <c r="F10" s="24">
        <f>SUM('CAL MO'!$B10:F10)</f>
        <v>0</v>
      </c>
      <c r="G10" s="24">
        <f>SUM('CAL MO'!$B10:G10)</f>
        <v>0</v>
      </c>
      <c r="H10" s="24">
        <f>SUM('CAL MO'!$B10:H10)</f>
        <v>0</v>
      </c>
      <c r="I10" s="24">
        <f>SUM('CAL MO'!$B10:I10)</f>
        <v>0</v>
      </c>
      <c r="J10" s="24">
        <f>SUM('CAL MO'!$B10:J10)</f>
        <v>0</v>
      </c>
      <c r="K10" s="24">
        <f>SUM('CAL MO'!$B10:K10)</f>
        <v>0</v>
      </c>
      <c r="L10" s="24">
        <f>SUM('CAL MO'!$B10:L10)</f>
        <v>0</v>
      </c>
      <c r="M10" s="24">
        <f>SUM('CAL MO'!$B10:M10)</f>
        <v>0</v>
      </c>
    </row>
    <row r="12" spans="1:71" x14ac:dyDescent="0.2">
      <c r="A12" s="1" t="s">
        <v>10</v>
      </c>
    </row>
    <row r="13" spans="1:71" x14ac:dyDescent="0.2">
      <c r="A13" s="17" t="s">
        <v>49</v>
      </c>
    </row>
    <row r="14" spans="1:71" x14ac:dyDescent="0.2">
      <c r="A14" s="18" t="s">
        <v>87</v>
      </c>
      <c r="B14" s="23">
        <f>SUM('CAL MO'!$B14:B14)</f>
        <v>0</v>
      </c>
      <c r="C14" s="23">
        <f>SUM('CAL MO'!$B14:C14)</f>
        <v>0</v>
      </c>
      <c r="D14" s="23">
        <f>SUM('CAL MO'!$B14:D14)</f>
        <v>0</v>
      </c>
      <c r="E14" s="23">
        <f>SUM('CAL MO'!$B14:E14)</f>
        <v>0</v>
      </c>
      <c r="F14" s="23">
        <f>SUM('CAL MO'!$B14:F14)</f>
        <v>0</v>
      </c>
      <c r="G14" s="23">
        <f>SUM('CAL MO'!$B14:G14)</f>
        <v>0</v>
      </c>
      <c r="H14" s="23">
        <f>SUM('CAL MO'!$B14:H14)</f>
        <v>0</v>
      </c>
      <c r="I14" s="23">
        <f>SUM('CAL MO'!$B14:I14)</f>
        <v>0</v>
      </c>
      <c r="J14" s="23">
        <f>SUM('CAL MO'!$B14:J14)</f>
        <v>0</v>
      </c>
      <c r="K14" s="23">
        <f>SUM('CAL MO'!$B14:K14)</f>
        <v>0</v>
      </c>
      <c r="L14" s="23">
        <f>SUM('CAL MO'!$B14:L14)</f>
        <v>0</v>
      </c>
      <c r="M14" s="23">
        <f>SUM('CAL MO'!$B14:M14)</f>
        <v>0</v>
      </c>
    </row>
    <row r="15" spans="1:71" x14ac:dyDescent="0.2">
      <c r="A15" s="18" t="s">
        <v>63</v>
      </c>
      <c r="B15" s="23">
        <f>SUM('CAL MO'!$B15:B15)</f>
        <v>0</v>
      </c>
      <c r="C15" s="23">
        <f>SUM('CAL MO'!$B15:C15)</f>
        <v>0</v>
      </c>
      <c r="D15" s="23">
        <f>SUM('CAL MO'!$B15:D15)</f>
        <v>0</v>
      </c>
      <c r="E15" s="23">
        <f>SUM('CAL MO'!$B15:E15)</f>
        <v>6176.04</v>
      </c>
      <c r="F15" s="23">
        <f>SUM('CAL MO'!$B15:F15)</f>
        <v>7316.04</v>
      </c>
      <c r="G15" s="23">
        <f>SUM('CAL MO'!$B15:G15)</f>
        <v>8456.0400000000009</v>
      </c>
      <c r="H15" s="23">
        <f>SUM('CAL MO'!$B15:H15)</f>
        <v>9596.0400000000009</v>
      </c>
      <c r="I15" s="23">
        <f>SUM('CAL MO'!$B15:I15)</f>
        <v>10736.04</v>
      </c>
      <c r="J15" s="23">
        <f>SUM('CAL MO'!$B15:J15)</f>
        <v>11876.04</v>
      </c>
      <c r="K15" s="23">
        <f>SUM('CAL MO'!$B15:K15)</f>
        <v>12419.04</v>
      </c>
      <c r="L15" s="23">
        <f>SUM('CAL MO'!$B15:L15)</f>
        <v>12962.04</v>
      </c>
      <c r="M15" s="23">
        <f>SUM('CAL MO'!$B15:M15)</f>
        <v>13504.04</v>
      </c>
    </row>
    <row r="16" spans="1:71" x14ac:dyDescent="0.2">
      <c r="A16" s="18" t="s">
        <v>88</v>
      </c>
      <c r="B16" s="23">
        <f>SUM('CAL MO'!$B16:B16)</f>
        <v>0</v>
      </c>
      <c r="C16" s="23">
        <f>SUM('CAL MO'!$B16:C16)</f>
        <v>0</v>
      </c>
      <c r="D16" s="23">
        <f>SUM('CAL MO'!$B16:D16)</f>
        <v>0</v>
      </c>
      <c r="E16" s="23">
        <f>SUM('CAL MO'!$B16:E16)</f>
        <v>0</v>
      </c>
      <c r="F16" s="23">
        <f>SUM('CAL MO'!$B16:F16)</f>
        <v>0</v>
      </c>
      <c r="G16" s="23">
        <f>SUM('CAL MO'!$B16:G16)</f>
        <v>0</v>
      </c>
      <c r="H16" s="23">
        <f>SUM('CAL MO'!$B16:H16)</f>
        <v>0</v>
      </c>
      <c r="I16" s="23">
        <f>SUM('CAL MO'!$B16:I16)</f>
        <v>0</v>
      </c>
      <c r="J16" s="23">
        <f>SUM('CAL MO'!$B16:J16)</f>
        <v>0</v>
      </c>
      <c r="K16" s="23">
        <f>SUM('CAL MO'!$B16:K16)</f>
        <v>0</v>
      </c>
      <c r="L16" s="23">
        <f>SUM('CAL MO'!$B16:L16)</f>
        <v>0</v>
      </c>
      <c r="M16" s="23">
        <f>SUM('CAL MO'!$B16:M16)</f>
        <v>0</v>
      </c>
    </row>
    <row r="17" spans="1:13" x14ac:dyDescent="0.2">
      <c r="A17" s="18" t="s">
        <v>89</v>
      </c>
      <c r="B17" s="23">
        <f>SUM('CAL MO'!$B17:B17)</f>
        <v>0</v>
      </c>
      <c r="C17" s="23">
        <f>SUM('CAL MO'!$B17:C17)</f>
        <v>0</v>
      </c>
      <c r="D17" s="23">
        <f>SUM('CAL MO'!$B17:D17)</f>
        <v>0</v>
      </c>
      <c r="E17" s="23">
        <f>SUM('CAL MO'!$B17:E17)</f>
        <v>0</v>
      </c>
      <c r="F17" s="23">
        <f>SUM('CAL MO'!$B17:F17)</f>
        <v>0</v>
      </c>
      <c r="G17" s="23">
        <f>SUM('CAL MO'!$B17:G17)</f>
        <v>0</v>
      </c>
      <c r="H17" s="23">
        <f>SUM('CAL MO'!$B17:H17)</f>
        <v>0</v>
      </c>
      <c r="I17" s="23">
        <f>SUM('CAL MO'!$B17:I17)</f>
        <v>0</v>
      </c>
      <c r="J17" s="23">
        <f>SUM('CAL MO'!$B17:J17)</f>
        <v>0</v>
      </c>
      <c r="K17" s="23">
        <f>SUM('CAL MO'!$B17:K17)</f>
        <v>0</v>
      </c>
      <c r="L17" s="23">
        <f>SUM('CAL MO'!$B17:L17)</f>
        <v>0</v>
      </c>
      <c r="M17" s="23">
        <f>SUM('CAL MO'!$B17:M17)</f>
        <v>0</v>
      </c>
    </row>
    <row r="18" spans="1:13" x14ac:dyDescent="0.2">
      <c r="A18" s="18" t="s">
        <v>90</v>
      </c>
      <c r="B18" s="23">
        <f>SUM('CAL MO'!$B18:B18)</f>
        <v>0</v>
      </c>
      <c r="C18" s="23">
        <f>SUM('CAL MO'!$B18:C18)</f>
        <v>0</v>
      </c>
      <c r="D18" s="23">
        <f>SUM('CAL MO'!$B18:D18)</f>
        <v>0</v>
      </c>
      <c r="E18" s="23">
        <f>SUM('CAL MO'!$B18:E18)</f>
        <v>0</v>
      </c>
      <c r="F18" s="23">
        <f>SUM('CAL MO'!$B18:F18)</f>
        <v>0</v>
      </c>
      <c r="G18" s="23">
        <f>SUM('CAL MO'!$B18:G18)</f>
        <v>0</v>
      </c>
      <c r="H18" s="23">
        <f>SUM('CAL MO'!$B18:H18)</f>
        <v>0</v>
      </c>
      <c r="I18" s="23">
        <f>SUM('CAL MO'!$B18:I18)</f>
        <v>0</v>
      </c>
      <c r="J18" s="23">
        <f>SUM('CAL MO'!$B18:J18)</f>
        <v>0</v>
      </c>
      <c r="K18" s="23">
        <f>SUM('CAL MO'!$B18:K18)</f>
        <v>0</v>
      </c>
      <c r="L18" s="23">
        <f>SUM('CAL MO'!$B18:L18)</f>
        <v>0</v>
      </c>
      <c r="M18" s="23">
        <f>SUM('CAL MO'!$B18:M18)</f>
        <v>0</v>
      </c>
    </row>
    <row r="19" spans="1:13" x14ac:dyDescent="0.2">
      <c r="A19" s="18" t="s">
        <v>64</v>
      </c>
      <c r="B19" s="23">
        <f>SUM('CAL MO'!$B19:B19)</f>
        <v>0</v>
      </c>
      <c r="C19" s="23">
        <f>SUM('CAL MO'!$B19:C19)</f>
        <v>0</v>
      </c>
      <c r="D19" s="23">
        <f>SUM('CAL MO'!$B19:D19)</f>
        <v>0</v>
      </c>
      <c r="E19" s="23">
        <f>SUM('CAL MO'!$B19:E19)</f>
        <v>0</v>
      </c>
      <c r="F19" s="23">
        <f>SUM('CAL MO'!$B19:F19)</f>
        <v>0</v>
      </c>
      <c r="G19" s="23">
        <f>SUM('CAL MO'!$B19:G19)</f>
        <v>0</v>
      </c>
      <c r="H19" s="23">
        <f>SUM('CAL MO'!$B19:H19)</f>
        <v>0</v>
      </c>
      <c r="I19" s="23">
        <f>SUM('CAL MO'!$B19:I19)</f>
        <v>0</v>
      </c>
      <c r="J19" s="23">
        <f>SUM('CAL MO'!$B19:J19)</f>
        <v>0</v>
      </c>
      <c r="K19" s="23">
        <f>SUM('CAL MO'!$B19:K19)</f>
        <v>0</v>
      </c>
      <c r="L19" s="23">
        <f>SUM('CAL MO'!$B19:L19)</f>
        <v>0</v>
      </c>
      <c r="M19" s="23">
        <f>SUM('CAL MO'!$B19:M19)</f>
        <v>0</v>
      </c>
    </row>
    <row r="20" spans="1:13" x14ac:dyDescent="0.2">
      <c r="A20" s="18" t="s">
        <v>91</v>
      </c>
      <c r="B20" s="23">
        <f>SUM('CAL MO'!$B20:B20)</f>
        <v>0</v>
      </c>
      <c r="C20" s="23">
        <f>SUM('CAL MO'!$B20:C20)</f>
        <v>1413</v>
      </c>
      <c r="D20" s="23">
        <f>SUM('CAL MO'!$B20:D20)</f>
        <v>1413</v>
      </c>
      <c r="E20" s="23">
        <f>SUM('CAL MO'!$B20:E20)</f>
        <v>1413</v>
      </c>
      <c r="F20" s="23">
        <f>SUM('CAL MO'!$B20:F20)</f>
        <v>1413</v>
      </c>
      <c r="G20" s="23">
        <f>SUM('CAL MO'!$B20:G20)</f>
        <v>1413</v>
      </c>
      <c r="H20" s="23">
        <f>SUM('CAL MO'!$B20:H20)</f>
        <v>1413</v>
      </c>
      <c r="I20" s="23">
        <f>SUM('CAL MO'!$B20:I20)</f>
        <v>1413</v>
      </c>
      <c r="J20" s="23">
        <f>SUM('CAL MO'!$B20:J20)</f>
        <v>1413</v>
      </c>
      <c r="K20" s="23">
        <f>SUM('CAL MO'!$B20:K20)</f>
        <v>1413</v>
      </c>
      <c r="L20" s="23">
        <f>SUM('CAL MO'!$B20:L20)</f>
        <v>1413</v>
      </c>
      <c r="M20" s="23">
        <f>SUM('CAL MO'!$B20:M20)</f>
        <v>1413</v>
      </c>
    </row>
    <row r="21" spans="1:13" x14ac:dyDescent="0.2">
      <c r="A21" s="18" t="s">
        <v>92</v>
      </c>
      <c r="B21" s="23">
        <f>SUM('CAL MO'!$B21:B21)</f>
        <v>0</v>
      </c>
      <c r="C21" s="23">
        <f>SUM('CAL MO'!$B21:C21)</f>
        <v>0</v>
      </c>
      <c r="D21" s="23">
        <f>SUM('CAL MO'!$B21:D21)</f>
        <v>0</v>
      </c>
      <c r="E21" s="23">
        <f>SUM('CAL MO'!$B21:E21)</f>
        <v>0</v>
      </c>
      <c r="F21" s="23">
        <f>SUM('CAL MO'!$B21:F21)</f>
        <v>0</v>
      </c>
      <c r="G21" s="23">
        <f>SUM('CAL MO'!$B21:G21)</f>
        <v>0</v>
      </c>
      <c r="H21" s="23">
        <f>SUM('CAL MO'!$B21:H21)</f>
        <v>0</v>
      </c>
      <c r="I21" s="23">
        <f>SUM('CAL MO'!$B21:I21)</f>
        <v>0</v>
      </c>
      <c r="J21" s="23">
        <f>SUM('CAL MO'!$B21:J21)</f>
        <v>0</v>
      </c>
      <c r="K21" s="23">
        <f>SUM('CAL MO'!$B21:K21)</f>
        <v>0</v>
      </c>
      <c r="L21" s="23">
        <f>SUM('CAL MO'!$B21:L21)</f>
        <v>0</v>
      </c>
      <c r="M21" s="23">
        <f>SUM('CAL MO'!$B21:M21)</f>
        <v>0</v>
      </c>
    </row>
    <row r="22" spans="1:13" x14ac:dyDescent="0.2">
      <c r="A22" s="18" t="s">
        <v>65</v>
      </c>
      <c r="B22" s="23">
        <f>SUM('CAL MO'!$B22:B22)</f>
        <v>0</v>
      </c>
      <c r="C22" s="23">
        <f>SUM('CAL MO'!$B22:C22)</f>
        <v>0</v>
      </c>
      <c r="D22" s="23">
        <f>SUM('CAL MO'!$B22:D22)</f>
        <v>143</v>
      </c>
      <c r="E22" s="23">
        <f>SUM('CAL MO'!$B22:E22)</f>
        <v>143</v>
      </c>
      <c r="F22" s="23">
        <f>SUM('CAL MO'!$B22:F22)</f>
        <v>601</v>
      </c>
      <c r="G22" s="23">
        <f>SUM('CAL MO'!$B22:G22)</f>
        <v>1059</v>
      </c>
      <c r="H22" s="23">
        <f>SUM('CAL MO'!$B22:H22)</f>
        <v>1517</v>
      </c>
      <c r="I22" s="23">
        <f>SUM('CAL MO'!$B22:I22)</f>
        <v>1975</v>
      </c>
      <c r="J22" s="23">
        <f>SUM('CAL MO'!$B22:J22)</f>
        <v>2433</v>
      </c>
      <c r="K22" s="23">
        <f>SUM('CAL MO'!$B22:K22)</f>
        <v>2891</v>
      </c>
      <c r="L22" s="23">
        <f>SUM('CAL MO'!$B22:L22)</f>
        <v>3349</v>
      </c>
      <c r="M22" s="23">
        <f>SUM('CAL MO'!$B22:M22)</f>
        <v>3811</v>
      </c>
    </row>
    <row r="23" spans="1:13" x14ac:dyDescent="0.2">
      <c r="A23" s="18" t="s">
        <v>45</v>
      </c>
      <c r="B23" s="23">
        <f>SUM('CAL MO'!$B23:B23)</f>
        <v>0</v>
      </c>
      <c r="C23" s="23">
        <f>SUM('CAL MO'!$B23:C23)</f>
        <v>0</v>
      </c>
      <c r="D23" s="23">
        <f>SUM('CAL MO'!$B23:D23)</f>
        <v>1225</v>
      </c>
      <c r="E23" s="23">
        <f>SUM('CAL MO'!$B23:E23)</f>
        <v>1225</v>
      </c>
      <c r="F23" s="23">
        <f>SUM('CAL MO'!$B23:F23)</f>
        <v>13405</v>
      </c>
      <c r="G23" s="23">
        <f>SUM('CAL MO'!$B23:G23)</f>
        <v>25585</v>
      </c>
      <c r="H23" s="23">
        <f>SUM('CAL MO'!$B23:H23)</f>
        <v>37765</v>
      </c>
      <c r="I23" s="23">
        <f>SUM('CAL MO'!$B23:I23)</f>
        <v>49945</v>
      </c>
      <c r="J23" s="23">
        <f>SUM('CAL MO'!$B23:J23)</f>
        <v>62125</v>
      </c>
      <c r="K23" s="23">
        <f>SUM('CAL MO'!$B23:K23)</f>
        <v>67211</v>
      </c>
      <c r="L23" s="23">
        <f>SUM('CAL MO'!$B23:L23)</f>
        <v>67297</v>
      </c>
      <c r="M23" s="23">
        <f>SUM('CAL MO'!$B23:M23)</f>
        <v>67381</v>
      </c>
    </row>
    <row r="24" spans="1:13" x14ac:dyDescent="0.2">
      <c r="A24" s="18" t="s">
        <v>66</v>
      </c>
      <c r="B24" s="23">
        <f>SUM('CAL MO'!$B24:B24)</f>
        <v>0</v>
      </c>
      <c r="C24" s="23">
        <f>SUM('CAL MO'!$B24:C24)</f>
        <v>802</v>
      </c>
      <c r="D24" s="23">
        <f>SUM('CAL MO'!$B24:D24)</f>
        <v>802</v>
      </c>
      <c r="E24" s="23">
        <f>SUM('CAL MO'!$B24:E24)</f>
        <v>802</v>
      </c>
      <c r="F24" s="23">
        <f>SUM('CAL MO'!$B24:F24)</f>
        <v>982</v>
      </c>
      <c r="G24" s="23">
        <f>SUM('CAL MO'!$B24:G24)</f>
        <v>1162</v>
      </c>
      <c r="H24" s="23">
        <f>SUM('CAL MO'!$B24:H24)</f>
        <v>1342</v>
      </c>
      <c r="I24" s="23">
        <f>SUM('CAL MO'!$B24:I24)</f>
        <v>1522</v>
      </c>
      <c r="J24" s="23">
        <f>SUM('CAL MO'!$B24:J24)</f>
        <v>1702</v>
      </c>
      <c r="K24" s="23">
        <f>SUM('CAL MO'!$B24:K24)</f>
        <v>1788</v>
      </c>
      <c r="L24" s="23">
        <f>SUM('CAL MO'!$B24:L24)</f>
        <v>1874</v>
      </c>
      <c r="M24" s="23">
        <f>SUM('CAL MO'!$B24:M24)</f>
        <v>1958</v>
      </c>
    </row>
    <row r="25" spans="1:13" ht="13.5" customHeight="1" x14ac:dyDescent="0.2">
      <c r="A25" s="18" t="s">
        <v>67</v>
      </c>
      <c r="B25" s="23">
        <f>SUM('CAL MO'!$B25:B25)</f>
        <v>0</v>
      </c>
      <c r="C25" s="23">
        <f>SUM('CAL MO'!$B25:C25)</f>
        <v>0</v>
      </c>
      <c r="D25" s="23">
        <f>SUM('CAL MO'!$B25:D25)</f>
        <v>0</v>
      </c>
      <c r="E25" s="23">
        <f>SUM('CAL MO'!$B25:E25)</f>
        <v>0</v>
      </c>
      <c r="F25" s="23">
        <f>SUM('CAL MO'!$B25:F25)</f>
        <v>600</v>
      </c>
      <c r="G25" s="23">
        <f>SUM('CAL MO'!$B25:G25)</f>
        <v>1200</v>
      </c>
      <c r="H25" s="23">
        <f>SUM('CAL MO'!$B25:H25)</f>
        <v>1800</v>
      </c>
      <c r="I25" s="23">
        <f>SUM('CAL MO'!$B25:I25)</f>
        <v>2400</v>
      </c>
      <c r="J25" s="23">
        <f>SUM('CAL MO'!$B25:J25)</f>
        <v>3000</v>
      </c>
      <c r="K25" s="23">
        <f>SUM('CAL MO'!$B25:K25)</f>
        <v>3286</v>
      </c>
      <c r="L25" s="23">
        <f>SUM('CAL MO'!$B25:L25)</f>
        <v>3572</v>
      </c>
      <c r="M25" s="23">
        <f>SUM('CAL MO'!$B25:M25)</f>
        <v>3856</v>
      </c>
    </row>
    <row r="26" spans="1:13" x14ac:dyDescent="0.2">
      <c r="A26" s="18" t="s">
        <v>93</v>
      </c>
      <c r="B26" s="23">
        <f>SUM('CAL MO'!$B26:B26)</f>
        <v>0</v>
      </c>
      <c r="C26" s="23">
        <f>SUM('CAL MO'!$B26:C26)</f>
        <v>0</v>
      </c>
      <c r="D26" s="23">
        <f>SUM('CAL MO'!$B26:D26)</f>
        <v>0</v>
      </c>
      <c r="E26" s="23">
        <f>SUM('CAL MO'!$B26:E26)</f>
        <v>0</v>
      </c>
      <c r="F26" s="23">
        <f>SUM('CAL MO'!$B26:F26)</f>
        <v>0</v>
      </c>
      <c r="G26" s="23">
        <f>SUM('CAL MO'!$B26:G26)</f>
        <v>0</v>
      </c>
      <c r="H26" s="23">
        <f>SUM('CAL MO'!$B26:H26)</f>
        <v>0</v>
      </c>
      <c r="I26" s="23">
        <f>SUM('CAL MO'!$B26:I26)</f>
        <v>0</v>
      </c>
      <c r="J26" s="23">
        <f>SUM('CAL MO'!$B26:J26)</f>
        <v>0</v>
      </c>
      <c r="K26" s="23">
        <f>SUM('CAL MO'!$B26:K26)</f>
        <v>0</v>
      </c>
      <c r="L26" s="23">
        <f>SUM('CAL MO'!$B26:L26)</f>
        <v>0</v>
      </c>
      <c r="M26" s="23">
        <f>SUM('CAL MO'!$B26:M26)</f>
        <v>0</v>
      </c>
    </row>
    <row r="27" spans="1:13" x14ac:dyDescent="0.2">
      <c r="A27" s="18" t="s">
        <v>69</v>
      </c>
      <c r="B27" s="23">
        <f>SUM('CAL MO'!$B27:B27)</f>
        <v>0</v>
      </c>
      <c r="C27" s="23">
        <f>SUM('CAL MO'!$B27:C27)</f>
        <v>0</v>
      </c>
      <c r="D27" s="23">
        <f>SUM('CAL MO'!$B27:D27)</f>
        <v>8655</v>
      </c>
      <c r="E27" s="23">
        <f>SUM('CAL MO'!$B27:E27)</f>
        <v>8655</v>
      </c>
      <c r="F27" s="23">
        <f>SUM('CAL MO'!$B27:F27)</f>
        <v>8988</v>
      </c>
      <c r="G27" s="23">
        <f>SUM('CAL MO'!$B27:G27)</f>
        <v>9321</v>
      </c>
      <c r="H27" s="23">
        <f>SUM('CAL MO'!$B27:H27)</f>
        <v>9654</v>
      </c>
      <c r="I27" s="23">
        <f>SUM('CAL MO'!$B27:I27)</f>
        <v>9987</v>
      </c>
      <c r="J27" s="23">
        <f>SUM('CAL MO'!$B27:J27)</f>
        <v>10320</v>
      </c>
      <c r="K27" s="23">
        <f>SUM('CAL MO'!$B27:K27)</f>
        <v>10653</v>
      </c>
      <c r="L27" s="23">
        <f>SUM('CAL MO'!$B27:L27)</f>
        <v>10986</v>
      </c>
      <c r="M27" s="23">
        <f>SUM('CAL MO'!$B27:M27)</f>
        <v>11323</v>
      </c>
    </row>
    <row r="28" spans="1:13" x14ac:dyDescent="0.2">
      <c r="A28" s="18" t="s">
        <v>68</v>
      </c>
      <c r="B28" s="23">
        <f>SUM('CAL MO'!$B28:B28)</f>
        <v>0</v>
      </c>
      <c r="C28" s="23">
        <f>SUM('CAL MO'!$B28:C28)</f>
        <v>0</v>
      </c>
      <c r="D28" s="23">
        <f>SUM('CAL MO'!$B28:D28)</f>
        <v>5273</v>
      </c>
      <c r="E28" s="23">
        <f>SUM('CAL MO'!$B28:E28)</f>
        <v>6002.33</v>
      </c>
      <c r="F28" s="23">
        <f>SUM('CAL MO'!$B28:F28)</f>
        <v>6835.33</v>
      </c>
      <c r="G28" s="23">
        <f>SUM('CAL MO'!$B28:G28)</f>
        <v>7668.33</v>
      </c>
      <c r="H28" s="23">
        <f>SUM('CAL MO'!$B28:H28)</f>
        <v>8501.33</v>
      </c>
      <c r="I28" s="23">
        <f>SUM('CAL MO'!$B28:I28)</f>
        <v>9334.33</v>
      </c>
      <c r="J28" s="23">
        <f>SUM('CAL MO'!$B28:J28)</f>
        <v>10167.33</v>
      </c>
      <c r="K28" s="23">
        <f>SUM('CAL MO'!$B28:K28)</f>
        <v>11000.33</v>
      </c>
      <c r="L28" s="23">
        <f>SUM('CAL MO'!$B28:L28)</f>
        <v>11833.33</v>
      </c>
      <c r="M28" s="23">
        <f>SUM('CAL MO'!$B28:M28)</f>
        <v>12670.33</v>
      </c>
    </row>
    <row r="29" spans="1:13" x14ac:dyDescent="0.2">
      <c r="A29" s="18" t="s">
        <v>94</v>
      </c>
      <c r="B29" s="23">
        <f>SUM('CAL MO'!$B29:B29)</f>
        <v>0</v>
      </c>
      <c r="C29" s="23">
        <f>SUM('CAL MO'!$B29:C29)</f>
        <v>11</v>
      </c>
      <c r="D29" s="23">
        <f>SUM('CAL MO'!$B29:D29)</f>
        <v>11</v>
      </c>
      <c r="E29" s="23">
        <f>SUM('CAL MO'!$B29:E29)</f>
        <v>11</v>
      </c>
      <c r="F29" s="23">
        <f>SUM('CAL MO'!$B29:F29)</f>
        <v>11</v>
      </c>
      <c r="G29" s="23">
        <f>SUM('CAL MO'!$B29:G29)</f>
        <v>11</v>
      </c>
      <c r="H29" s="23">
        <f>SUM('CAL MO'!$B29:H29)</f>
        <v>11</v>
      </c>
      <c r="I29" s="23">
        <f>SUM('CAL MO'!$B29:I29)</f>
        <v>11</v>
      </c>
      <c r="J29" s="23">
        <f>SUM('CAL MO'!$B29:J29)</f>
        <v>11</v>
      </c>
      <c r="K29" s="23">
        <f>SUM('CAL MO'!$B29:K29)</f>
        <v>11</v>
      </c>
      <c r="L29" s="23">
        <f>SUM('CAL MO'!$B29:L29)</f>
        <v>11</v>
      </c>
      <c r="M29" s="23">
        <f>SUM('CAL MO'!$B29:M29)</f>
        <v>11</v>
      </c>
    </row>
    <row r="30" spans="1:13" x14ac:dyDescent="0.2">
      <c r="A30" s="18" t="s">
        <v>46</v>
      </c>
      <c r="B30" s="23">
        <f>SUM('CAL MO'!$B30:B30)</f>
        <v>0</v>
      </c>
      <c r="C30" s="23">
        <f>SUM('CAL MO'!$B30:C30)</f>
        <v>0</v>
      </c>
      <c r="D30" s="23">
        <f>SUM('CAL MO'!$B30:D30)</f>
        <v>0</v>
      </c>
      <c r="E30" s="23">
        <f>SUM('CAL MO'!$B30:E30)</f>
        <v>0</v>
      </c>
      <c r="F30" s="23">
        <f>SUM('CAL MO'!$B30:F30)</f>
        <v>9660</v>
      </c>
      <c r="G30" s="23">
        <f>SUM('CAL MO'!$B30:G30)</f>
        <v>19320</v>
      </c>
      <c r="H30" s="23">
        <f>SUM('CAL MO'!$B30:H30)</f>
        <v>28980</v>
      </c>
      <c r="I30" s="23">
        <f>SUM('CAL MO'!$B30:I30)</f>
        <v>38640</v>
      </c>
      <c r="J30" s="23">
        <f>SUM('CAL MO'!$B30:J30)</f>
        <v>48300</v>
      </c>
      <c r="K30" s="23">
        <f>SUM('CAL MO'!$B30:K30)</f>
        <v>48900</v>
      </c>
      <c r="L30" s="23">
        <f>SUM('CAL MO'!$B30:L30)</f>
        <v>49500</v>
      </c>
      <c r="M30" s="23">
        <f>SUM('CAL MO'!$B30:M30)</f>
        <v>50100</v>
      </c>
    </row>
    <row r="31" spans="1:13" x14ac:dyDescent="0.2">
      <c r="A31" s="18" t="s">
        <v>70</v>
      </c>
      <c r="B31" s="23">
        <f>SUM('CAL MO'!$B31:B31)</f>
        <v>0</v>
      </c>
      <c r="C31" s="23">
        <f>SUM('CAL MO'!$B31:C31)</f>
        <v>5058</v>
      </c>
      <c r="D31" s="23">
        <f>SUM('CAL MO'!$B31:D31)</f>
        <v>7425</v>
      </c>
      <c r="E31" s="23">
        <f>SUM('CAL MO'!$B31:E31)</f>
        <v>17386.739999999998</v>
      </c>
      <c r="F31" s="23">
        <f>SUM('CAL MO'!$B31:F31)</f>
        <v>22134.739999999998</v>
      </c>
      <c r="G31" s="23">
        <f>SUM('CAL MO'!$B31:G31)</f>
        <v>26882.739999999998</v>
      </c>
      <c r="H31" s="23">
        <f>SUM('CAL MO'!$B31:H31)</f>
        <v>31630.739999999998</v>
      </c>
      <c r="I31" s="23">
        <f>SUM('CAL MO'!$B31:I31)</f>
        <v>36378.74</v>
      </c>
      <c r="J31" s="23">
        <f>SUM('CAL MO'!$B31:J31)</f>
        <v>41126.74</v>
      </c>
      <c r="K31" s="23">
        <f>SUM('CAL MO'!$B31:K31)</f>
        <v>44334.74</v>
      </c>
      <c r="L31" s="23">
        <f>SUM('CAL MO'!$B31:L31)</f>
        <v>47542.74</v>
      </c>
      <c r="M31" s="23">
        <f>SUM('CAL MO'!$B31:M31)</f>
        <v>50754.74</v>
      </c>
    </row>
    <row r="32" spans="1:13" x14ac:dyDescent="0.2">
      <c r="A32" s="18" t="s">
        <v>71</v>
      </c>
      <c r="B32" s="23">
        <f>SUM('CAL MO'!$B32:B32)</f>
        <v>1610</v>
      </c>
      <c r="C32" s="23">
        <f>SUM('CAL MO'!$B32:C32)</f>
        <v>15920</v>
      </c>
      <c r="D32" s="23">
        <f>SUM('CAL MO'!$B32:D32)</f>
        <v>53147</v>
      </c>
      <c r="E32" s="23">
        <f>SUM('CAL MO'!$B32:E32)</f>
        <v>211466.25</v>
      </c>
      <c r="F32" s="23">
        <f>SUM('CAL MO'!$B32:F32)</f>
        <v>232233.25</v>
      </c>
      <c r="G32" s="23">
        <f>SUM('CAL MO'!$B32:G32)</f>
        <v>238000.25</v>
      </c>
      <c r="H32" s="23">
        <f>SUM('CAL MO'!$B32:H32)</f>
        <v>243767.25</v>
      </c>
      <c r="I32" s="23">
        <f>SUM('CAL MO'!$B32:I32)</f>
        <v>249534.25</v>
      </c>
      <c r="J32" s="23">
        <f>SUM('CAL MO'!$B32:J32)</f>
        <v>255301.25</v>
      </c>
      <c r="K32" s="23">
        <f>SUM('CAL MO'!$B32:K32)</f>
        <v>260753.25</v>
      </c>
      <c r="L32" s="23">
        <f>SUM('CAL MO'!$B32:L32)</f>
        <v>266205.25</v>
      </c>
      <c r="M32" s="23">
        <f>SUM('CAL MO'!$B32:M32)</f>
        <v>271658.25</v>
      </c>
    </row>
    <row r="33" spans="1:13" x14ac:dyDescent="0.2">
      <c r="A33" s="18" t="s">
        <v>44</v>
      </c>
      <c r="B33" s="23">
        <f>SUM('CAL MO'!$B33:B33)</f>
        <v>48358</v>
      </c>
      <c r="C33" s="23">
        <f>SUM('CAL MO'!$B33:C33)</f>
        <v>107508</v>
      </c>
      <c r="D33" s="23">
        <f>SUM('CAL MO'!$B33:D33)</f>
        <v>167797</v>
      </c>
      <c r="E33" s="23">
        <f>SUM('CAL MO'!$B33:E33)</f>
        <v>242659.32</v>
      </c>
      <c r="F33" s="23">
        <f>SUM('CAL MO'!$B33:F33)</f>
        <v>310609.32</v>
      </c>
      <c r="G33" s="23">
        <f>SUM('CAL MO'!$B33:G33)</f>
        <v>378559.32</v>
      </c>
      <c r="H33" s="23">
        <f>SUM('CAL MO'!$B33:H33)</f>
        <v>446509.32</v>
      </c>
      <c r="I33" s="23">
        <f>SUM('CAL MO'!$B33:I33)</f>
        <v>514459.32</v>
      </c>
      <c r="J33" s="23">
        <f>SUM('CAL MO'!$B33:J33)</f>
        <v>582409.32000000007</v>
      </c>
      <c r="K33" s="23">
        <f>SUM('CAL MO'!$B33:K33)</f>
        <v>664897.32000000007</v>
      </c>
      <c r="L33" s="23">
        <f>SUM('CAL MO'!$B33:L33)</f>
        <v>717385.32000000007</v>
      </c>
      <c r="M33" s="23">
        <f>SUM('CAL MO'!$B33:M33)</f>
        <v>769874.32000000007</v>
      </c>
    </row>
    <row r="34" spans="1:13" x14ac:dyDescent="0.2">
      <c r="A34" s="18" t="s">
        <v>47</v>
      </c>
      <c r="B34" s="23">
        <f>SUM('CAL MO'!$B34:B34)</f>
        <v>0</v>
      </c>
      <c r="C34" s="23">
        <f>SUM('CAL MO'!$B34:C34)</f>
        <v>7500</v>
      </c>
      <c r="D34" s="23">
        <f>SUM('CAL MO'!$B34:D34)</f>
        <v>12678</v>
      </c>
      <c r="E34" s="23">
        <f>SUM('CAL MO'!$B34:E34)</f>
        <v>14973.77</v>
      </c>
      <c r="F34" s="23">
        <f>SUM('CAL MO'!$B34:F34)</f>
        <v>17948.77</v>
      </c>
      <c r="G34" s="23">
        <f>SUM('CAL MO'!$B34:G34)</f>
        <v>20923.77</v>
      </c>
      <c r="H34" s="23">
        <f>SUM('CAL MO'!$B34:H34)</f>
        <v>23898.77</v>
      </c>
      <c r="I34" s="23">
        <f>SUM('CAL MO'!$B34:I34)</f>
        <v>26873.77</v>
      </c>
      <c r="J34" s="23">
        <f>SUM('CAL MO'!$B34:J34)</f>
        <v>29848.77</v>
      </c>
      <c r="K34" s="23">
        <f>SUM('CAL MO'!$B34:K34)</f>
        <v>32823.770000000004</v>
      </c>
      <c r="L34" s="23">
        <f>SUM('CAL MO'!$B34:L34)</f>
        <v>35798.770000000004</v>
      </c>
      <c r="M34" s="23">
        <f>SUM('CAL MO'!$B34:M34)</f>
        <v>38773.770000000004</v>
      </c>
    </row>
    <row r="35" spans="1:13" x14ac:dyDescent="0.2">
      <c r="A35" s="18" t="s">
        <v>2</v>
      </c>
      <c r="B35" s="23">
        <f>SUM('CAL MO'!$B35:B35)</f>
        <v>0</v>
      </c>
      <c r="C35" s="23">
        <f>SUM('CAL MO'!$B35:C35)</f>
        <v>48786</v>
      </c>
      <c r="D35" s="23">
        <f>SUM('CAL MO'!$B35:D35)</f>
        <v>143249</v>
      </c>
      <c r="E35" s="23">
        <f>SUM('CAL MO'!$B35:E35)</f>
        <v>240718.97999999998</v>
      </c>
      <c r="F35" s="23">
        <f>SUM('CAL MO'!$B35:F35)</f>
        <v>266096.98</v>
      </c>
      <c r="G35" s="23">
        <f>SUM('CAL MO'!$B35:G35)</f>
        <v>292180.98</v>
      </c>
      <c r="H35" s="23">
        <f>SUM('CAL MO'!$B35:H35)</f>
        <v>318264.98</v>
      </c>
      <c r="I35" s="23">
        <f>SUM('CAL MO'!$B35:I35)</f>
        <v>344348.98</v>
      </c>
      <c r="J35" s="23">
        <f>SUM('CAL MO'!$B35:J35)</f>
        <v>370432.98</v>
      </c>
      <c r="K35" s="23">
        <f>SUM('CAL MO'!$B35:K35)</f>
        <v>396516.98</v>
      </c>
      <c r="L35" s="23">
        <f>SUM('CAL MO'!$B35:L35)</f>
        <v>422600.98</v>
      </c>
      <c r="M35" s="23">
        <f>SUM('CAL MO'!$B35:M35)</f>
        <v>449134.98</v>
      </c>
    </row>
    <row r="36" spans="1:13" x14ac:dyDescent="0.2">
      <c r="A36" s="18" t="s">
        <v>95</v>
      </c>
      <c r="B36" s="23">
        <f>SUM('CAL MO'!$B36:B36)</f>
        <v>0</v>
      </c>
      <c r="C36" s="23">
        <f>SUM('CAL MO'!$B36:C36)</f>
        <v>0</v>
      </c>
      <c r="D36" s="23">
        <f>SUM('CAL MO'!$B36:D36)</f>
        <v>0</v>
      </c>
      <c r="E36" s="23">
        <f>SUM('CAL MO'!$B36:E36)</f>
        <v>0</v>
      </c>
      <c r="F36" s="23">
        <f>SUM('CAL MO'!$B36:F36)</f>
        <v>0</v>
      </c>
      <c r="G36" s="23">
        <f>SUM('CAL MO'!$B36:G36)</f>
        <v>0</v>
      </c>
      <c r="H36" s="23">
        <f>SUM('CAL MO'!$B36:H36)</f>
        <v>0</v>
      </c>
      <c r="I36" s="23">
        <f>SUM('CAL MO'!$B36:I36)</f>
        <v>0</v>
      </c>
      <c r="J36" s="23">
        <f>SUM('CAL MO'!$B36:J36)</f>
        <v>0</v>
      </c>
      <c r="K36" s="23">
        <f>SUM('CAL MO'!$B36:K36)</f>
        <v>0</v>
      </c>
      <c r="L36" s="23">
        <f>SUM('CAL MO'!$B36:L36)</f>
        <v>0</v>
      </c>
      <c r="M36" s="23">
        <f>SUM('CAL MO'!$B36:M36)</f>
        <v>0</v>
      </c>
    </row>
    <row r="37" spans="1:13" x14ac:dyDescent="0.2">
      <c r="A37" s="18" t="s">
        <v>72</v>
      </c>
      <c r="B37" s="23">
        <f>SUM('CAL MO'!$B37:B37)</f>
        <v>0</v>
      </c>
      <c r="C37" s="23">
        <f>SUM('CAL MO'!$B37:C37)</f>
        <v>0</v>
      </c>
      <c r="D37" s="23">
        <f>SUM('CAL MO'!$B37:D37)</f>
        <v>0</v>
      </c>
      <c r="E37" s="23">
        <f>SUM('CAL MO'!$B37:E37)</f>
        <v>0</v>
      </c>
      <c r="F37" s="23">
        <f>SUM('CAL MO'!$B37:F37)</f>
        <v>146</v>
      </c>
      <c r="G37" s="23">
        <f>SUM('CAL MO'!$B37:G37)</f>
        <v>292</v>
      </c>
      <c r="H37" s="23">
        <f>SUM('CAL MO'!$B37:H37)</f>
        <v>438</v>
      </c>
      <c r="I37" s="23">
        <f>SUM('CAL MO'!$B37:I37)</f>
        <v>584</v>
      </c>
      <c r="J37" s="23">
        <f>SUM('CAL MO'!$B37:J37)</f>
        <v>730</v>
      </c>
      <c r="K37" s="23">
        <f>SUM('CAL MO'!$B37:K37)</f>
        <v>876</v>
      </c>
      <c r="L37" s="23">
        <f>SUM('CAL MO'!$B37:L37)</f>
        <v>1022</v>
      </c>
      <c r="M37" s="23">
        <f>SUM('CAL MO'!$B37:M37)</f>
        <v>1166</v>
      </c>
    </row>
    <row r="38" spans="1:13" x14ac:dyDescent="0.2">
      <c r="A38" s="18" t="s">
        <v>48</v>
      </c>
      <c r="B38" s="23">
        <f>SUM('CAL MO'!$B38:B38)</f>
        <v>0</v>
      </c>
      <c r="C38" s="23">
        <f>SUM('CAL MO'!$B38:C38)</f>
        <v>0</v>
      </c>
      <c r="D38" s="23">
        <f>SUM('CAL MO'!$B38:D38)</f>
        <v>26311</v>
      </c>
      <c r="E38" s="23">
        <f>SUM('CAL MO'!$B38:E38)</f>
        <v>31519.83</v>
      </c>
      <c r="F38" s="23">
        <f>SUM('CAL MO'!$B38:F38)</f>
        <v>54919.83</v>
      </c>
      <c r="G38" s="23">
        <f>SUM('CAL MO'!$B38:G38)</f>
        <v>78319.83</v>
      </c>
      <c r="H38" s="23">
        <f>SUM('CAL MO'!$B38:H38)</f>
        <v>101719.83</v>
      </c>
      <c r="I38" s="23">
        <f>SUM('CAL MO'!$B38:I38)</f>
        <v>125119.83</v>
      </c>
      <c r="J38" s="23">
        <f>SUM('CAL MO'!$B38:J38)</f>
        <v>148519.83000000002</v>
      </c>
      <c r="K38" s="23">
        <f>SUM('CAL MO'!$B38:K38)</f>
        <v>159662.83000000002</v>
      </c>
      <c r="L38" s="23">
        <f>SUM('CAL MO'!$B38:L38)</f>
        <v>170805.83000000002</v>
      </c>
      <c r="M38" s="23">
        <f>SUM('CAL MO'!$B38:M38)</f>
        <v>181947.83000000002</v>
      </c>
    </row>
    <row r="39" spans="1:13" x14ac:dyDescent="0.2">
      <c r="A39" s="18" t="s">
        <v>74</v>
      </c>
      <c r="B39" s="23">
        <f>SUM('CAL MO'!$B39:B39)</f>
        <v>0</v>
      </c>
      <c r="C39" s="23">
        <f>SUM('CAL MO'!$B39:C39)</f>
        <v>0</v>
      </c>
      <c r="D39" s="23">
        <f>SUM('CAL MO'!$B39:D39)</f>
        <v>0</v>
      </c>
      <c r="E39" s="23">
        <f>SUM('CAL MO'!$B39:E39)</f>
        <v>0</v>
      </c>
      <c r="F39" s="23">
        <f>SUM('CAL MO'!$B39:F39)</f>
        <v>0</v>
      </c>
      <c r="G39" s="23">
        <f>SUM('CAL MO'!$B39:G39)</f>
        <v>0</v>
      </c>
      <c r="H39" s="23">
        <f>SUM('CAL MO'!$B39:H39)</f>
        <v>0</v>
      </c>
      <c r="I39" s="23">
        <f>SUM('CAL MO'!$B39:I39)</f>
        <v>0</v>
      </c>
      <c r="J39" s="23">
        <f>SUM('CAL MO'!$B39:J39)</f>
        <v>0</v>
      </c>
      <c r="K39" s="23">
        <f>SUM('CAL MO'!$B39:K39)</f>
        <v>0</v>
      </c>
      <c r="L39" s="23">
        <f>SUM('CAL MO'!$B39:L39)</f>
        <v>0</v>
      </c>
      <c r="M39" s="23">
        <f>SUM('CAL MO'!$B39:M39)</f>
        <v>0</v>
      </c>
    </row>
    <row r="40" spans="1:13" x14ac:dyDescent="0.2">
      <c r="A40" s="18" t="s">
        <v>96</v>
      </c>
      <c r="B40" s="23">
        <f>SUM('CAL MO'!$B40:B40)</f>
        <v>12222</v>
      </c>
      <c r="C40" s="23">
        <f>SUM('CAL MO'!$B40:C40)</f>
        <v>30815</v>
      </c>
      <c r="D40" s="23">
        <f>SUM('CAL MO'!$B40:D40)</f>
        <v>33499</v>
      </c>
      <c r="E40" s="23">
        <f>SUM('CAL MO'!$B40:E40)</f>
        <v>41293.53</v>
      </c>
      <c r="F40" s="23">
        <f>SUM('CAL MO'!$B40:F40)</f>
        <v>41293.53</v>
      </c>
      <c r="G40" s="23">
        <f>SUM('CAL MO'!$B40:G40)</f>
        <v>41293.53</v>
      </c>
      <c r="H40" s="23">
        <f>SUM('CAL MO'!$B40:H40)</f>
        <v>41293.53</v>
      </c>
      <c r="I40" s="23">
        <f>SUM('CAL MO'!$B40:I40)</f>
        <v>41293.53</v>
      </c>
      <c r="J40" s="23">
        <f>SUM('CAL MO'!$B40:J40)</f>
        <v>41293.53</v>
      </c>
      <c r="K40" s="23">
        <f>SUM('CAL MO'!$B40:K40)</f>
        <v>41293.53</v>
      </c>
      <c r="L40" s="23">
        <f>SUM('CAL MO'!$B40:L40)</f>
        <v>41293.53</v>
      </c>
      <c r="M40" s="23">
        <f>SUM('CAL MO'!$B40:M40)</f>
        <v>41293.53</v>
      </c>
    </row>
    <row r="41" spans="1:13" x14ac:dyDescent="0.2">
      <c r="A41" s="18"/>
    </row>
    <row r="42" spans="1:13" x14ac:dyDescent="0.2">
      <c r="A42" s="19" t="s">
        <v>28</v>
      </c>
      <c r="B42" s="27">
        <f t="shared" ref="B42:M42" si="0">SUM(B14:B40)</f>
        <v>62190</v>
      </c>
      <c r="C42" s="27">
        <f t="shared" si="0"/>
        <v>217813</v>
      </c>
      <c r="D42" s="27">
        <f t="shared" si="0"/>
        <v>461628</v>
      </c>
      <c r="E42" s="27">
        <f t="shared" si="0"/>
        <v>824445.78999999992</v>
      </c>
      <c r="F42" s="27">
        <f t="shared" si="0"/>
        <v>995193.78999999992</v>
      </c>
      <c r="G42" s="27">
        <f t="shared" si="0"/>
        <v>1151647.79</v>
      </c>
      <c r="H42" s="27">
        <f t="shared" si="0"/>
        <v>1308101.79</v>
      </c>
      <c r="I42" s="27">
        <f t="shared" si="0"/>
        <v>1464555.79</v>
      </c>
      <c r="J42" s="27">
        <f t="shared" si="0"/>
        <v>1621009.79</v>
      </c>
      <c r="K42" s="27">
        <f t="shared" si="0"/>
        <v>1760730.7900000003</v>
      </c>
      <c r="L42" s="27">
        <f t="shared" si="0"/>
        <v>1865451.7900000003</v>
      </c>
      <c r="M42" s="27">
        <f t="shared" si="0"/>
        <v>1970630.7900000003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SUM('CAL MO'!$B44:B44)</f>
        <v>18182</v>
      </c>
      <c r="C44" s="25">
        <f>SUM('CAL MO'!$B44:C44)</f>
        <v>36364</v>
      </c>
      <c r="D44" s="25">
        <f>SUM('CAL MO'!$B44:D44)</f>
        <v>52516</v>
      </c>
      <c r="E44" s="25">
        <f>SUM('CAL MO'!$B44:E44)</f>
        <v>69683</v>
      </c>
      <c r="F44" s="25">
        <f>SUM('CAL MO'!$B44:F44)</f>
        <v>86850</v>
      </c>
      <c r="G44" s="25">
        <f>SUM('CAL MO'!$B44:G44)</f>
        <v>104017</v>
      </c>
      <c r="H44" s="25">
        <f>SUM('CAL MO'!$B44:H44)</f>
        <v>121184</v>
      </c>
      <c r="I44" s="25">
        <f>SUM('CAL MO'!$B44:I44)</f>
        <v>138351</v>
      </c>
      <c r="J44" s="25">
        <f>SUM('CAL MO'!$B44:J44)</f>
        <v>155518</v>
      </c>
      <c r="K44" s="25">
        <f>SUM('CAL MO'!$B44:K44)</f>
        <v>172685</v>
      </c>
      <c r="L44" s="25">
        <f>SUM('CAL MO'!$B44:L44)</f>
        <v>189852</v>
      </c>
      <c r="M44" s="25">
        <f>SUM('CAL MO'!$B44:M44)</f>
        <v>207019</v>
      </c>
    </row>
    <row r="45" spans="1:13" x14ac:dyDescent="0.2">
      <c r="A45" s="17"/>
    </row>
    <row r="46" spans="1:13" x14ac:dyDescent="0.2">
      <c r="A46" s="17" t="s">
        <v>30</v>
      </c>
      <c r="B46" s="25">
        <f>SUM('CAL MO'!$B46:B46)</f>
        <v>133333</v>
      </c>
      <c r="C46" s="25">
        <f>SUM('CAL MO'!$B46:C46)</f>
        <v>266667</v>
      </c>
      <c r="D46" s="25">
        <f>SUM('CAL MO'!$B46:D46)</f>
        <v>272667</v>
      </c>
      <c r="E46" s="25">
        <f>SUM('CAL MO'!$B46:E46)</f>
        <v>339334</v>
      </c>
      <c r="F46" s="25">
        <f>SUM('CAL MO'!$B46:F46)</f>
        <v>422667</v>
      </c>
      <c r="G46" s="25">
        <f>SUM('CAL MO'!$B46:G46)</f>
        <v>506000</v>
      </c>
      <c r="H46" s="25">
        <f>SUM('CAL MO'!$B46:H46)</f>
        <v>589334</v>
      </c>
      <c r="I46" s="25">
        <f>SUM('CAL MO'!$B46:I46)</f>
        <v>672667</v>
      </c>
      <c r="J46" s="25">
        <f>SUM('CAL MO'!$B46:J46)</f>
        <v>756000</v>
      </c>
      <c r="K46" s="25">
        <f>SUM('CAL MO'!$B46:K46)</f>
        <v>839334</v>
      </c>
      <c r="L46" s="25">
        <f>SUM('CAL MO'!$B46:L46)</f>
        <v>922667</v>
      </c>
      <c r="M46" s="25">
        <f>SUM('CAL MO'!$B46:M46)</f>
        <v>1006000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SUM(B42:B47)</f>
        <v>213705</v>
      </c>
      <c r="C48" s="24">
        <f t="shared" ref="C48:M48" si="1">SUM(C42:C47)</f>
        <v>520844</v>
      </c>
      <c r="D48" s="24">
        <f t="shared" si="1"/>
        <v>786811</v>
      </c>
      <c r="E48" s="24">
        <f t="shared" si="1"/>
        <v>1233462.79</v>
      </c>
      <c r="F48" s="24">
        <f t="shared" si="1"/>
        <v>1504710.79</v>
      </c>
      <c r="G48" s="24">
        <f t="shared" si="1"/>
        <v>1761664.79</v>
      </c>
      <c r="H48" s="24">
        <f t="shared" si="1"/>
        <v>2018619.79</v>
      </c>
      <c r="I48" s="24">
        <f t="shared" si="1"/>
        <v>2275573.79</v>
      </c>
      <c r="J48" s="24">
        <f t="shared" si="1"/>
        <v>2532527.79</v>
      </c>
      <c r="K48" s="24">
        <f t="shared" si="1"/>
        <v>2772749.79</v>
      </c>
      <c r="L48" s="24">
        <f t="shared" si="1"/>
        <v>2977970.79</v>
      </c>
      <c r="M48" s="24">
        <f t="shared" si="1"/>
        <v>3183649.79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SUM('CAL MO'!$B51:B51)</f>
        <v>19403</v>
      </c>
      <c r="C51" s="23">
        <f>SUM('CAL MO'!$B51:C51)</f>
        <v>38806</v>
      </c>
      <c r="D51" s="23">
        <f>SUM('CAL MO'!$B51:D51)</f>
        <v>58209</v>
      </c>
      <c r="E51" s="23">
        <f>SUM('CAL MO'!$B51:E51)</f>
        <v>80792</v>
      </c>
      <c r="F51" s="23">
        <f>SUM('CAL MO'!$B51:F51)</f>
        <v>103375</v>
      </c>
      <c r="G51" s="23">
        <f>SUM('CAL MO'!$B51:G51)</f>
        <v>125958</v>
      </c>
      <c r="H51" s="23">
        <f>SUM('CAL MO'!$B51:H51)</f>
        <v>148541</v>
      </c>
      <c r="I51" s="23">
        <f>SUM('CAL MO'!$B51:I51)</f>
        <v>171124</v>
      </c>
      <c r="J51" s="23">
        <f>SUM('CAL MO'!$B51:J51)</f>
        <v>193707</v>
      </c>
      <c r="K51" s="23">
        <f>SUM('CAL MO'!$B51:K51)</f>
        <v>216290</v>
      </c>
      <c r="L51" s="23">
        <f>SUM('CAL MO'!$B51:L51)</f>
        <v>238873</v>
      </c>
      <c r="M51" s="23">
        <f>SUM('CAL MO'!$B51:M51)</f>
        <v>261456</v>
      </c>
    </row>
    <row r="52" spans="1:13" x14ac:dyDescent="0.2">
      <c r="A52" s="3" t="s">
        <v>1</v>
      </c>
      <c r="B52" s="23">
        <f>SUM('CAL MO'!$B52:B52)</f>
        <v>45000</v>
      </c>
      <c r="C52" s="23">
        <f>SUM('CAL MO'!$B52:C52)</f>
        <v>97455</v>
      </c>
      <c r="D52" s="23">
        <f>SUM('CAL MO'!$B52:D52)</f>
        <v>149910</v>
      </c>
      <c r="E52" s="23">
        <f>SUM('CAL MO'!$B52:E52)</f>
        <v>202365</v>
      </c>
      <c r="F52" s="23">
        <f>SUM('CAL MO'!$B52:F52)</f>
        <v>250969</v>
      </c>
      <c r="G52" s="23">
        <f>SUM('CAL MO'!$B52:G52)</f>
        <v>299573</v>
      </c>
      <c r="H52" s="23">
        <f>SUM('CAL MO'!$B52:H52)</f>
        <v>348177</v>
      </c>
      <c r="I52" s="23">
        <f>SUM('CAL MO'!$B52:I52)</f>
        <v>396781</v>
      </c>
      <c r="J52" s="23">
        <f>SUM('CAL MO'!$B52:J52)</f>
        <v>445385</v>
      </c>
      <c r="K52" s="23">
        <f>SUM('CAL MO'!$B52:K52)</f>
        <v>493989</v>
      </c>
      <c r="L52" s="23">
        <f>SUM('CAL MO'!$B52:L52)</f>
        <v>542593</v>
      </c>
      <c r="M52" s="23">
        <f>SUM('CAL MO'!$B52:M52)</f>
        <v>591200</v>
      </c>
    </row>
    <row r="53" spans="1:13" x14ac:dyDescent="0.2">
      <c r="A53" s="3" t="s">
        <v>3</v>
      </c>
      <c r="B53" s="23">
        <f>SUM('CAL MO'!$B53:B53)</f>
        <v>0</v>
      </c>
      <c r="C53" s="23">
        <f>SUM('CAL MO'!$B53:C53)</f>
        <v>0</v>
      </c>
      <c r="D53" s="23">
        <f>SUM('CAL MO'!$B53:D53)</f>
        <v>0</v>
      </c>
      <c r="E53" s="23">
        <f>SUM('CAL MO'!$B53:E53)</f>
        <v>0</v>
      </c>
      <c r="F53" s="23">
        <f>SUM('CAL MO'!$B53:F53)</f>
        <v>8333.3333333333339</v>
      </c>
      <c r="G53" s="23">
        <f>SUM('CAL MO'!$B53:G53)</f>
        <v>16916.666666666668</v>
      </c>
      <c r="H53" s="23">
        <f>SUM('CAL MO'!$B53:H53)</f>
        <v>25500</v>
      </c>
      <c r="I53" s="23">
        <f>SUM('CAL MO'!$B53:I53)</f>
        <v>34083.333333333336</v>
      </c>
      <c r="J53" s="23">
        <f>SUM('CAL MO'!$B53:J53)</f>
        <v>42666.666666666672</v>
      </c>
      <c r="K53" s="23">
        <f>SUM('CAL MO'!$B53:K53)</f>
        <v>51250.000000000007</v>
      </c>
      <c r="L53" s="23">
        <f>SUM('CAL MO'!$B53:L53)</f>
        <v>59833.333333333343</v>
      </c>
      <c r="M53" s="23">
        <f>SUM('CAL MO'!$B53:M53)</f>
        <v>68416.666666666672</v>
      </c>
    </row>
    <row r="54" spans="1:13" x14ac:dyDescent="0.2">
      <c r="A54" s="3" t="s">
        <v>4</v>
      </c>
      <c r="B54" s="23">
        <f>SUM('CAL MO'!$B54:B54)</f>
        <v>0</v>
      </c>
      <c r="C54" s="23">
        <f>SUM('CAL MO'!$B54:C54)</f>
        <v>0</v>
      </c>
      <c r="D54" s="23">
        <f>SUM('CAL MO'!$B54:D54)</f>
        <v>0</v>
      </c>
      <c r="E54" s="23">
        <f>SUM('CAL MO'!$B54:E54)</f>
        <v>0</v>
      </c>
      <c r="F54" s="23">
        <f>SUM('CAL MO'!$B54:F54)</f>
        <v>2500</v>
      </c>
      <c r="G54" s="23">
        <f>SUM('CAL MO'!$B54:G54)</f>
        <v>5075</v>
      </c>
      <c r="H54" s="23">
        <f>SUM('CAL MO'!$B54:H54)</f>
        <v>7650</v>
      </c>
      <c r="I54" s="23">
        <f>SUM('CAL MO'!$B54:I54)</f>
        <v>10225</v>
      </c>
      <c r="J54" s="23">
        <f>SUM('CAL MO'!$B54:J54)</f>
        <v>12800</v>
      </c>
      <c r="K54" s="23">
        <f>SUM('CAL MO'!$B54:K54)</f>
        <v>15375</v>
      </c>
      <c r="L54" s="23">
        <f>SUM('CAL MO'!$B54:L54)</f>
        <v>17950</v>
      </c>
      <c r="M54" s="23">
        <f>SUM('CAL MO'!$B54:M54)</f>
        <v>20525</v>
      </c>
    </row>
    <row r="55" spans="1:13" x14ac:dyDescent="0.2">
      <c r="A55" s="3" t="s">
        <v>5</v>
      </c>
      <c r="B55" s="23">
        <f>SUM('CAL MO'!$B55:B55)</f>
        <v>0</v>
      </c>
      <c r="C55" s="23">
        <f>SUM('CAL MO'!$B55:C55)</f>
        <v>4521</v>
      </c>
      <c r="D55" s="23">
        <f>SUM('CAL MO'!$B55:D55)</f>
        <v>-25311</v>
      </c>
      <c r="E55" s="23">
        <f>SUM('CAL MO'!$B55:E55)</f>
        <v>8912</v>
      </c>
      <c r="F55" s="23">
        <f>SUM('CAL MO'!$B55:F55)</f>
        <v>15162</v>
      </c>
      <c r="G55" s="23">
        <f>SUM('CAL MO'!$B55:G55)</f>
        <v>21662</v>
      </c>
      <c r="H55" s="23">
        <f>SUM('CAL MO'!$B55:H55)</f>
        <v>28162</v>
      </c>
      <c r="I55" s="23">
        <f>SUM('CAL MO'!$B55:I55)</f>
        <v>34662</v>
      </c>
      <c r="J55" s="23">
        <f>SUM('CAL MO'!$B55:J55)</f>
        <v>41162</v>
      </c>
      <c r="K55" s="23">
        <f>SUM('CAL MO'!$B55:K55)</f>
        <v>47662</v>
      </c>
      <c r="L55" s="23">
        <f>SUM('CAL MO'!$B55:L55)</f>
        <v>54162</v>
      </c>
      <c r="M55" s="23">
        <f>SUM('CAL MO'!$B55:M55)</f>
        <v>60533</v>
      </c>
    </row>
    <row r="56" spans="1:13" x14ac:dyDescent="0.2">
      <c r="A56" s="3" t="s">
        <v>14</v>
      </c>
      <c r="B56" s="23">
        <f>SUM('CAL MO'!$B56:B56)</f>
        <v>0</v>
      </c>
      <c r="C56" s="23">
        <f>SUM('CAL MO'!$B56:C56)</f>
        <v>0</v>
      </c>
      <c r="D56" s="23">
        <f>SUM('CAL MO'!$B56:D56)</f>
        <v>0</v>
      </c>
      <c r="E56" s="23">
        <f>SUM('CAL MO'!$B56:E56)</f>
        <v>0</v>
      </c>
      <c r="F56" s="23">
        <f>SUM('CAL MO'!$B56:F56)</f>
        <v>0</v>
      </c>
      <c r="G56" s="23">
        <f>SUM('CAL MO'!$B56:G56)</f>
        <v>0</v>
      </c>
      <c r="H56" s="23">
        <f>SUM('CAL MO'!$B56:H56)</f>
        <v>0</v>
      </c>
      <c r="I56" s="23">
        <f>SUM('CAL MO'!$B56:I56)</f>
        <v>0</v>
      </c>
      <c r="J56" s="23">
        <f>SUM('CAL MO'!$B56:J56)</f>
        <v>0</v>
      </c>
      <c r="K56" s="23">
        <f>SUM('CAL MO'!$B56:K56)</f>
        <v>0</v>
      </c>
      <c r="L56" s="23">
        <f>SUM('CAL MO'!$B56:L56)</f>
        <v>0</v>
      </c>
      <c r="M56" s="23">
        <f>SUM('CAL MO'!$B56:M56)</f>
        <v>0</v>
      </c>
    </row>
    <row r="57" spans="1:13" x14ac:dyDescent="0.2">
      <c r="A57" s="3"/>
    </row>
    <row r="58" spans="1:13" ht="13.5" thickBot="1" x14ac:dyDescent="0.25">
      <c r="A58" s="4" t="s">
        <v>15</v>
      </c>
      <c r="B58" s="28">
        <f>SUM(B51:B57)</f>
        <v>64403</v>
      </c>
      <c r="C58" s="28">
        <f t="shared" ref="C58:M58" si="2">SUM(C51:C57)</f>
        <v>140782</v>
      </c>
      <c r="D58" s="28">
        <f t="shared" si="2"/>
        <v>182808</v>
      </c>
      <c r="E58" s="28">
        <f t="shared" si="2"/>
        <v>292069</v>
      </c>
      <c r="F58" s="28">
        <f t="shared" si="2"/>
        <v>380339.33333333331</v>
      </c>
      <c r="G58" s="28">
        <f t="shared" si="2"/>
        <v>469184.66666666669</v>
      </c>
      <c r="H58" s="28">
        <f t="shared" si="2"/>
        <v>558030</v>
      </c>
      <c r="I58" s="28">
        <f t="shared" si="2"/>
        <v>646875.33333333337</v>
      </c>
      <c r="J58" s="28">
        <f t="shared" si="2"/>
        <v>735720.66666666663</v>
      </c>
      <c r="K58" s="28">
        <f t="shared" si="2"/>
        <v>824566</v>
      </c>
      <c r="L58" s="28">
        <f t="shared" si="2"/>
        <v>913411.33333333337</v>
      </c>
      <c r="M58" s="28">
        <f t="shared" si="2"/>
        <v>1002130.6666666666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SUM('CAL MO'!$B61:B61)</f>
        <v>0</v>
      </c>
      <c r="C61" s="23">
        <f>SUM('CAL MO'!$B61:C61)</f>
        <v>0</v>
      </c>
      <c r="D61" s="23">
        <f>SUM('CAL MO'!$B61:D61)</f>
        <v>0</v>
      </c>
      <c r="E61" s="23">
        <f>SUM('CAL MO'!$B61:E61)</f>
        <v>0</v>
      </c>
      <c r="F61" s="23">
        <f>SUM('CAL MO'!$B61:F61)</f>
        <v>0</v>
      </c>
      <c r="G61" s="23">
        <f>SUM('CAL MO'!$B61:G61)</f>
        <v>0</v>
      </c>
      <c r="H61" s="23">
        <f>SUM('CAL MO'!$B61:H61)</f>
        <v>0</v>
      </c>
      <c r="I61" s="23">
        <f>SUM('CAL MO'!$B61:I61)</f>
        <v>0</v>
      </c>
      <c r="J61" s="23">
        <f>SUM('CAL MO'!$B61:J61)</f>
        <v>0</v>
      </c>
      <c r="K61" s="23">
        <f>SUM('CAL MO'!$B61:K61)</f>
        <v>0</v>
      </c>
      <c r="L61" s="23">
        <f>SUM('CAL MO'!$B61:L61)</f>
        <v>0</v>
      </c>
      <c r="M61" s="23">
        <f>SUM('CAL MO'!$B61:M61)</f>
        <v>0</v>
      </c>
    </row>
    <row r="62" spans="1:13" x14ac:dyDescent="0.2">
      <c r="A62" s="3" t="s">
        <v>7</v>
      </c>
      <c r="B62" s="23">
        <f>SUM('CAL MO'!$B62:B62)</f>
        <v>811957</v>
      </c>
      <c r="C62" s="23">
        <f>SUM('CAL MO'!$B62:C62)</f>
        <v>1340957</v>
      </c>
      <c r="D62" s="23">
        <f>SUM('CAL MO'!$B62:D62)</f>
        <v>1868789</v>
      </c>
      <c r="E62" s="23">
        <f>SUM('CAL MO'!$B62:E62)</f>
        <v>2496947</v>
      </c>
      <c r="F62" s="23">
        <f>SUM('CAL MO'!$B62:F62)</f>
        <v>3138418.8002447374</v>
      </c>
      <c r="G62" s="23">
        <f>SUM('CAL MO'!$B62:G62)</f>
        <v>3783812.1595463562</v>
      </c>
      <c r="H62" s="23">
        <f>SUM('CAL MO'!$B62:H62)</f>
        <v>4406368.4225997478</v>
      </c>
      <c r="I62" s="23">
        <f>SUM('CAL MO'!$B62:I62)</f>
        <v>4946221.6247169003</v>
      </c>
      <c r="J62" s="23">
        <f>SUM('CAL MO'!$B62:J62)</f>
        <v>5393308.5901510762</v>
      </c>
      <c r="K62" s="23">
        <f>SUM('CAL MO'!$B62:K62)</f>
        <v>5840046.2255369099</v>
      </c>
      <c r="L62" s="23">
        <f>SUM('CAL MO'!$B62:L62)</f>
        <v>6290741.7486699726</v>
      </c>
      <c r="M62" s="23">
        <f>SUM('CAL MO'!$B62:M62)</f>
        <v>6745353.2014422277</v>
      </c>
    </row>
    <row r="63" spans="1:13" x14ac:dyDescent="0.2">
      <c r="A63" s="3" t="s">
        <v>8</v>
      </c>
      <c r="B63" s="23">
        <f>SUM('CAL MO'!$B63:B63)</f>
        <v>392899</v>
      </c>
      <c r="C63" s="23">
        <f>SUM('CAL MO'!$B63:C63)</f>
        <v>759601</v>
      </c>
      <c r="D63" s="23">
        <f>SUM('CAL MO'!$B63:D63)</f>
        <v>1141417</v>
      </c>
      <c r="E63" s="23">
        <f>SUM('CAL MO'!$B63:E63)</f>
        <v>1524681</v>
      </c>
      <c r="F63" s="23">
        <f>SUM('CAL MO'!$B63:F63)</f>
        <v>1907945</v>
      </c>
      <c r="G63" s="23">
        <f>SUM('CAL MO'!$B63:G63)</f>
        <v>2291209</v>
      </c>
      <c r="H63" s="23">
        <f>SUM('CAL MO'!$B63:H63)</f>
        <v>2674473</v>
      </c>
      <c r="I63" s="23">
        <f>SUM('CAL MO'!$B63:I63)</f>
        <v>3057737</v>
      </c>
      <c r="J63" s="23">
        <f>SUM('CAL MO'!$B63:J63)</f>
        <v>3441001</v>
      </c>
      <c r="K63" s="23">
        <f>SUM('CAL MO'!$B63:K63)</f>
        <v>3824265</v>
      </c>
      <c r="L63" s="23">
        <f>SUM('CAL MO'!$B63:L63)</f>
        <v>4207529</v>
      </c>
      <c r="M63" s="23">
        <f>SUM('CAL MO'!$B63:M63)</f>
        <v>4590793</v>
      </c>
    </row>
    <row r="64" spans="1:13" x14ac:dyDescent="0.2">
      <c r="A64" s="3"/>
    </row>
    <row r="65" spans="1:13" ht="13.5" thickBot="1" x14ac:dyDescent="0.25">
      <c r="A65" s="4" t="s">
        <v>17</v>
      </c>
      <c r="B65" s="28">
        <f>SUM(B61:B64)</f>
        <v>1204856</v>
      </c>
      <c r="C65" s="28">
        <f t="shared" ref="C65:M65" si="3">SUM(C61:C64)</f>
        <v>2100558</v>
      </c>
      <c r="D65" s="28">
        <f t="shared" si="3"/>
        <v>3010206</v>
      </c>
      <c r="E65" s="28">
        <f t="shared" si="3"/>
        <v>4021628</v>
      </c>
      <c r="F65" s="28">
        <f t="shared" si="3"/>
        <v>5046363.8002447374</v>
      </c>
      <c r="G65" s="28">
        <f t="shared" si="3"/>
        <v>6075021.1595463566</v>
      </c>
      <c r="H65" s="28">
        <f t="shared" si="3"/>
        <v>7080841.4225997478</v>
      </c>
      <c r="I65" s="28">
        <f t="shared" si="3"/>
        <v>8003958.6247169003</v>
      </c>
      <c r="J65" s="28">
        <f t="shared" si="3"/>
        <v>8834309.5901510753</v>
      </c>
      <c r="K65" s="28">
        <f t="shared" si="3"/>
        <v>9664311.225536909</v>
      </c>
      <c r="L65" s="28">
        <f t="shared" si="3"/>
        <v>10498270.748669973</v>
      </c>
      <c r="M65" s="28">
        <f t="shared" si="3"/>
        <v>11336146.201442227</v>
      </c>
    </row>
    <row r="67" spans="1:13" ht="13.5" thickBot="1" x14ac:dyDescent="0.25">
      <c r="A67" s="1" t="s">
        <v>13</v>
      </c>
      <c r="B67" s="29">
        <f t="shared" ref="B67:M67" si="4">B48+B58+B65</f>
        <v>1482964</v>
      </c>
      <c r="C67" s="29">
        <f t="shared" si="4"/>
        <v>2762184</v>
      </c>
      <c r="D67" s="29">
        <f t="shared" si="4"/>
        <v>3979825</v>
      </c>
      <c r="E67" s="29">
        <f t="shared" si="4"/>
        <v>5547159.79</v>
      </c>
      <c r="F67" s="29">
        <f t="shared" si="4"/>
        <v>6931413.9235780705</v>
      </c>
      <c r="G67" s="29">
        <f t="shared" si="4"/>
        <v>8305870.6162130237</v>
      </c>
      <c r="H67" s="29">
        <f t="shared" si="4"/>
        <v>9657491.2125997469</v>
      </c>
      <c r="I67" s="29">
        <f t="shared" si="4"/>
        <v>10926407.748050233</v>
      </c>
      <c r="J67" s="29">
        <f t="shared" si="4"/>
        <v>12102558.046817742</v>
      </c>
      <c r="K67" s="29">
        <f t="shared" si="4"/>
        <v>13261627.015536908</v>
      </c>
      <c r="L67" s="29">
        <f t="shared" si="4"/>
        <v>14389652.872003306</v>
      </c>
      <c r="M67" s="29">
        <f t="shared" si="4"/>
        <v>15521926.658108894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3" t="str">
        <f>+A1</f>
        <v>GENCO - Caledonia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75" x14ac:dyDescent="0.25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75" x14ac:dyDescent="0.25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75" x14ac:dyDescent="0.25">
      <c r="A74" s="45">
        <f>+A4</f>
        <v>36585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75" x14ac:dyDescent="0.25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36697.489055787039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SUM('CAL MO'!$B76:B76)</f>
        <v>0</v>
      </c>
      <c r="C80" s="24">
        <f>SUM('CAL MO'!$B76:C76)</f>
        <v>0</v>
      </c>
      <c r="D80" s="24">
        <f>SUM('CAL MO'!$B76:D76)</f>
        <v>0</v>
      </c>
      <c r="E80" s="24">
        <f>SUM('CAL MO'!$B76:E76)</f>
        <v>0</v>
      </c>
      <c r="F80" s="24">
        <f>SUM('CAL MO'!$B76:F76)</f>
        <v>0</v>
      </c>
      <c r="G80" s="24">
        <f>SUM('CAL MO'!$B76:G76)</f>
        <v>0</v>
      </c>
      <c r="H80" s="24">
        <f>SUM('CAL MO'!$B76:H76)</f>
        <v>0</v>
      </c>
      <c r="I80" s="24">
        <f>SUM('CAL MO'!$B76:I76)</f>
        <v>0</v>
      </c>
      <c r="J80" s="24">
        <f>SUM('CAL MO'!$B76:J76)</f>
        <v>0</v>
      </c>
      <c r="K80" s="24">
        <f>SUM('CAL MO'!$B76:K76)</f>
        <v>0</v>
      </c>
      <c r="L80" s="24">
        <f>SUM('CAL MO'!$B76:L76)</f>
        <v>0</v>
      </c>
      <c r="M80" s="24">
        <f>SUM('CAL MO'!$B76:M76)</f>
        <v>0</v>
      </c>
    </row>
    <row r="82" spans="1:13" x14ac:dyDescent="0.2">
      <c r="A82" s="1" t="s">
        <v>10</v>
      </c>
    </row>
    <row r="83" spans="1:13" x14ac:dyDescent="0.2">
      <c r="A83" s="17" t="s">
        <v>49</v>
      </c>
    </row>
    <row r="84" spans="1:13" x14ac:dyDescent="0.2">
      <c r="A84" s="18" t="s">
        <v>87</v>
      </c>
      <c r="B84" s="23">
        <f>SUM('CAL MO'!$B84:B84)</f>
        <v>0</v>
      </c>
      <c r="C84" s="23">
        <f>SUM('CAL MO'!$B84:C84)</f>
        <v>0</v>
      </c>
      <c r="D84" s="23">
        <f>SUM('CAL MO'!$B84:D84)</f>
        <v>0</v>
      </c>
      <c r="E84" s="23">
        <f>SUM('CAL MO'!$B84:E84)</f>
        <v>0</v>
      </c>
      <c r="F84" s="23">
        <f>SUM('CAL MO'!$B84:F84)</f>
        <v>0</v>
      </c>
      <c r="G84" s="23">
        <f>SUM('CAL MO'!$B84:G84)</f>
        <v>0</v>
      </c>
      <c r="H84" s="23">
        <f>SUM('CAL MO'!$B84:H84)</f>
        <v>0</v>
      </c>
      <c r="I84" s="23">
        <f>SUM('CAL MO'!$B84:I84)</f>
        <v>0</v>
      </c>
      <c r="J84" s="23">
        <f>SUM('CAL MO'!$B84:J84)</f>
        <v>0</v>
      </c>
      <c r="K84" s="23">
        <f>SUM('CAL MO'!$B84:K84)</f>
        <v>0</v>
      </c>
      <c r="L84" s="23">
        <f>SUM('CAL MO'!$B84:L84)</f>
        <v>0</v>
      </c>
      <c r="M84" s="23">
        <f>SUM('CAL MO'!$B84:M84)</f>
        <v>0</v>
      </c>
    </row>
    <row r="85" spans="1:13" x14ac:dyDescent="0.2">
      <c r="A85" s="18" t="s">
        <v>63</v>
      </c>
      <c r="B85" s="23">
        <f>SUM('CAL MO'!$B85:B85)</f>
        <v>543</v>
      </c>
      <c r="C85" s="23">
        <f>SUM('CAL MO'!$B85:C85)</f>
        <v>1086</v>
      </c>
      <c r="D85" s="23">
        <f>SUM('CAL MO'!$B85:D85)</f>
        <v>1629</v>
      </c>
      <c r="E85" s="23">
        <f>SUM('CAL MO'!$B85:E85)</f>
        <v>2172</v>
      </c>
      <c r="F85" s="23">
        <f>SUM('CAL MO'!$B85:F85)</f>
        <v>3312</v>
      </c>
      <c r="G85" s="23">
        <f>SUM('CAL MO'!$B85:G85)</f>
        <v>4452</v>
      </c>
      <c r="H85" s="23">
        <f>SUM('CAL MO'!$B85:H85)</f>
        <v>5592</v>
      </c>
      <c r="I85" s="23">
        <f>SUM('CAL MO'!$B85:I85)</f>
        <v>6732</v>
      </c>
      <c r="J85" s="23">
        <f>SUM('CAL MO'!$B85:J85)</f>
        <v>7872</v>
      </c>
      <c r="K85" s="23">
        <f>SUM('CAL MO'!$B85:K85)</f>
        <v>8415</v>
      </c>
      <c r="L85" s="23">
        <f>SUM('CAL MO'!$B85:L85)</f>
        <v>8958</v>
      </c>
      <c r="M85" s="23">
        <f>SUM('CAL MO'!$B85:M85)</f>
        <v>9500</v>
      </c>
    </row>
    <row r="86" spans="1:13" x14ac:dyDescent="0.2">
      <c r="A86" s="18" t="s">
        <v>88</v>
      </c>
      <c r="B86" s="23">
        <f>SUM('CAL MO'!$B86:B86)</f>
        <v>0</v>
      </c>
      <c r="C86" s="23">
        <f>SUM('CAL MO'!$B86:C86)</f>
        <v>0</v>
      </c>
      <c r="D86" s="23">
        <f>SUM('CAL MO'!$B86:D86)</f>
        <v>0</v>
      </c>
      <c r="E86" s="23">
        <f>SUM('CAL MO'!$B86:E86)</f>
        <v>0</v>
      </c>
      <c r="F86" s="23">
        <f>SUM('CAL MO'!$B86:F86)</f>
        <v>0</v>
      </c>
      <c r="G86" s="23">
        <f>SUM('CAL MO'!$B86:G86)</f>
        <v>0</v>
      </c>
      <c r="H86" s="23">
        <f>SUM('CAL MO'!$B86:H86)</f>
        <v>0</v>
      </c>
      <c r="I86" s="23">
        <f>SUM('CAL MO'!$B86:I86)</f>
        <v>0</v>
      </c>
      <c r="J86" s="23">
        <f>SUM('CAL MO'!$B86:J86)</f>
        <v>0</v>
      </c>
      <c r="K86" s="23">
        <f>SUM('CAL MO'!$B86:K86)</f>
        <v>0</v>
      </c>
      <c r="L86" s="23">
        <f>SUM('CAL MO'!$B86:L86)</f>
        <v>0</v>
      </c>
      <c r="M86" s="23">
        <f>SUM('CAL MO'!$B86:M86)</f>
        <v>0</v>
      </c>
    </row>
    <row r="87" spans="1:13" x14ac:dyDescent="0.2">
      <c r="A87" s="18" t="s">
        <v>89</v>
      </c>
      <c r="B87" s="23">
        <f>SUM('CAL MO'!$B87:B87)</f>
        <v>0</v>
      </c>
      <c r="C87" s="23">
        <f>SUM('CAL MO'!$B87:C87)</f>
        <v>0</v>
      </c>
      <c r="D87" s="23">
        <f>SUM('CAL MO'!$B87:D87)</f>
        <v>0</v>
      </c>
      <c r="E87" s="23">
        <f>SUM('CAL MO'!$B87:E87)</f>
        <v>0</v>
      </c>
      <c r="F87" s="23">
        <f>SUM('CAL MO'!$B87:F87)</f>
        <v>0</v>
      </c>
      <c r="G87" s="23">
        <f>SUM('CAL MO'!$B87:G87)</f>
        <v>0</v>
      </c>
      <c r="H87" s="23">
        <f>SUM('CAL MO'!$B87:H87)</f>
        <v>0</v>
      </c>
      <c r="I87" s="23">
        <f>SUM('CAL MO'!$B87:I87)</f>
        <v>0</v>
      </c>
      <c r="J87" s="23">
        <f>SUM('CAL MO'!$B87:J87)</f>
        <v>0</v>
      </c>
      <c r="K87" s="23">
        <f>SUM('CAL MO'!$B87:K87)</f>
        <v>0</v>
      </c>
      <c r="L87" s="23">
        <f>SUM('CAL MO'!$B87:L87)</f>
        <v>0</v>
      </c>
      <c r="M87" s="23">
        <f>SUM('CAL MO'!$B87:M87)</f>
        <v>0</v>
      </c>
    </row>
    <row r="88" spans="1:13" x14ac:dyDescent="0.2">
      <c r="A88" s="18" t="s">
        <v>90</v>
      </c>
      <c r="B88" s="23">
        <f>SUM('CAL MO'!$B88:B88)</f>
        <v>0</v>
      </c>
      <c r="C88" s="23">
        <f>SUM('CAL MO'!$B88:C88)</f>
        <v>0</v>
      </c>
      <c r="D88" s="23">
        <f>SUM('CAL MO'!$B88:D88)</f>
        <v>0</v>
      </c>
      <c r="E88" s="23">
        <f>SUM('CAL MO'!$B88:E88)</f>
        <v>0</v>
      </c>
      <c r="F88" s="23">
        <f>SUM('CAL MO'!$B88:F88)</f>
        <v>0</v>
      </c>
      <c r="G88" s="23">
        <f>SUM('CAL MO'!$B88:G88)</f>
        <v>0</v>
      </c>
      <c r="H88" s="23">
        <f>SUM('CAL MO'!$B88:H88)</f>
        <v>0</v>
      </c>
      <c r="I88" s="23">
        <f>SUM('CAL MO'!$B88:I88)</f>
        <v>0</v>
      </c>
      <c r="J88" s="23">
        <f>SUM('CAL MO'!$B88:J88)</f>
        <v>0</v>
      </c>
      <c r="K88" s="23">
        <f>SUM('CAL MO'!$B88:K88)</f>
        <v>0</v>
      </c>
      <c r="L88" s="23">
        <f>SUM('CAL MO'!$B88:L88)</f>
        <v>0</v>
      </c>
      <c r="M88" s="23">
        <f>SUM('CAL MO'!$B88:M88)</f>
        <v>0</v>
      </c>
    </row>
    <row r="89" spans="1:13" x14ac:dyDescent="0.2">
      <c r="A89" s="18" t="s">
        <v>64</v>
      </c>
      <c r="B89" s="23">
        <f>SUM('CAL MO'!$B89:B89)</f>
        <v>0</v>
      </c>
      <c r="C89" s="23">
        <f>SUM('CAL MO'!$B89:C89)</f>
        <v>0</v>
      </c>
      <c r="D89" s="23">
        <f>SUM('CAL MO'!$B89:D89)</f>
        <v>0</v>
      </c>
      <c r="E89" s="23">
        <f>SUM('CAL MO'!$B89:E89)</f>
        <v>0</v>
      </c>
      <c r="F89" s="23">
        <f>SUM('CAL MO'!$B89:F89)</f>
        <v>0</v>
      </c>
      <c r="G89" s="23">
        <f>SUM('CAL MO'!$B89:G89)</f>
        <v>0</v>
      </c>
      <c r="H89" s="23">
        <f>SUM('CAL MO'!$B89:H89)</f>
        <v>0</v>
      </c>
      <c r="I89" s="23">
        <f>SUM('CAL MO'!$B89:I89)</f>
        <v>0</v>
      </c>
      <c r="J89" s="23">
        <f>SUM('CAL MO'!$B89:J89)</f>
        <v>0</v>
      </c>
      <c r="K89" s="23">
        <f>SUM('CAL MO'!$B89:K89)</f>
        <v>0</v>
      </c>
      <c r="L89" s="23">
        <f>SUM('CAL MO'!$B89:L89)</f>
        <v>0</v>
      </c>
      <c r="M89" s="23">
        <f>SUM('CAL MO'!$B89:M89)</f>
        <v>0</v>
      </c>
    </row>
    <row r="90" spans="1:13" x14ac:dyDescent="0.2">
      <c r="A90" s="18" t="s">
        <v>91</v>
      </c>
      <c r="B90" s="23">
        <f>SUM('CAL MO'!$B90:B90)</f>
        <v>0</v>
      </c>
      <c r="C90" s="23">
        <f>SUM('CAL MO'!$B90:C90)</f>
        <v>0</v>
      </c>
      <c r="D90" s="23">
        <f>SUM('CAL MO'!$B90:D90)</f>
        <v>0</v>
      </c>
      <c r="E90" s="23">
        <f>SUM('CAL MO'!$B90:E90)</f>
        <v>0</v>
      </c>
      <c r="F90" s="23">
        <f>SUM('CAL MO'!$B90:F90)</f>
        <v>0</v>
      </c>
      <c r="G90" s="23">
        <f>SUM('CAL MO'!$B90:G90)</f>
        <v>0</v>
      </c>
      <c r="H90" s="23">
        <f>SUM('CAL MO'!$B90:H90)</f>
        <v>0</v>
      </c>
      <c r="I90" s="23">
        <f>SUM('CAL MO'!$B90:I90)</f>
        <v>0</v>
      </c>
      <c r="J90" s="23">
        <f>SUM('CAL MO'!$B90:J90)</f>
        <v>0</v>
      </c>
      <c r="K90" s="23">
        <f>SUM('CAL MO'!$B90:K90)</f>
        <v>0</v>
      </c>
      <c r="L90" s="23">
        <f>SUM('CAL MO'!$B90:L90)</f>
        <v>0</v>
      </c>
      <c r="M90" s="23">
        <f>SUM('CAL MO'!$B90:M90)</f>
        <v>0</v>
      </c>
    </row>
    <row r="91" spans="1:13" x14ac:dyDescent="0.2">
      <c r="A91" s="18" t="s">
        <v>92</v>
      </c>
      <c r="B91" s="23">
        <f>SUM('CAL MO'!$B91:B91)</f>
        <v>0</v>
      </c>
      <c r="C91" s="23">
        <f>SUM('CAL MO'!$B91:C91)</f>
        <v>0</v>
      </c>
      <c r="D91" s="23">
        <f>SUM('CAL MO'!$B91:D91)</f>
        <v>0</v>
      </c>
      <c r="E91" s="23">
        <f>SUM('CAL MO'!$B91:E91)</f>
        <v>0</v>
      </c>
      <c r="F91" s="23">
        <f>SUM('CAL MO'!$B91:F91)</f>
        <v>0</v>
      </c>
      <c r="G91" s="23">
        <f>SUM('CAL MO'!$B91:G91)</f>
        <v>0</v>
      </c>
      <c r="H91" s="23">
        <f>SUM('CAL MO'!$B91:H91)</f>
        <v>0</v>
      </c>
      <c r="I91" s="23">
        <f>SUM('CAL MO'!$B91:I91)</f>
        <v>0</v>
      </c>
      <c r="J91" s="23">
        <f>SUM('CAL MO'!$B91:J91)</f>
        <v>0</v>
      </c>
      <c r="K91" s="23">
        <f>SUM('CAL MO'!$B91:K91)</f>
        <v>0</v>
      </c>
      <c r="L91" s="23">
        <f>SUM('CAL MO'!$B91:L91)</f>
        <v>0</v>
      </c>
      <c r="M91" s="23">
        <f>SUM('CAL MO'!$B91:M91)</f>
        <v>0</v>
      </c>
    </row>
    <row r="92" spans="1:13" x14ac:dyDescent="0.2">
      <c r="A92" s="18" t="s">
        <v>65</v>
      </c>
      <c r="B92" s="23">
        <f>SUM('CAL MO'!$B92:B92)</f>
        <v>458</v>
      </c>
      <c r="C92" s="23">
        <f>SUM('CAL MO'!$B92:C92)</f>
        <v>916</v>
      </c>
      <c r="D92" s="23">
        <f>SUM('CAL MO'!$B92:D92)</f>
        <v>1374</v>
      </c>
      <c r="E92" s="23">
        <f>SUM('CAL MO'!$B92:E92)</f>
        <v>1832</v>
      </c>
      <c r="F92" s="23">
        <f>SUM('CAL MO'!$B92:F92)</f>
        <v>2290</v>
      </c>
      <c r="G92" s="23">
        <f>SUM('CAL MO'!$B92:G92)</f>
        <v>2748</v>
      </c>
      <c r="H92" s="23">
        <f>SUM('CAL MO'!$B92:H92)</f>
        <v>3206</v>
      </c>
      <c r="I92" s="23">
        <f>SUM('CAL MO'!$B92:I92)</f>
        <v>3664</v>
      </c>
      <c r="J92" s="23">
        <f>SUM('CAL MO'!$B92:J92)</f>
        <v>4122</v>
      </c>
      <c r="K92" s="23">
        <f>SUM('CAL MO'!$B92:K92)</f>
        <v>4580</v>
      </c>
      <c r="L92" s="23">
        <f>SUM('CAL MO'!$B92:L92)</f>
        <v>5038</v>
      </c>
      <c r="M92" s="23">
        <f>SUM('CAL MO'!$B92:M92)</f>
        <v>5500</v>
      </c>
    </row>
    <row r="93" spans="1:13" x14ac:dyDescent="0.2">
      <c r="A93" s="18" t="s">
        <v>45</v>
      </c>
      <c r="B93" s="23">
        <f>SUM('CAL MO'!$B93:B93)</f>
        <v>86</v>
      </c>
      <c r="C93" s="23">
        <f>SUM('CAL MO'!$B93:C93)</f>
        <v>172</v>
      </c>
      <c r="D93" s="23">
        <f>SUM('CAL MO'!$B93:D93)</f>
        <v>258</v>
      </c>
      <c r="E93" s="23">
        <f>SUM('CAL MO'!$B93:E93)</f>
        <v>5344</v>
      </c>
      <c r="F93" s="23">
        <f>SUM('CAL MO'!$B93:F93)</f>
        <v>17524</v>
      </c>
      <c r="G93" s="23">
        <f>SUM('CAL MO'!$B93:G93)</f>
        <v>29704</v>
      </c>
      <c r="H93" s="23">
        <f>SUM('CAL MO'!$B93:H93)</f>
        <v>41884</v>
      </c>
      <c r="I93" s="23">
        <f>SUM('CAL MO'!$B93:I93)</f>
        <v>54064</v>
      </c>
      <c r="J93" s="23">
        <f>SUM('CAL MO'!$B93:J93)</f>
        <v>66244</v>
      </c>
      <c r="K93" s="23">
        <f>SUM('CAL MO'!$B93:K93)</f>
        <v>71330</v>
      </c>
      <c r="L93" s="23">
        <f>SUM('CAL MO'!$B93:L93)</f>
        <v>71416</v>
      </c>
      <c r="M93" s="23">
        <f>SUM('CAL MO'!$B93:M93)</f>
        <v>71500</v>
      </c>
    </row>
    <row r="94" spans="1:13" x14ac:dyDescent="0.2">
      <c r="A94" s="18" t="s">
        <v>66</v>
      </c>
      <c r="B94" s="23">
        <f>SUM('CAL MO'!$B94:B94)</f>
        <v>86</v>
      </c>
      <c r="C94" s="23">
        <f>SUM('CAL MO'!$B94:C94)</f>
        <v>172</v>
      </c>
      <c r="D94" s="23">
        <f>SUM('CAL MO'!$B94:D94)</f>
        <v>258</v>
      </c>
      <c r="E94" s="23">
        <f>SUM('CAL MO'!$B94:E94)</f>
        <v>344</v>
      </c>
      <c r="F94" s="23">
        <f>SUM('CAL MO'!$B94:F94)</f>
        <v>524</v>
      </c>
      <c r="G94" s="23">
        <f>SUM('CAL MO'!$B94:G94)</f>
        <v>704</v>
      </c>
      <c r="H94" s="23">
        <f>SUM('CAL MO'!$B94:H94)</f>
        <v>884</v>
      </c>
      <c r="I94" s="23">
        <f>SUM('CAL MO'!$B94:I94)</f>
        <v>1064</v>
      </c>
      <c r="J94" s="23">
        <f>SUM('CAL MO'!$B94:J94)</f>
        <v>1244</v>
      </c>
      <c r="K94" s="23">
        <f>SUM('CAL MO'!$B94:K94)</f>
        <v>1330</v>
      </c>
      <c r="L94" s="23">
        <f>SUM('CAL MO'!$B94:L94)</f>
        <v>1416</v>
      </c>
      <c r="M94" s="23">
        <f>SUM('CAL MO'!$B94:M94)</f>
        <v>1500</v>
      </c>
    </row>
    <row r="95" spans="1:13" x14ac:dyDescent="0.2">
      <c r="A95" s="18" t="s">
        <v>67</v>
      </c>
      <c r="B95" s="23">
        <f>SUM('CAL MO'!$B95:B95)</f>
        <v>286</v>
      </c>
      <c r="C95" s="23">
        <f>SUM('CAL MO'!$B95:C95)</f>
        <v>572</v>
      </c>
      <c r="D95" s="23">
        <f>SUM('CAL MO'!$B95:D95)</f>
        <v>858</v>
      </c>
      <c r="E95" s="23">
        <f>SUM('CAL MO'!$B95:E95)</f>
        <v>1144</v>
      </c>
      <c r="F95" s="23">
        <f>SUM('CAL MO'!$B95:F95)</f>
        <v>1744</v>
      </c>
      <c r="G95" s="23">
        <f>SUM('CAL MO'!$B95:G95)</f>
        <v>2344</v>
      </c>
      <c r="H95" s="23">
        <f>SUM('CAL MO'!$B95:H95)</f>
        <v>2944</v>
      </c>
      <c r="I95" s="23">
        <f>SUM('CAL MO'!$B95:I95)</f>
        <v>3544</v>
      </c>
      <c r="J95" s="23">
        <f>SUM('CAL MO'!$B95:J95)</f>
        <v>4144</v>
      </c>
      <c r="K95" s="23">
        <f>SUM('CAL MO'!$B95:K95)</f>
        <v>4430</v>
      </c>
      <c r="L95" s="23">
        <f>SUM('CAL MO'!$B95:L95)</f>
        <v>4716</v>
      </c>
      <c r="M95" s="23">
        <f>SUM('CAL MO'!$B95:M95)</f>
        <v>5000</v>
      </c>
    </row>
    <row r="96" spans="1:13" x14ac:dyDescent="0.2">
      <c r="A96" s="18" t="s">
        <v>93</v>
      </c>
      <c r="B96" s="23">
        <f>SUM('CAL MO'!$B96:B96)</f>
        <v>0</v>
      </c>
      <c r="C96" s="23">
        <f>SUM('CAL MO'!$B96:C96)</f>
        <v>0</v>
      </c>
      <c r="D96" s="23">
        <f>SUM('CAL MO'!$B96:D96)</f>
        <v>0</v>
      </c>
      <c r="E96" s="23">
        <f>SUM('CAL MO'!$B96:E96)</f>
        <v>0</v>
      </c>
      <c r="F96" s="23">
        <f>SUM('CAL MO'!$B96:F96)</f>
        <v>0</v>
      </c>
      <c r="G96" s="23">
        <f>SUM('CAL MO'!$B96:G96)</f>
        <v>0</v>
      </c>
      <c r="H96" s="23">
        <f>SUM('CAL MO'!$B96:H96)</f>
        <v>0</v>
      </c>
      <c r="I96" s="23">
        <f>SUM('CAL MO'!$B96:I96)</f>
        <v>0</v>
      </c>
      <c r="J96" s="23">
        <f>SUM('CAL MO'!$B96:J96)</f>
        <v>0</v>
      </c>
      <c r="K96" s="23">
        <f>SUM('CAL MO'!$B96:K96)</f>
        <v>0</v>
      </c>
      <c r="L96" s="23">
        <f>SUM('CAL MO'!$B96:L96)</f>
        <v>0</v>
      </c>
      <c r="M96" s="23">
        <f>SUM('CAL MO'!$B96:M96)</f>
        <v>0</v>
      </c>
    </row>
    <row r="97" spans="1:13" x14ac:dyDescent="0.2">
      <c r="A97" s="18" t="s">
        <v>69</v>
      </c>
      <c r="B97" s="23">
        <f>SUM('CAL MO'!$B97:B97)</f>
        <v>333</v>
      </c>
      <c r="C97" s="23">
        <f>SUM('CAL MO'!$B97:C97)</f>
        <v>666</v>
      </c>
      <c r="D97" s="23">
        <f>SUM('CAL MO'!$B97:D97)</f>
        <v>999</v>
      </c>
      <c r="E97" s="23">
        <f>SUM('CAL MO'!$B97:E97)</f>
        <v>1332</v>
      </c>
      <c r="F97" s="23">
        <f>SUM('CAL MO'!$B97:F97)</f>
        <v>1665</v>
      </c>
      <c r="G97" s="23">
        <f>SUM('CAL MO'!$B97:G97)</f>
        <v>1998</v>
      </c>
      <c r="H97" s="23">
        <f>SUM('CAL MO'!$B97:H97)</f>
        <v>2331</v>
      </c>
      <c r="I97" s="23">
        <f>SUM('CAL MO'!$B97:I97)</f>
        <v>2664</v>
      </c>
      <c r="J97" s="23">
        <f>SUM('CAL MO'!$B97:J97)</f>
        <v>2997</v>
      </c>
      <c r="K97" s="23">
        <f>SUM('CAL MO'!$B97:K97)</f>
        <v>3330</v>
      </c>
      <c r="L97" s="23">
        <f>SUM('CAL MO'!$B97:L97)</f>
        <v>3663</v>
      </c>
      <c r="M97" s="23">
        <f>SUM('CAL MO'!$B97:M97)</f>
        <v>4000</v>
      </c>
    </row>
    <row r="98" spans="1:13" x14ac:dyDescent="0.2">
      <c r="A98" s="18" t="s">
        <v>68</v>
      </c>
      <c r="B98" s="23">
        <f>SUM('CAL MO'!$B98:B98)</f>
        <v>833</v>
      </c>
      <c r="C98" s="23">
        <f>SUM('CAL MO'!$B98:C98)</f>
        <v>1666</v>
      </c>
      <c r="D98" s="23">
        <f>SUM('CAL MO'!$B98:D98)</f>
        <v>17499</v>
      </c>
      <c r="E98" s="23">
        <f>SUM('CAL MO'!$B98:E98)</f>
        <v>18332</v>
      </c>
      <c r="F98" s="23">
        <f>SUM('CAL MO'!$B98:F98)</f>
        <v>19165</v>
      </c>
      <c r="G98" s="23">
        <f>SUM('CAL MO'!$B98:G98)</f>
        <v>19998</v>
      </c>
      <c r="H98" s="23">
        <f>SUM('CAL MO'!$B98:H98)</f>
        <v>20831</v>
      </c>
      <c r="I98" s="23">
        <f>SUM('CAL MO'!$B98:I98)</f>
        <v>21664</v>
      </c>
      <c r="J98" s="23">
        <f>SUM('CAL MO'!$B98:J98)</f>
        <v>22497</v>
      </c>
      <c r="K98" s="23">
        <f>SUM('CAL MO'!$B98:K98)</f>
        <v>23330</v>
      </c>
      <c r="L98" s="23">
        <f>SUM('CAL MO'!$B98:L98)</f>
        <v>24163</v>
      </c>
      <c r="M98" s="23">
        <f>SUM('CAL MO'!$B98:M98)</f>
        <v>25000</v>
      </c>
    </row>
    <row r="99" spans="1:13" x14ac:dyDescent="0.2">
      <c r="A99" s="18" t="s">
        <v>94</v>
      </c>
      <c r="B99" s="23">
        <f>SUM('CAL MO'!$B99:B99)</f>
        <v>0</v>
      </c>
      <c r="C99" s="23">
        <f>SUM('CAL MO'!$B99:C99)</f>
        <v>0</v>
      </c>
      <c r="D99" s="23">
        <f>SUM('CAL MO'!$B99:D99)</f>
        <v>0</v>
      </c>
      <c r="E99" s="23">
        <f>SUM('CAL MO'!$B99:E99)</f>
        <v>0</v>
      </c>
      <c r="F99" s="23">
        <f>SUM('CAL MO'!$B99:F99)</f>
        <v>0</v>
      </c>
      <c r="G99" s="23">
        <f>SUM('CAL MO'!$B99:G99)</f>
        <v>0</v>
      </c>
      <c r="H99" s="23">
        <f>SUM('CAL MO'!$B99:H99)</f>
        <v>0</v>
      </c>
      <c r="I99" s="23">
        <f>SUM('CAL MO'!$B99:I99)</f>
        <v>0</v>
      </c>
      <c r="J99" s="23">
        <f>SUM('CAL MO'!$B99:J99)</f>
        <v>0</v>
      </c>
      <c r="K99" s="23">
        <f>SUM('CAL MO'!$B99:K99)</f>
        <v>0</v>
      </c>
      <c r="L99" s="23">
        <f>SUM('CAL MO'!$B99:L99)</f>
        <v>0</v>
      </c>
      <c r="M99" s="23">
        <f>SUM('CAL MO'!$B99:M99)</f>
        <v>0</v>
      </c>
    </row>
    <row r="100" spans="1:13" x14ac:dyDescent="0.2">
      <c r="A100" s="18" t="s">
        <v>46</v>
      </c>
      <c r="B100" s="23">
        <f>SUM('CAL MO'!$B100:B100)</f>
        <v>600</v>
      </c>
      <c r="C100" s="23">
        <f>SUM('CAL MO'!$B100:C100)</f>
        <v>1200</v>
      </c>
      <c r="D100" s="23">
        <f>SUM('CAL MO'!$B100:D100)</f>
        <v>1800</v>
      </c>
      <c r="E100" s="23">
        <f>SUM('CAL MO'!$B100:E100)</f>
        <v>2400</v>
      </c>
      <c r="F100" s="23">
        <f>SUM('CAL MO'!$B100:F100)</f>
        <v>12060</v>
      </c>
      <c r="G100" s="23">
        <f>SUM('CAL MO'!$B100:G100)</f>
        <v>21720</v>
      </c>
      <c r="H100" s="23">
        <f>SUM('CAL MO'!$B100:H100)</f>
        <v>31380</v>
      </c>
      <c r="I100" s="23">
        <f>SUM('CAL MO'!$B100:I100)</f>
        <v>41040</v>
      </c>
      <c r="J100" s="23">
        <f>SUM('CAL MO'!$B100:J100)</f>
        <v>50700</v>
      </c>
      <c r="K100" s="23">
        <f>SUM('CAL MO'!$B100:K100)</f>
        <v>51300</v>
      </c>
      <c r="L100" s="23">
        <f>SUM('CAL MO'!$B100:L100)</f>
        <v>51900</v>
      </c>
      <c r="M100" s="23">
        <f>SUM('CAL MO'!$B100:M100)</f>
        <v>52500</v>
      </c>
    </row>
    <row r="101" spans="1:13" x14ac:dyDescent="0.2">
      <c r="A101" s="18" t="s">
        <v>70</v>
      </c>
      <c r="B101" s="23">
        <f>SUM('CAL MO'!$B101:B101)</f>
        <v>3208</v>
      </c>
      <c r="C101" s="23">
        <f>SUM('CAL MO'!$B101:C101)</f>
        <v>6416</v>
      </c>
      <c r="D101" s="23">
        <f>SUM('CAL MO'!$B101:D101)</f>
        <v>9624</v>
      </c>
      <c r="E101" s="23">
        <f>SUM('CAL MO'!$B101:E101)</f>
        <v>12832</v>
      </c>
      <c r="F101" s="23">
        <f>SUM('CAL MO'!$B101:F101)</f>
        <v>17580</v>
      </c>
      <c r="G101" s="23">
        <f>SUM('CAL MO'!$B101:G101)</f>
        <v>22328</v>
      </c>
      <c r="H101" s="23">
        <f>SUM('CAL MO'!$B101:H101)</f>
        <v>27076</v>
      </c>
      <c r="I101" s="23">
        <f>SUM('CAL MO'!$B101:I101)</f>
        <v>31824</v>
      </c>
      <c r="J101" s="23">
        <f>SUM('CAL MO'!$B101:J101)</f>
        <v>36572</v>
      </c>
      <c r="K101" s="23">
        <f>SUM('CAL MO'!$B101:K101)</f>
        <v>39780</v>
      </c>
      <c r="L101" s="23">
        <f>SUM('CAL MO'!$B101:L101)</f>
        <v>42988</v>
      </c>
      <c r="M101" s="23">
        <f>SUM('CAL MO'!$B101:M101)</f>
        <v>46200</v>
      </c>
    </row>
    <row r="102" spans="1:13" x14ac:dyDescent="0.2">
      <c r="A102" s="18" t="s">
        <v>71</v>
      </c>
      <c r="B102" s="23">
        <f>SUM('CAL MO'!$B102:B102)</f>
        <v>5452</v>
      </c>
      <c r="C102" s="23">
        <f>SUM('CAL MO'!$B102:C102)</f>
        <v>10904</v>
      </c>
      <c r="D102" s="23">
        <f>SUM('CAL MO'!$B102:D102)</f>
        <v>16356</v>
      </c>
      <c r="E102" s="23">
        <f>SUM('CAL MO'!$B102:E102)</f>
        <v>21808</v>
      </c>
      <c r="F102" s="23">
        <f>SUM('CAL MO'!$B102:F102)</f>
        <v>42575</v>
      </c>
      <c r="G102" s="23">
        <f>SUM('CAL MO'!$B102:G102)</f>
        <v>48342</v>
      </c>
      <c r="H102" s="23">
        <f>SUM('CAL MO'!$B102:H102)</f>
        <v>54109</v>
      </c>
      <c r="I102" s="23">
        <f>SUM('CAL MO'!$B102:I102)</f>
        <v>59876</v>
      </c>
      <c r="J102" s="23">
        <f>SUM('CAL MO'!$B102:J102)</f>
        <v>65643</v>
      </c>
      <c r="K102" s="23">
        <f>SUM('CAL MO'!$B102:K102)</f>
        <v>71095</v>
      </c>
      <c r="L102" s="23">
        <f>SUM('CAL MO'!$B102:L102)</f>
        <v>76547</v>
      </c>
      <c r="M102" s="23">
        <f>SUM('CAL MO'!$B102:M102)</f>
        <v>82000</v>
      </c>
    </row>
    <row r="103" spans="1:13" x14ac:dyDescent="0.2">
      <c r="A103" s="18" t="s">
        <v>44</v>
      </c>
      <c r="B103" s="23">
        <f>SUM('CAL MO'!$B103:B103)</f>
        <v>52488</v>
      </c>
      <c r="C103" s="23">
        <f>SUM('CAL MO'!$B103:C103)</f>
        <v>104976</v>
      </c>
      <c r="D103" s="23">
        <f>SUM('CAL MO'!$B103:D103)</f>
        <v>157464</v>
      </c>
      <c r="E103" s="23">
        <f>SUM('CAL MO'!$B103:E103)</f>
        <v>209952</v>
      </c>
      <c r="F103" s="23">
        <f>SUM('CAL MO'!$B103:F103)</f>
        <v>277902</v>
      </c>
      <c r="G103" s="23">
        <f>SUM('CAL MO'!$B103:G103)</f>
        <v>345852</v>
      </c>
      <c r="H103" s="23">
        <f>SUM('CAL MO'!$B103:H103)</f>
        <v>413802</v>
      </c>
      <c r="I103" s="23">
        <f>SUM('CAL MO'!$B103:I103)</f>
        <v>481752</v>
      </c>
      <c r="J103" s="23">
        <f>SUM('CAL MO'!$B103:J103)</f>
        <v>549702</v>
      </c>
      <c r="K103" s="23">
        <f>SUM('CAL MO'!$B103:K103)</f>
        <v>632190</v>
      </c>
      <c r="L103" s="23">
        <f>SUM('CAL MO'!$B103:L103)</f>
        <v>684678</v>
      </c>
      <c r="M103" s="23">
        <f>SUM('CAL MO'!$B103:M103)</f>
        <v>737167</v>
      </c>
    </row>
    <row r="104" spans="1:13" x14ac:dyDescent="0.2">
      <c r="A104" s="18" t="s">
        <v>47</v>
      </c>
      <c r="B104" s="23">
        <f>SUM('CAL MO'!$B104:B104)</f>
        <v>2975</v>
      </c>
      <c r="C104" s="23">
        <f>SUM('CAL MO'!$B104:C104)</f>
        <v>5950</v>
      </c>
      <c r="D104" s="23">
        <f>SUM('CAL MO'!$B104:D104)</f>
        <v>8925</v>
      </c>
      <c r="E104" s="23">
        <f>SUM('CAL MO'!$B104:E104)</f>
        <v>11900</v>
      </c>
      <c r="F104" s="23">
        <f>SUM('CAL MO'!$B104:F104)</f>
        <v>14875</v>
      </c>
      <c r="G104" s="23">
        <f>SUM('CAL MO'!$B104:G104)</f>
        <v>17850</v>
      </c>
      <c r="H104" s="23">
        <f>SUM('CAL MO'!$B104:H104)</f>
        <v>20825</v>
      </c>
      <c r="I104" s="23">
        <f>SUM('CAL MO'!$B104:I104)</f>
        <v>23800</v>
      </c>
      <c r="J104" s="23">
        <f>SUM('CAL MO'!$B104:J104)</f>
        <v>26775</v>
      </c>
      <c r="K104" s="23">
        <f>SUM('CAL MO'!$B104:K104)</f>
        <v>29750</v>
      </c>
      <c r="L104" s="23">
        <f>SUM('CAL MO'!$B104:L104)</f>
        <v>32725</v>
      </c>
      <c r="M104" s="23">
        <f>SUM('CAL MO'!$B104:M104)</f>
        <v>35700</v>
      </c>
    </row>
    <row r="105" spans="1:13" x14ac:dyDescent="0.2">
      <c r="A105" s="18" t="s">
        <v>2</v>
      </c>
      <c r="B105" s="23">
        <f>SUM('CAL MO'!$B105:B105)</f>
        <v>25378</v>
      </c>
      <c r="C105" s="23">
        <f>SUM('CAL MO'!$B105:C105)</f>
        <v>50756</v>
      </c>
      <c r="D105" s="23">
        <f>SUM('CAL MO'!$B105:D105)</f>
        <v>76134</v>
      </c>
      <c r="E105" s="23">
        <f>SUM('CAL MO'!$B105:E105)</f>
        <v>102262</v>
      </c>
      <c r="F105" s="23">
        <f>SUM('CAL MO'!$B105:F105)</f>
        <v>127640</v>
      </c>
      <c r="G105" s="23">
        <f>SUM('CAL MO'!$B105:G105)</f>
        <v>153724</v>
      </c>
      <c r="H105" s="23">
        <f>SUM('CAL MO'!$B105:H105)</f>
        <v>179808</v>
      </c>
      <c r="I105" s="23">
        <f>SUM('CAL MO'!$B105:I105)</f>
        <v>205892</v>
      </c>
      <c r="J105" s="23">
        <f>SUM('CAL MO'!$B105:J105)</f>
        <v>231976</v>
      </c>
      <c r="K105" s="23">
        <f>SUM('CAL MO'!$B105:K105)</f>
        <v>258060</v>
      </c>
      <c r="L105" s="23">
        <f>SUM('CAL MO'!$B105:L105)</f>
        <v>284144</v>
      </c>
      <c r="M105" s="23">
        <f>SUM('CAL MO'!$B105:M105)</f>
        <v>310678</v>
      </c>
    </row>
    <row r="106" spans="1:13" x14ac:dyDescent="0.2">
      <c r="A106" s="18" t="s">
        <v>95</v>
      </c>
      <c r="B106" s="23">
        <f>SUM('CAL MO'!$B106:B106)</f>
        <v>0</v>
      </c>
      <c r="C106" s="23">
        <f>SUM('CAL MO'!$B106:C106)</f>
        <v>0</v>
      </c>
      <c r="D106" s="23">
        <f>SUM('CAL MO'!$B106:D106)</f>
        <v>0</v>
      </c>
      <c r="E106" s="23">
        <f>SUM('CAL MO'!$B106:E106)</f>
        <v>0</v>
      </c>
      <c r="F106" s="23">
        <f>SUM('CAL MO'!$B106:F106)</f>
        <v>0</v>
      </c>
      <c r="G106" s="23">
        <f>SUM('CAL MO'!$B106:G106)</f>
        <v>0</v>
      </c>
      <c r="H106" s="23">
        <f>SUM('CAL MO'!$B106:H106)</f>
        <v>0</v>
      </c>
      <c r="I106" s="23">
        <f>SUM('CAL MO'!$B106:I106)</f>
        <v>0</v>
      </c>
      <c r="J106" s="23">
        <f>SUM('CAL MO'!$B106:J106)</f>
        <v>0</v>
      </c>
      <c r="K106" s="23">
        <f>SUM('CAL MO'!$B106:K106)</f>
        <v>0</v>
      </c>
      <c r="L106" s="23">
        <f>SUM('CAL MO'!$B106:L106)</f>
        <v>0</v>
      </c>
      <c r="M106" s="23">
        <f>SUM('CAL MO'!$B106:M106)</f>
        <v>0</v>
      </c>
    </row>
    <row r="107" spans="1:13" x14ac:dyDescent="0.2">
      <c r="A107" s="18" t="s">
        <v>72</v>
      </c>
      <c r="B107" s="23">
        <f>SUM('CAL MO'!$B107:B107)</f>
        <v>146</v>
      </c>
      <c r="C107" s="23">
        <f>SUM('CAL MO'!$B107:C107)</f>
        <v>292</v>
      </c>
      <c r="D107" s="23">
        <f>SUM('CAL MO'!$B107:D107)</f>
        <v>438</v>
      </c>
      <c r="E107" s="23">
        <f>SUM('CAL MO'!$B107:E107)</f>
        <v>584</v>
      </c>
      <c r="F107" s="23">
        <f>SUM('CAL MO'!$B107:F107)</f>
        <v>730</v>
      </c>
      <c r="G107" s="23">
        <f>SUM('CAL MO'!$B107:G107)</f>
        <v>876</v>
      </c>
      <c r="H107" s="23">
        <f>SUM('CAL MO'!$B107:H107)</f>
        <v>1022</v>
      </c>
      <c r="I107" s="23">
        <f>SUM('CAL MO'!$B107:I107)</f>
        <v>1168</v>
      </c>
      <c r="J107" s="23">
        <f>SUM('CAL MO'!$B107:J107)</f>
        <v>1314</v>
      </c>
      <c r="K107" s="23">
        <f>SUM('CAL MO'!$B107:K107)</f>
        <v>1460</v>
      </c>
      <c r="L107" s="23">
        <f>SUM('CAL MO'!$B107:L107)</f>
        <v>1606</v>
      </c>
      <c r="M107" s="23">
        <f>SUM('CAL MO'!$B107:M107)</f>
        <v>1750</v>
      </c>
    </row>
    <row r="108" spans="1:13" x14ac:dyDescent="0.2">
      <c r="A108" s="18" t="s">
        <v>48</v>
      </c>
      <c r="B108" s="23">
        <f>SUM('CAL MO'!$B108:B108)</f>
        <v>11143</v>
      </c>
      <c r="C108" s="23">
        <f>SUM('CAL MO'!$B108:C108)</f>
        <v>22286</v>
      </c>
      <c r="D108" s="23">
        <f>SUM('CAL MO'!$B108:D108)</f>
        <v>33429</v>
      </c>
      <c r="E108" s="23">
        <f>SUM('CAL MO'!$B108:E108)</f>
        <v>44572</v>
      </c>
      <c r="F108" s="23">
        <f>SUM('CAL MO'!$B108:F108)</f>
        <v>67972</v>
      </c>
      <c r="G108" s="23">
        <f>SUM('CAL MO'!$B108:G108)</f>
        <v>91372</v>
      </c>
      <c r="H108" s="23">
        <f>SUM('CAL MO'!$B108:H108)</f>
        <v>114772</v>
      </c>
      <c r="I108" s="23">
        <f>SUM('CAL MO'!$B108:I108)</f>
        <v>138172</v>
      </c>
      <c r="J108" s="23">
        <f>SUM('CAL MO'!$B108:J108)</f>
        <v>161572</v>
      </c>
      <c r="K108" s="23">
        <f>SUM('CAL MO'!$B108:K108)</f>
        <v>172715</v>
      </c>
      <c r="L108" s="23">
        <f>SUM('CAL MO'!$B108:L108)</f>
        <v>183858</v>
      </c>
      <c r="M108" s="23">
        <f>SUM('CAL MO'!$B108:M108)</f>
        <v>195000</v>
      </c>
    </row>
    <row r="109" spans="1:13" x14ac:dyDescent="0.2">
      <c r="A109" s="18" t="s">
        <v>74</v>
      </c>
      <c r="B109" s="23">
        <f>SUM('CAL MO'!$B109:B109)</f>
        <v>0</v>
      </c>
      <c r="C109" s="23">
        <f>SUM('CAL MO'!$B109:C109)</f>
        <v>0</v>
      </c>
      <c r="D109" s="23">
        <f>SUM('CAL MO'!$B109:D109)</f>
        <v>0</v>
      </c>
      <c r="E109" s="23">
        <f>SUM('CAL MO'!$B109:E109)</f>
        <v>0</v>
      </c>
      <c r="F109" s="23">
        <f>SUM('CAL MO'!$B109:F109)</f>
        <v>0</v>
      </c>
      <c r="G109" s="23">
        <f>SUM('CAL MO'!$B109:G109)</f>
        <v>0</v>
      </c>
      <c r="H109" s="23">
        <f>SUM('CAL MO'!$B109:H109)</f>
        <v>0</v>
      </c>
      <c r="I109" s="23">
        <f>SUM('CAL MO'!$B109:I109)</f>
        <v>0</v>
      </c>
      <c r="J109" s="23">
        <f>SUM('CAL MO'!$B109:J109)</f>
        <v>0</v>
      </c>
      <c r="K109" s="23">
        <f>SUM('CAL MO'!$B109:K109)</f>
        <v>0</v>
      </c>
      <c r="L109" s="23">
        <f>SUM('CAL MO'!$B109:L109)</f>
        <v>0</v>
      </c>
      <c r="M109" s="23">
        <f>SUM('CAL MO'!$B109:M109)</f>
        <v>0</v>
      </c>
    </row>
    <row r="110" spans="1:13" x14ac:dyDescent="0.2">
      <c r="A110" s="18" t="s">
        <v>96</v>
      </c>
      <c r="B110" s="23">
        <f>SUM('CAL MO'!$B110:B110)</f>
        <v>0</v>
      </c>
      <c r="C110" s="23">
        <f>SUM('CAL MO'!$B110:C110)</f>
        <v>0</v>
      </c>
      <c r="D110" s="23">
        <f>SUM('CAL MO'!$B110:D110)</f>
        <v>0</v>
      </c>
      <c r="E110" s="23">
        <f>SUM('CAL MO'!$B110:E110)</f>
        <v>0</v>
      </c>
      <c r="F110" s="23">
        <f>SUM('CAL MO'!$B110:F110)</f>
        <v>0</v>
      </c>
      <c r="G110" s="23">
        <f>SUM('CAL MO'!$B110:G110)</f>
        <v>0</v>
      </c>
      <c r="H110" s="23">
        <f>SUM('CAL MO'!$B110:H110)</f>
        <v>0</v>
      </c>
      <c r="I110" s="23">
        <f>SUM('CAL MO'!$B110:I110)</f>
        <v>0</v>
      </c>
      <c r="J110" s="23">
        <f>SUM('CAL MO'!$B110:J110)</f>
        <v>0</v>
      </c>
      <c r="K110" s="23">
        <f>SUM('CAL MO'!$B110:K110)</f>
        <v>0</v>
      </c>
      <c r="L110" s="23">
        <f>SUM('CAL MO'!$B110:L110)</f>
        <v>0</v>
      </c>
      <c r="M110" s="23">
        <f>SUM('CAL MO'!$B110:M110)</f>
        <v>0</v>
      </c>
    </row>
    <row r="111" spans="1:13" x14ac:dyDescent="0.2">
      <c r="A111" s="18"/>
    </row>
    <row r="112" spans="1:13" x14ac:dyDescent="0.2">
      <c r="A112" s="19" t="s">
        <v>28</v>
      </c>
      <c r="B112" s="27">
        <f>SUM(B84:B111)</f>
        <v>104015</v>
      </c>
      <c r="C112" s="27">
        <f t="shared" ref="C112:M112" si="5">SUM(C84:C111)</f>
        <v>208030</v>
      </c>
      <c r="D112" s="27">
        <f t="shared" si="5"/>
        <v>327045</v>
      </c>
      <c r="E112" s="27">
        <f t="shared" si="5"/>
        <v>436810</v>
      </c>
      <c r="F112" s="27">
        <f t="shared" si="5"/>
        <v>607558</v>
      </c>
      <c r="G112" s="27">
        <f t="shared" si="5"/>
        <v>764012</v>
      </c>
      <c r="H112" s="27">
        <f t="shared" si="5"/>
        <v>920466</v>
      </c>
      <c r="I112" s="27">
        <f t="shared" si="5"/>
        <v>1076920</v>
      </c>
      <c r="J112" s="27">
        <f t="shared" si="5"/>
        <v>1233374</v>
      </c>
      <c r="K112" s="27">
        <f t="shared" si="5"/>
        <v>1373095</v>
      </c>
      <c r="L112" s="27">
        <f t="shared" si="5"/>
        <v>1477816</v>
      </c>
      <c r="M112" s="27">
        <f t="shared" si="5"/>
        <v>1582995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'CAL MO'!B114</f>
        <v>16666.666666666668</v>
      </c>
      <c r="C114" s="25">
        <f>'CAL MO'!C114+B114</f>
        <v>33333.333333333336</v>
      </c>
      <c r="D114" s="25">
        <f>'CAL MO'!D114+C114</f>
        <v>50000</v>
      </c>
      <c r="E114" s="25">
        <f>'CAL MO'!E114+D114</f>
        <v>66666.666666666672</v>
      </c>
      <c r="F114" s="25">
        <f>'CAL MO'!F114+E114</f>
        <v>83333.333333333343</v>
      </c>
      <c r="G114" s="25">
        <f>'CAL MO'!G114+F114</f>
        <v>100500.33333333334</v>
      </c>
      <c r="H114" s="25">
        <f>'CAL MO'!H114+G114</f>
        <v>117667.33333333334</v>
      </c>
      <c r="I114" s="25">
        <f>'CAL MO'!I114+H114</f>
        <v>134834.33333333334</v>
      </c>
      <c r="J114" s="25">
        <f>'CAL MO'!J114+I114</f>
        <v>152001.33333333334</v>
      </c>
      <c r="K114" s="25">
        <f>'CAL MO'!K114+J114</f>
        <v>169168.33333333334</v>
      </c>
      <c r="L114" s="25">
        <f>'CAL MO'!L114+K114</f>
        <v>186335.33333333334</v>
      </c>
      <c r="M114" s="25">
        <f>'CAL MO'!M114+L114</f>
        <v>203502.33333333334</v>
      </c>
    </row>
    <row r="115" spans="1:13" x14ac:dyDescent="0.2">
      <c r="A115" s="17"/>
    </row>
    <row r="116" spans="1:13" x14ac:dyDescent="0.2">
      <c r="A116" s="17" t="s">
        <v>30</v>
      </c>
      <c r="B116" s="25">
        <f>SUM('CAL MO'!$B116:B116)</f>
        <v>50000</v>
      </c>
      <c r="C116" s="25">
        <f>SUM('CAL MO'!$B116:C116)</f>
        <v>100000</v>
      </c>
      <c r="D116" s="25">
        <f>SUM('CAL MO'!$B116:D116)</f>
        <v>150000</v>
      </c>
      <c r="E116" s="25">
        <f>SUM('CAL MO'!$B116:E116)</f>
        <v>200000</v>
      </c>
      <c r="F116" s="25">
        <f>SUM('CAL MO'!$B116:F116)</f>
        <v>250000</v>
      </c>
      <c r="G116" s="25">
        <f>SUM('CAL MO'!$B116:G116)</f>
        <v>300000</v>
      </c>
      <c r="H116" s="25">
        <f>SUM('CAL MO'!$B116:H116)</f>
        <v>350000</v>
      </c>
      <c r="I116" s="25">
        <f>SUM('CAL MO'!$B116:I116)</f>
        <v>400000</v>
      </c>
      <c r="J116" s="25">
        <f>SUM('CAL MO'!$B116:J116)</f>
        <v>450000</v>
      </c>
      <c r="K116" s="25">
        <f>SUM('CAL MO'!$B116:K116)</f>
        <v>500000</v>
      </c>
      <c r="L116" s="25">
        <f>SUM('CAL MO'!$B116:L116)</f>
        <v>550000</v>
      </c>
      <c r="M116" s="25">
        <f>SUM('CAL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SUM(B112:B117)</f>
        <v>170681.66666666669</v>
      </c>
      <c r="C118" s="24">
        <f t="shared" ref="C118:M118" si="6">SUM(C112:C117)</f>
        <v>341363.33333333337</v>
      </c>
      <c r="D118" s="24">
        <f t="shared" si="6"/>
        <v>527045</v>
      </c>
      <c r="E118" s="24">
        <f t="shared" si="6"/>
        <v>703476.66666666674</v>
      </c>
      <c r="F118" s="24">
        <f t="shared" si="6"/>
        <v>940891.33333333337</v>
      </c>
      <c r="G118" s="24">
        <f t="shared" si="6"/>
        <v>1164512.3333333335</v>
      </c>
      <c r="H118" s="24">
        <f t="shared" si="6"/>
        <v>1388133.3333333335</v>
      </c>
      <c r="I118" s="24">
        <f t="shared" si="6"/>
        <v>1611754.3333333333</v>
      </c>
      <c r="J118" s="24">
        <f t="shared" si="6"/>
        <v>1835375.3333333333</v>
      </c>
      <c r="K118" s="24">
        <f t="shared" si="6"/>
        <v>2042263.3333333333</v>
      </c>
      <c r="L118" s="24">
        <f t="shared" si="6"/>
        <v>2214151.333333333</v>
      </c>
      <c r="M118" s="24">
        <f t="shared" si="6"/>
        <v>2386497.333333333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SUM('CAL MO'!$B121:B121)</f>
        <v>21313.333333333332</v>
      </c>
      <c r="C121" s="23">
        <f>SUM('CAL MO'!$B121:C121)</f>
        <v>42626.666666666664</v>
      </c>
      <c r="D121" s="23">
        <f>SUM('CAL MO'!$B121:D121)</f>
        <v>63940</v>
      </c>
      <c r="E121" s="23">
        <f>SUM('CAL MO'!$B121:E121)</f>
        <v>85253.333333333328</v>
      </c>
      <c r="F121" s="23">
        <f>SUM('CAL MO'!$B121:F121)</f>
        <v>106566.66666666666</v>
      </c>
      <c r="G121" s="23">
        <f>SUM('CAL MO'!$B121:G121)</f>
        <v>128519.41666666666</v>
      </c>
      <c r="H121" s="23">
        <f>SUM('CAL MO'!$B121:H121)</f>
        <v>150472.16666666666</v>
      </c>
      <c r="I121" s="23">
        <f>SUM('CAL MO'!$B121:I121)</f>
        <v>172424.91666666666</v>
      </c>
      <c r="J121" s="23">
        <f>SUM('CAL MO'!$B121:J121)</f>
        <v>194377.66666666666</v>
      </c>
      <c r="K121" s="23">
        <f>SUM('CAL MO'!$B121:K121)</f>
        <v>216330.41666666666</v>
      </c>
      <c r="L121" s="23">
        <f>SUM('CAL MO'!$B121:L121)</f>
        <v>238283.16666666666</v>
      </c>
      <c r="M121" s="23">
        <f>SUM('CAL MO'!$B121:M121)</f>
        <v>260235.91666666666</v>
      </c>
    </row>
    <row r="122" spans="1:13" x14ac:dyDescent="0.2">
      <c r="A122" s="3" t="s">
        <v>1</v>
      </c>
      <c r="B122" s="23">
        <f>SUM('CAL MO'!$B122:B122)</f>
        <v>0</v>
      </c>
      <c r="C122" s="23">
        <f>SUM('CAL MO'!$B122:C122)</f>
        <v>0</v>
      </c>
      <c r="D122" s="23">
        <f>SUM('CAL MO'!$B122:D122)</f>
        <v>0</v>
      </c>
      <c r="E122" s="23">
        <f>SUM('CAL MO'!$B122:E122)</f>
        <v>0</v>
      </c>
      <c r="F122" s="23">
        <f>SUM('CAL MO'!$B122:F122)</f>
        <v>0</v>
      </c>
      <c r="G122" s="23">
        <f>SUM('CAL MO'!$B122:G122)</f>
        <v>44942.166666666664</v>
      </c>
      <c r="H122" s="23">
        <f>SUM('CAL MO'!$B122:H122)</f>
        <v>89884.333333333328</v>
      </c>
      <c r="I122" s="23">
        <f>SUM('CAL MO'!$B122:I122)</f>
        <v>134826.5</v>
      </c>
      <c r="J122" s="23">
        <f>SUM('CAL MO'!$B122:J122)</f>
        <v>179768.66666666666</v>
      </c>
      <c r="K122" s="23">
        <f>SUM('CAL MO'!$B122:K122)</f>
        <v>224710.83333333331</v>
      </c>
      <c r="L122" s="23">
        <f>SUM('CAL MO'!$B122:L122)</f>
        <v>269653</v>
      </c>
      <c r="M122" s="23">
        <f>SUM('CAL MO'!$B122:M122)</f>
        <v>314595.16666666669</v>
      </c>
    </row>
    <row r="123" spans="1:13" x14ac:dyDescent="0.2">
      <c r="A123" s="3" t="s">
        <v>3</v>
      </c>
      <c r="B123" s="23">
        <f>SUM('CAL MO'!$B123:B123)</f>
        <v>8333.3333333333339</v>
      </c>
      <c r="C123" s="23">
        <f>SUM('CAL MO'!$B123:C123)</f>
        <v>16666.666666666668</v>
      </c>
      <c r="D123" s="23">
        <f>SUM('CAL MO'!$B123:D123)</f>
        <v>25000</v>
      </c>
      <c r="E123" s="23">
        <f>SUM('CAL MO'!$B123:E123)</f>
        <v>33333.333333333336</v>
      </c>
      <c r="F123" s="23">
        <f>SUM('CAL MO'!$B123:F123)</f>
        <v>41666.666666666672</v>
      </c>
      <c r="G123" s="23">
        <f>SUM('CAL MO'!$B123:G123)</f>
        <v>50250.000000000007</v>
      </c>
      <c r="H123" s="23">
        <f>SUM('CAL MO'!$B123:H123)</f>
        <v>58833.333333333343</v>
      </c>
      <c r="I123" s="23">
        <f>SUM('CAL MO'!$B123:I123)</f>
        <v>67416.666666666672</v>
      </c>
      <c r="J123" s="23">
        <f>SUM('CAL MO'!$B123:J123)</f>
        <v>76000</v>
      </c>
      <c r="K123" s="23">
        <f>SUM('CAL MO'!$B123:K123)</f>
        <v>84583.333333333328</v>
      </c>
      <c r="L123" s="23">
        <f>SUM('CAL MO'!$B123:L123)</f>
        <v>93166.666666666657</v>
      </c>
      <c r="M123" s="23">
        <f>SUM('CAL MO'!$B123:M123)</f>
        <v>101749.99999999999</v>
      </c>
    </row>
    <row r="124" spans="1:13" x14ac:dyDescent="0.2">
      <c r="A124" s="3" t="s">
        <v>4</v>
      </c>
      <c r="B124" s="23">
        <f>SUM('CAL MO'!$B124:B124)</f>
        <v>2500</v>
      </c>
      <c r="C124" s="23">
        <f>SUM('CAL MO'!$B124:C124)</f>
        <v>5000</v>
      </c>
      <c r="D124" s="23">
        <f>SUM('CAL MO'!$B124:D124)</f>
        <v>7500</v>
      </c>
      <c r="E124" s="23">
        <f>SUM('CAL MO'!$B124:E124)</f>
        <v>10000</v>
      </c>
      <c r="F124" s="23">
        <f>SUM('CAL MO'!$B124:F124)</f>
        <v>12500</v>
      </c>
      <c r="G124" s="23">
        <f>SUM('CAL MO'!$B124:G124)</f>
        <v>15075</v>
      </c>
      <c r="H124" s="23">
        <f>SUM('CAL MO'!$B124:H124)</f>
        <v>17650</v>
      </c>
      <c r="I124" s="23">
        <f>SUM('CAL MO'!$B124:I124)</f>
        <v>20225</v>
      </c>
      <c r="J124" s="23">
        <f>SUM('CAL MO'!$B124:J124)</f>
        <v>22800</v>
      </c>
      <c r="K124" s="23">
        <f>SUM('CAL MO'!$B124:K124)</f>
        <v>25375</v>
      </c>
      <c r="L124" s="23">
        <f>SUM('CAL MO'!$B124:L124)</f>
        <v>27950</v>
      </c>
      <c r="M124" s="23">
        <f>SUM('CAL MO'!$B124:M124)</f>
        <v>30525</v>
      </c>
    </row>
    <row r="125" spans="1:13" x14ac:dyDescent="0.2">
      <c r="A125" s="3" t="s">
        <v>5</v>
      </c>
      <c r="B125" s="23">
        <f>SUM('CAL MO'!$B125:B125)</f>
        <v>6250</v>
      </c>
      <c r="C125" s="23">
        <f>SUM('CAL MO'!$B125:C125)</f>
        <v>12500</v>
      </c>
      <c r="D125" s="23">
        <f>SUM('CAL MO'!$B125:D125)</f>
        <v>18750</v>
      </c>
      <c r="E125" s="23">
        <f>SUM('CAL MO'!$B125:E125)</f>
        <v>25000</v>
      </c>
      <c r="F125" s="23">
        <f>SUM('CAL MO'!$B125:F125)</f>
        <v>31250</v>
      </c>
      <c r="G125" s="23">
        <f>SUM('CAL MO'!$B125:G125)</f>
        <v>37750</v>
      </c>
      <c r="H125" s="23">
        <f>SUM('CAL MO'!$B125:H125)</f>
        <v>44250</v>
      </c>
      <c r="I125" s="23">
        <f>SUM('CAL MO'!$B125:I125)</f>
        <v>50750</v>
      </c>
      <c r="J125" s="23">
        <f>SUM('CAL MO'!$B125:J125)</f>
        <v>57250</v>
      </c>
      <c r="K125" s="23">
        <f>SUM('CAL MO'!$B125:K125)</f>
        <v>63750</v>
      </c>
      <c r="L125" s="23">
        <f>SUM('CAL MO'!$B125:L125)</f>
        <v>70250</v>
      </c>
      <c r="M125" s="23">
        <f>SUM('CAL MO'!$B125:M125)</f>
        <v>76621</v>
      </c>
    </row>
    <row r="126" spans="1:13" ht="13.5" customHeight="1" x14ac:dyDescent="0.2">
      <c r="A126" s="3" t="s">
        <v>14</v>
      </c>
      <c r="B126" s="23">
        <f>SUM('CAL MO'!$B126:B126)</f>
        <v>0</v>
      </c>
      <c r="C126" s="23">
        <f>SUM('CAL MO'!$B126:C126)</f>
        <v>0</v>
      </c>
      <c r="D126" s="23">
        <f>SUM('CAL MO'!$B126:D126)</f>
        <v>0</v>
      </c>
      <c r="E126" s="23">
        <f>SUM('CAL MO'!$B126:E126)</f>
        <v>0</v>
      </c>
      <c r="F126" s="23">
        <f>SUM('CAL MO'!$B126:F126)</f>
        <v>0</v>
      </c>
      <c r="G126" s="23">
        <f>SUM('CAL MO'!$B126:G126)</f>
        <v>0</v>
      </c>
      <c r="H126" s="23">
        <f>SUM('CAL MO'!$B126:H126)</f>
        <v>0</v>
      </c>
      <c r="I126" s="23">
        <f>SUM('CAL MO'!$B126:I126)</f>
        <v>0</v>
      </c>
      <c r="J126" s="23">
        <f>SUM('CAL MO'!$B126:J126)</f>
        <v>0</v>
      </c>
      <c r="K126" s="23">
        <f>SUM('CAL MO'!$B126:K126)</f>
        <v>0</v>
      </c>
      <c r="L126" s="23">
        <f>SUM('CAL MO'!$B126:L126)</f>
        <v>0</v>
      </c>
      <c r="M126" s="23">
        <f>SUM('CAL MO'!$B126:M126)</f>
        <v>0</v>
      </c>
    </row>
    <row r="127" spans="1:13" x14ac:dyDescent="0.2">
      <c r="A127" s="3"/>
    </row>
    <row r="128" spans="1:13" ht="13.5" thickBot="1" x14ac:dyDescent="0.25">
      <c r="A128" s="4" t="s">
        <v>15</v>
      </c>
      <c r="B128" s="28">
        <f>SUM(B121:B127)</f>
        <v>38396.666666666664</v>
      </c>
      <c r="C128" s="28">
        <f t="shared" ref="C128:M128" si="7">SUM(C121:C127)</f>
        <v>76793.333333333328</v>
      </c>
      <c r="D128" s="28">
        <f t="shared" si="7"/>
        <v>115190</v>
      </c>
      <c r="E128" s="28">
        <f t="shared" si="7"/>
        <v>153586.66666666666</v>
      </c>
      <c r="F128" s="28">
        <f t="shared" si="7"/>
        <v>191983.33333333331</v>
      </c>
      <c r="G128" s="28">
        <f t="shared" si="7"/>
        <v>276536.58333333331</v>
      </c>
      <c r="H128" s="28">
        <f t="shared" si="7"/>
        <v>361089.83333333337</v>
      </c>
      <c r="I128" s="28">
        <f t="shared" si="7"/>
        <v>445643.08333333331</v>
      </c>
      <c r="J128" s="28">
        <f t="shared" si="7"/>
        <v>530196.33333333326</v>
      </c>
      <c r="K128" s="28">
        <f t="shared" si="7"/>
        <v>614749.58333333337</v>
      </c>
      <c r="L128" s="28">
        <f t="shared" si="7"/>
        <v>699302.83333333326</v>
      </c>
      <c r="M128" s="28">
        <f t="shared" si="7"/>
        <v>783727.08333333337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SUM('CAL MO'!$B131:B131)</f>
        <v>0</v>
      </c>
      <c r="C131" s="23">
        <f>SUM('CAL MO'!$B131:C131)</f>
        <v>0</v>
      </c>
      <c r="D131" s="23">
        <f>SUM('CAL MO'!$B131:D131)</f>
        <v>0</v>
      </c>
      <c r="E131" s="23">
        <f>SUM('CAL MO'!$B131:E131)</f>
        <v>0</v>
      </c>
      <c r="F131" s="23">
        <f>SUM('CAL MO'!$B131:F131)</f>
        <v>0</v>
      </c>
      <c r="G131" s="23">
        <f>SUM('CAL MO'!$B131:G131)</f>
        <v>0</v>
      </c>
      <c r="H131" s="23">
        <f>SUM('CAL MO'!$B131:H131)</f>
        <v>0</v>
      </c>
      <c r="I131" s="23">
        <f>SUM('CAL MO'!$B131:I131)</f>
        <v>0</v>
      </c>
      <c r="J131" s="23">
        <f>SUM('CAL MO'!$B131:J131)</f>
        <v>0</v>
      </c>
      <c r="K131" s="23">
        <f>SUM('CAL MO'!$B131:K131)</f>
        <v>0</v>
      </c>
      <c r="L131" s="23">
        <f>SUM('CAL MO'!$B131:L131)</f>
        <v>0</v>
      </c>
      <c r="M131" s="23">
        <f>SUM('CAL MO'!$B131:M131)</f>
        <v>0</v>
      </c>
    </row>
    <row r="132" spans="1:13" x14ac:dyDescent="0.2">
      <c r="A132" s="3" t="s">
        <v>7</v>
      </c>
      <c r="B132" s="23">
        <f>SUM('CAL MO'!$B132:B132)</f>
        <v>668000</v>
      </c>
      <c r="C132" s="23">
        <f>SUM('CAL MO'!$B132:C132)</f>
        <v>1341000</v>
      </c>
      <c r="D132" s="23">
        <f>SUM('CAL MO'!$B132:D132)</f>
        <v>2026000</v>
      </c>
      <c r="E132" s="23">
        <f>SUM('CAL MO'!$B132:E132)</f>
        <v>2707000</v>
      </c>
      <c r="F132" s="23">
        <f>SUM('CAL MO'!$B132:F132)</f>
        <v>3390000</v>
      </c>
      <c r="G132" s="23">
        <f>SUM('CAL MO'!$B132:G132)</f>
        <v>4068000</v>
      </c>
      <c r="H132" s="23">
        <f>SUM('CAL MO'!$B132:H132)</f>
        <v>4746000</v>
      </c>
      <c r="I132" s="23">
        <f>SUM('CAL MO'!$B132:I132)</f>
        <v>5427000</v>
      </c>
      <c r="J132" s="23">
        <f>SUM('CAL MO'!$B132:J132)</f>
        <v>6107000</v>
      </c>
      <c r="K132" s="23">
        <f>SUM('CAL MO'!$B132:K132)</f>
        <v>6791000</v>
      </c>
      <c r="L132" s="23">
        <f>SUM('CAL MO'!$B132:L132)</f>
        <v>7480000</v>
      </c>
      <c r="M132" s="23">
        <f>SUM('CAL MO'!$B132:M132)</f>
        <v>8172000</v>
      </c>
    </row>
    <row r="133" spans="1:13" x14ac:dyDescent="0.2">
      <c r="A133" s="3" t="s">
        <v>8</v>
      </c>
      <c r="B133" s="23">
        <f>SUM('CAL MO'!$B133:B133)</f>
        <v>382000</v>
      </c>
      <c r="C133" s="23">
        <f>SUM('CAL MO'!$B133:C133)</f>
        <v>764000</v>
      </c>
      <c r="D133" s="23">
        <f>SUM('CAL MO'!$B133:D133)</f>
        <v>1146000</v>
      </c>
      <c r="E133" s="23">
        <f>SUM('CAL MO'!$B133:E133)</f>
        <v>1528000</v>
      </c>
      <c r="F133" s="23">
        <f>SUM('CAL MO'!$B133:F133)</f>
        <v>1910000</v>
      </c>
      <c r="G133" s="23">
        <f>SUM('CAL MO'!$B133:G133)</f>
        <v>2292000</v>
      </c>
      <c r="H133" s="23">
        <f>SUM('CAL MO'!$B133:H133)</f>
        <v>2674000</v>
      </c>
      <c r="I133" s="23">
        <f>SUM('CAL MO'!$B133:I133)</f>
        <v>3056000</v>
      </c>
      <c r="J133" s="23">
        <f>SUM('CAL MO'!$B133:J133)</f>
        <v>3438000</v>
      </c>
      <c r="K133" s="23">
        <f>SUM('CAL MO'!$B133:K133)</f>
        <v>3820000</v>
      </c>
      <c r="L133" s="23">
        <f>SUM('CAL MO'!$B133:L133)</f>
        <v>4202000</v>
      </c>
      <c r="M133" s="23">
        <f>SUM('CAL MO'!$B133:M133)</f>
        <v>4582000</v>
      </c>
    </row>
    <row r="134" spans="1:13" x14ac:dyDescent="0.2">
      <c r="A134" s="3"/>
    </row>
    <row r="135" spans="1:13" ht="13.5" thickBot="1" x14ac:dyDescent="0.25">
      <c r="A135" s="4" t="s">
        <v>17</v>
      </c>
      <c r="B135" s="28">
        <f>SUM(B131:B134)</f>
        <v>1050000</v>
      </c>
      <c r="C135" s="28">
        <f t="shared" ref="C135:M135" si="8">SUM(C131:C134)</f>
        <v>2105000</v>
      </c>
      <c r="D135" s="28">
        <f t="shared" si="8"/>
        <v>3172000</v>
      </c>
      <c r="E135" s="28">
        <f t="shared" si="8"/>
        <v>4235000</v>
      </c>
      <c r="F135" s="28">
        <f t="shared" si="8"/>
        <v>5300000</v>
      </c>
      <c r="G135" s="28">
        <f t="shared" si="8"/>
        <v>6360000</v>
      </c>
      <c r="H135" s="28">
        <f t="shared" si="8"/>
        <v>7420000</v>
      </c>
      <c r="I135" s="28">
        <f t="shared" si="8"/>
        <v>8483000</v>
      </c>
      <c r="J135" s="28">
        <f t="shared" si="8"/>
        <v>9545000</v>
      </c>
      <c r="K135" s="28">
        <f t="shared" si="8"/>
        <v>10611000</v>
      </c>
      <c r="L135" s="28">
        <f t="shared" si="8"/>
        <v>11682000</v>
      </c>
      <c r="M135" s="28">
        <f t="shared" si="8"/>
        <v>12754000</v>
      </c>
    </row>
    <row r="137" spans="1:13" ht="13.5" thickBot="1" x14ac:dyDescent="0.25">
      <c r="A137" s="1" t="s">
        <v>13</v>
      </c>
      <c r="B137" s="29">
        <f t="shared" ref="B137:M137" si="9">B118+B128+B135</f>
        <v>1259078.3333333333</v>
      </c>
      <c r="C137" s="29">
        <f t="shared" si="9"/>
        <v>2523156.6666666665</v>
      </c>
      <c r="D137" s="29">
        <f t="shared" si="9"/>
        <v>3814235</v>
      </c>
      <c r="E137" s="29">
        <f t="shared" si="9"/>
        <v>5092063.333333333</v>
      </c>
      <c r="F137" s="29">
        <f t="shared" si="9"/>
        <v>6432874.666666667</v>
      </c>
      <c r="G137" s="29">
        <f t="shared" si="9"/>
        <v>7801048.916666667</v>
      </c>
      <c r="H137" s="29">
        <f t="shared" si="9"/>
        <v>9169223.1666666679</v>
      </c>
      <c r="I137" s="29">
        <f t="shared" si="9"/>
        <v>10540397.416666666</v>
      </c>
      <c r="J137" s="29">
        <f t="shared" si="9"/>
        <v>11910571.666666666</v>
      </c>
      <c r="K137" s="29">
        <f t="shared" si="9"/>
        <v>13268012.916666666</v>
      </c>
      <c r="L137" s="29">
        <f t="shared" si="9"/>
        <v>14595454.166666666</v>
      </c>
      <c r="M137" s="29">
        <f t="shared" si="9"/>
        <v>15924224.416666666</v>
      </c>
    </row>
    <row r="138" spans="1:13" ht="13.5" thickTop="1" x14ac:dyDescent="0.2"/>
    <row r="141" spans="1:13" ht="15.75" x14ac:dyDescent="0.25">
      <c r="A141" s="43" t="str">
        <f>+A1</f>
        <v>GENCO - Caledonia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75" x14ac:dyDescent="0.25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75" x14ac:dyDescent="0.25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75" x14ac:dyDescent="0.25">
      <c r="A144" s="45">
        <f>+A4</f>
        <v>36585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75" x14ac:dyDescent="0.25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36697.489055787039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10">+B80-B10</f>
        <v>0</v>
      </c>
      <c r="C150" s="24">
        <f t="shared" si="10"/>
        <v>0</v>
      </c>
      <c r="D150" s="24">
        <f t="shared" si="10"/>
        <v>0</v>
      </c>
      <c r="E150" s="24">
        <f t="shared" si="10"/>
        <v>0</v>
      </c>
      <c r="F150" s="24">
        <f t="shared" si="10"/>
        <v>0</v>
      </c>
      <c r="G150" s="24">
        <f t="shared" si="10"/>
        <v>0</v>
      </c>
      <c r="H150" s="24">
        <f t="shared" si="10"/>
        <v>0</v>
      </c>
      <c r="I150" s="24">
        <f t="shared" si="10"/>
        <v>0</v>
      </c>
      <c r="J150" s="24">
        <f t="shared" si="10"/>
        <v>0</v>
      </c>
      <c r="K150" s="24">
        <f t="shared" si="10"/>
        <v>0</v>
      </c>
      <c r="L150" s="24">
        <f t="shared" si="10"/>
        <v>0</v>
      </c>
      <c r="M150" s="24">
        <f t="shared" si="10"/>
        <v>0</v>
      </c>
    </row>
    <row r="152" spans="1:13" x14ac:dyDescent="0.2">
      <c r="A152" s="1" t="s">
        <v>10</v>
      </c>
    </row>
    <row r="153" spans="1:13" x14ac:dyDescent="0.2">
      <c r="A153" s="17" t="s">
        <v>49</v>
      </c>
    </row>
    <row r="154" spans="1:13" x14ac:dyDescent="0.2">
      <c r="A154" s="18" t="s">
        <v>87</v>
      </c>
      <c r="B154" s="23">
        <f t="shared" ref="B154:B178" si="11">+B84-B14</f>
        <v>0</v>
      </c>
      <c r="C154" s="23">
        <f t="shared" ref="C154:M154" si="12">+C84-C14</f>
        <v>0</v>
      </c>
      <c r="D154" s="23">
        <f t="shared" si="12"/>
        <v>0</v>
      </c>
      <c r="E154" s="23">
        <f t="shared" si="12"/>
        <v>0</v>
      </c>
      <c r="F154" s="23">
        <f t="shared" si="12"/>
        <v>0</v>
      </c>
      <c r="G154" s="23">
        <f t="shared" si="12"/>
        <v>0</v>
      </c>
      <c r="H154" s="23">
        <f t="shared" si="12"/>
        <v>0</v>
      </c>
      <c r="I154" s="23">
        <f t="shared" si="12"/>
        <v>0</v>
      </c>
      <c r="J154" s="23">
        <f t="shared" si="12"/>
        <v>0</v>
      </c>
      <c r="K154" s="23">
        <f t="shared" si="12"/>
        <v>0</v>
      </c>
      <c r="L154" s="23">
        <f t="shared" si="12"/>
        <v>0</v>
      </c>
      <c r="M154" s="23">
        <f t="shared" si="12"/>
        <v>0</v>
      </c>
    </row>
    <row r="155" spans="1:13" x14ac:dyDescent="0.2">
      <c r="A155" s="18" t="s">
        <v>63</v>
      </c>
      <c r="B155" s="23">
        <f t="shared" si="11"/>
        <v>543</v>
      </c>
      <c r="C155" s="23">
        <f t="shared" ref="C155:M155" si="13">+C85-C15</f>
        <v>1086</v>
      </c>
      <c r="D155" s="23">
        <f t="shared" si="13"/>
        <v>1629</v>
      </c>
      <c r="E155" s="23">
        <f t="shared" si="13"/>
        <v>-4004.04</v>
      </c>
      <c r="F155" s="23">
        <f t="shared" si="13"/>
        <v>-4004.04</v>
      </c>
      <c r="G155" s="23">
        <f t="shared" si="13"/>
        <v>-4004.0400000000009</v>
      </c>
      <c r="H155" s="23">
        <f t="shared" si="13"/>
        <v>-4004.0400000000009</v>
      </c>
      <c r="I155" s="23">
        <f t="shared" si="13"/>
        <v>-4004.0400000000009</v>
      </c>
      <c r="J155" s="23">
        <f t="shared" si="13"/>
        <v>-4004.0400000000009</v>
      </c>
      <c r="K155" s="23">
        <f t="shared" si="13"/>
        <v>-4004.0400000000009</v>
      </c>
      <c r="L155" s="23">
        <f t="shared" si="13"/>
        <v>-4004.0400000000009</v>
      </c>
      <c r="M155" s="23">
        <f t="shared" si="13"/>
        <v>-4004.0400000000009</v>
      </c>
    </row>
    <row r="156" spans="1:13" x14ac:dyDescent="0.2">
      <c r="A156" s="18" t="s">
        <v>88</v>
      </c>
      <c r="B156" s="23">
        <f t="shared" si="11"/>
        <v>0</v>
      </c>
      <c r="C156" s="23">
        <f t="shared" ref="C156:M156" si="14">+C86-C16</f>
        <v>0</v>
      </c>
      <c r="D156" s="23">
        <f t="shared" si="14"/>
        <v>0</v>
      </c>
      <c r="E156" s="23">
        <f t="shared" si="14"/>
        <v>0</v>
      </c>
      <c r="F156" s="23">
        <f t="shared" si="14"/>
        <v>0</v>
      </c>
      <c r="G156" s="23">
        <f t="shared" si="14"/>
        <v>0</v>
      </c>
      <c r="H156" s="23">
        <f t="shared" si="14"/>
        <v>0</v>
      </c>
      <c r="I156" s="23">
        <f t="shared" si="14"/>
        <v>0</v>
      </c>
      <c r="J156" s="23">
        <f t="shared" si="14"/>
        <v>0</v>
      </c>
      <c r="K156" s="23">
        <f t="shared" si="14"/>
        <v>0</v>
      </c>
      <c r="L156" s="23">
        <f t="shared" si="14"/>
        <v>0</v>
      </c>
      <c r="M156" s="23">
        <f t="shared" si="14"/>
        <v>0</v>
      </c>
    </row>
    <row r="157" spans="1:13" x14ac:dyDescent="0.2">
      <c r="A157" s="18" t="s">
        <v>89</v>
      </c>
      <c r="B157" s="23">
        <f t="shared" si="11"/>
        <v>0</v>
      </c>
      <c r="C157" s="23">
        <f t="shared" ref="C157:M157" si="15">+C87-C17</f>
        <v>0</v>
      </c>
      <c r="D157" s="23">
        <f t="shared" si="15"/>
        <v>0</v>
      </c>
      <c r="E157" s="23">
        <f t="shared" si="15"/>
        <v>0</v>
      </c>
      <c r="F157" s="23">
        <f t="shared" si="15"/>
        <v>0</v>
      </c>
      <c r="G157" s="23">
        <f t="shared" si="15"/>
        <v>0</v>
      </c>
      <c r="H157" s="23">
        <f t="shared" si="15"/>
        <v>0</v>
      </c>
      <c r="I157" s="23">
        <f t="shared" si="15"/>
        <v>0</v>
      </c>
      <c r="J157" s="23">
        <f t="shared" si="15"/>
        <v>0</v>
      </c>
      <c r="K157" s="23">
        <f t="shared" si="15"/>
        <v>0</v>
      </c>
      <c r="L157" s="23">
        <f t="shared" si="15"/>
        <v>0</v>
      </c>
      <c r="M157" s="23">
        <f t="shared" si="15"/>
        <v>0</v>
      </c>
    </row>
    <row r="158" spans="1:13" x14ac:dyDescent="0.2">
      <c r="A158" s="18" t="s">
        <v>90</v>
      </c>
      <c r="B158" s="23">
        <f t="shared" si="11"/>
        <v>0</v>
      </c>
      <c r="C158" s="23">
        <f t="shared" ref="C158:M158" si="16">+C88-C18</f>
        <v>0</v>
      </c>
      <c r="D158" s="23">
        <f t="shared" si="16"/>
        <v>0</v>
      </c>
      <c r="E158" s="23">
        <f t="shared" si="16"/>
        <v>0</v>
      </c>
      <c r="F158" s="23">
        <f t="shared" si="16"/>
        <v>0</v>
      </c>
      <c r="G158" s="23">
        <f t="shared" si="16"/>
        <v>0</v>
      </c>
      <c r="H158" s="23">
        <f t="shared" si="16"/>
        <v>0</v>
      </c>
      <c r="I158" s="23">
        <f t="shared" si="16"/>
        <v>0</v>
      </c>
      <c r="J158" s="23">
        <f t="shared" si="16"/>
        <v>0</v>
      </c>
      <c r="K158" s="23">
        <f t="shared" si="16"/>
        <v>0</v>
      </c>
      <c r="L158" s="23">
        <f t="shared" si="16"/>
        <v>0</v>
      </c>
      <c r="M158" s="23">
        <f t="shared" si="16"/>
        <v>0</v>
      </c>
    </row>
    <row r="159" spans="1:13" x14ac:dyDescent="0.2">
      <c r="A159" s="18" t="s">
        <v>64</v>
      </c>
      <c r="B159" s="23">
        <f t="shared" si="11"/>
        <v>0</v>
      </c>
      <c r="C159" s="23">
        <f t="shared" ref="C159:M159" si="17">+C89-C19</f>
        <v>0</v>
      </c>
      <c r="D159" s="23">
        <f t="shared" si="17"/>
        <v>0</v>
      </c>
      <c r="E159" s="23">
        <f t="shared" si="17"/>
        <v>0</v>
      </c>
      <c r="F159" s="23">
        <f t="shared" si="17"/>
        <v>0</v>
      </c>
      <c r="G159" s="23">
        <f t="shared" si="17"/>
        <v>0</v>
      </c>
      <c r="H159" s="23">
        <f t="shared" si="17"/>
        <v>0</v>
      </c>
      <c r="I159" s="23">
        <f t="shared" si="17"/>
        <v>0</v>
      </c>
      <c r="J159" s="23">
        <f t="shared" si="17"/>
        <v>0</v>
      </c>
      <c r="K159" s="23">
        <f t="shared" si="17"/>
        <v>0</v>
      </c>
      <c r="L159" s="23">
        <f t="shared" si="17"/>
        <v>0</v>
      </c>
      <c r="M159" s="23">
        <f t="shared" si="17"/>
        <v>0</v>
      </c>
    </row>
    <row r="160" spans="1:13" x14ac:dyDescent="0.2">
      <c r="A160" s="18" t="s">
        <v>91</v>
      </c>
      <c r="B160" s="23">
        <f t="shared" si="11"/>
        <v>0</v>
      </c>
      <c r="C160" s="23">
        <f t="shared" ref="C160:M160" si="18">+C90-C20</f>
        <v>-1413</v>
      </c>
      <c r="D160" s="23">
        <f t="shared" si="18"/>
        <v>-1413</v>
      </c>
      <c r="E160" s="23">
        <f t="shared" si="18"/>
        <v>-1413</v>
      </c>
      <c r="F160" s="23">
        <f t="shared" si="18"/>
        <v>-1413</v>
      </c>
      <c r="G160" s="23">
        <f t="shared" si="18"/>
        <v>-1413</v>
      </c>
      <c r="H160" s="23">
        <f t="shared" si="18"/>
        <v>-1413</v>
      </c>
      <c r="I160" s="23">
        <f t="shared" si="18"/>
        <v>-1413</v>
      </c>
      <c r="J160" s="23">
        <f t="shared" si="18"/>
        <v>-1413</v>
      </c>
      <c r="K160" s="23">
        <f t="shared" si="18"/>
        <v>-1413</v>
      </c>
      <c r="L160" s="23">
        <f t="shared" si="18"/>
        <v>-1413</v>
      </c>
      <c r="M160" s="23">
        <f t="shared" si="18"/>
        <v>-1413</v>
      </c>
    </row>
    <row r="161" spans="1:13" x14ac:dyDescent="0.2">
      <c r="A161" s="18" t="s">
        <v>92</v>
      </c>
      <c r="B161" s="23">
        <f t="shared" si="11"/>
        <v>0</v>
      </c>
      <c r="C161" s="23">
        <f t="shared" ref="C161:M161" si="19">+C91-C21</f>
        <v>0</v>
      </c>
      <c r="D161" s="23">
        <f t="shared" si="19"/>
        <v>0</v>
      </c>
      <c r="E161" s="23">
        <f t="shared" si="19"/>
        <v>0</v>
      </c>
      <c r="F161" s="23">
        <f t="shared" si="19"/>
        <v>0</v>
      </c>
      <c r="G161" s="23">
        <f t="shared" si="19"/>
        <v>0</v>
      </c>
      <c r="H161" s="23">
        <f t="shared" si="19"/>
        <v>0</v>
      </c>
      <c r="I161" s="23">
        <f t="shared" si="19"/>
        <v>0</v>
      </c>
      <c r="J161" s="23">
        <f t="shared" si="19"/>
        <v>0</v>
      </c>
      <c r="K161" s="23">
        <f t="shared" si="19"/>
        <v>0</v>
      </c>
      <c r="L161" s="23">
        <f t="shared" si="19"/>
        <v>0</v>
      </c>
      <c r="M161" s="23">
        <f t="shared" si="19"/>
        <v>0</v>
      </c>
    </row>
    <row r="162" spans="1:13" x14ac:dyDescent="0.2">
      <c r="A162" s="18" t="s">
        <v>65</v>
      </c>
      <c r="B162" s="23">
        <f t="shared" si="11"/>
        <v>458</v>
      </c>
      <c r="C162" s="23">
        <f t="shared" ref="C162:M162" si="20">+C92-C22</f>
        <v>916</v>
      </c>
      <c r="D162" s="23">
        <f t="shared" si="20"/>
        <v>1231</v>
      </c>
      <c r="E162" s="23">
        <f t="shared" si="20"/>
        <v>1689</v>
      </c>
      <c r="F162" s="23">
        <f t="shared" si="20"/>
        <v>1689</v>
      </c>
      <c r="G162" s="23">
        <f t="shared" si="20"/>
        <v>1689</v>
      </c>
      <c r="H162" s="23">
        <f t="shared" si="20"/>
        <v>1689</v>
      </c>
      <c r="I162" s="23">
        <f t="shared" si="20"/>
        <v>1689</v>
      </c>
      <c r="J162" s="23">
        <f t="shared" si="20"/>
        <v>1689</v>
      </c>
      <c r="K162" s="23">
        <f t="shared" si="20"/>
        <v>1689</v>
      </c>
      <c r="L162" s="23">
        <f t="shared" si="20"/>
        <v>1689</v>
      </c>
      <c r="M162" s="23">
        <f t="shared" si="20"/>
        <v>1689</v>
      </c>
    </row>
    <row r="163" spans="1:13" x14ac:dyDescent="0.2">
      <c r="A163" s="18" t="s">
        <v>45</v>
      </c>
      <c r="B163" s="23">
        <f t="shared" si="11"/>
        <v>86</v>
      </c>
      <c r="C163" s="23">
        <f t="shared" ref="C163:M163" si="21">+C93-C23</f>
        <v>172</v>
      </c>
      <c r="D163" s="23">
        <f t="shared" si="21"/>
        <v>-967</v>
      </c>
      <c r="E163" s="23">
        <f t="shared" si="21"/>
        <v>4119</v>
      </c>
      <c r="F163" s="23">
        <f t="shared" si="21"/>
        <v>4119</v>
      </c>
      <c r="G163" s="23">
        <f t="shared" si="21"/>
        <v>4119</v>
      </c>
      <c r="H163" s="23">
        <f t="shared" si="21"/>
        <v>4119</v>
      </c>
      <c r="I163" s="23">
        <f t="shared" si="21"/>
        <v>4119</v>
      </c>
      <c r="J163" s="23">
        <f t="shared" si="21"/>
        <v>4119</v>
      </c>
      <c r="K163" s="23">
        <f t="shared" si="21"/>
        <v>4119</v>
      </c>
      <c r="L163" s="23">
        <f t="shared" si="21"/>
        <v>4119</v>
      </c>
      <c r="M163" s="23">
        <f t="shared" si="21"/>
        <v>4119</v>
      </c>
    </row>
    <row r="164" spans="1:13" x14ac:dyDescent="0.2">
      <c r="A164" s="18" t="s">
        <v>66</v>
      </c>
      <c r="B164" s="23">
        <f t="shared" si="11"/>
        <v>86</v>
      </c>
      <c r="C164" s="23">
        <f t="shared" ref="C164:M164" si="22">+C94-C24</f>
        <v>-630</v>
      </c>
      <c r="D164" s="23">
        <f t="shared" si="22"/>
        <v>-544</v>
      </c>
      <c r="E164" s="23">
        <f t="shared" si="22"/>
        <v>-458</v>
      </c>
      <c r="F164" s="23">
        <f t="shared" si="22"/>
        <v>-458</v>
      </c>
      <c r="G164" s="23">
        <f t="shared" si="22"/>
        <v>-458</v>
      </c>
      <c r="H164" s="23">
        <f t="shared" si="22"/>
        <v>-458</v>
      </c>
      <c r="I164" s="23">
        <f t="shared" si="22"/>
        <v>-458</v>
      </c>
      <c r="J164" s="23">
        <f t="shared" si="22"/>
        <v>-458</v>
      </c>
      <c r="K164" s="23">
        <f t="shared" si="22"/>
        <v>-458</v>
      </c>
      <c r="L164" s="23">
        <f t="shared" si="22"/>
        <v>-458</v>
      </c>
      <c r="M164" s="23">
        <f t="shared" si="22"/>
        <v>-458</v>
      </c>
    </row>
    <row r="165" spans="1:13" x14ac:dyDescent="0.2">
      <c r="A165" s="18" t="s">
        <v>67</v>
      </c>
      <c r="B165" s="23">
        <f t="shared" si="11"/>
        <v>286</v>
      </c>
      <c r="C165" s="23">
        <f t="shared" ref="C165:M165" si="23">+C95-C25</f>
        <v>572</v>
      </c>
      <c r="D165" s="23">
        <f t="shared" si="23"/>
        <v>858</v>
      </c>
      <c r="E165" s="23">
        <f t="shared" si="23"/>
        <v>1144</v>
      </c>
      <c r="F165" s="23">
        <f t="shared" si="23"/>
        <v>1144</v>
      </c>
      <c r="G165" s="23">
        <f t="shared" si="23"/>
        <v>1144</v>
      </c>
      <c r="H165" s="23">
        <f t="shared" si="23"/>
        <v>1144</v>
      </c>
      <c r="I165" s="23">
        <f t="shared" si="23"/>
        <v>1144</v>
      </c>
      <c r="J165" s="23">
        <f t="shared" si="23"/>
        <v>1144</v>
      </c>
      <c r="K165" s="23">
        <f t="shared" si="23"/>
        <v>1144</v>
      </c>
      <c r="L165" s="23">
        <f t="shared" si="23"/>
        <v>1144</v>
      </c>
      <c r="M165" s="23">
        <f t="shared" si="23"/>
        <v>1144</v>
      </c>
    </row>
    <row r="166" spans="1:13" x14ac:dyDescent="0.2">
      <c r="A166" s="18" t="s">
        <v>93</v>
      </c>
      <c r="B166" s="23">
        <f t="shared" si="11"/>
        <v>0</v>
      </c>
      <c r="C166" s="23">
        <f t="shared" ref="C166:M166" si="24">+C96-C26</f>
        <v>0</v>
      </c>
      <c r="D166" s="23">
        <f t="shared" si="24"/>
        <v>0</v>
      </c>
      <c r="E166" s="23">
        <f t="shared" si="24"/>
        <v>0</v>
      </c>
      <c r="F166" s="23">
        <f t="shared" si="24"/>
        <v>0</v>
      </c>
      <c r="G166" s="23">
        <f t="shared" si="24"/>
        <v>0</v>
      </c>
      <c r="H166" s="23">
        <f t="shared" si="24"/>
        <v>0</v>
      </c>
      <c r="I166" s="23">
        <f t="shared" si="24"/>
        <v>0</v>
      </c>
      <c r="J166" s="23">
        <f t="shared" si="24"/>
        <v>0</v>
      </c>
      <c r="K166" s="23">
        <f t="shared" si="24"/>
        <v>0</v>
      </c>
      <c r="L166" s="23">
        <f t="shared" si="24"/>
        <v>0</v>
      </c>
      <c r="M166" s="23">
        <f t="shared" si="24"/>
        <v>0</v>
      </c>
    </row>
    <row r="167" spans="1:13" x14ac:dyDescent="0.2">
      <c r="A167" s="18" t="s">
        <v>69</v>
      </c>
      <c r="B167" s="23">
        <f t="shared" si="11"/>
        <v>333</v>
      </c>
      <c r="C167" s="23">
        <f t="shared" ref="C167:M167" si="25">+C97-C27</f>
        <v>666</v>
      </c>
      <c r="D167" s="23">
        <f t="shared" si="25"/>
        <v>-7656</v>
      </c>
      <c r="E167" s="23">
        <f t="shared" si="25"/>
        <v>-7323</v>
      </c>
      <c r="F167" s="23">
        <f t="shared" si="25"/>
        <v>-7323</v>
      </c>
      <c r="G167" s="23">
        <f t="shared" si="25"/>
        <v>-7323</v>
      </c>
      <c r="H167" s="23">
        <f t="shared" si="25"/>
        <v>-7323</v>
      </c>
      <c r="I167" s="23">
        <f t="shared" si="25"/>
        <v>-7323</v>
      </c>
      <c r="J167" s="23">
        <f t="shared" si="25"/>
        <v>-7323</v>
      </c>
      <c r="K167" s="23">
        <f t="shared" si="25"/>
        <v>-7323</v>
      </c>
      <c r="L167" s="23">
        <f t="shared" si="25"/>
        <v>-7323</v>
      </c>
      <c r="M167" s="23">
        <f t="shared" si="25"/>
        <v>-7323</v>
      </c>
    </row>
    <row r="168" spans="1:13" x14ac:dyDescent="0.2">
      <c r="A168" s="18" t="s">
        <v>68</v>
      </c>
      <c r="B168" s="23">
        <f t="shared" si="11"/>
        <v>833</v>
      </c>
      <c r="C168" s="23">
        <f t="shared" ref="C168:M168" si="26">+C98-C28</f>
        <v>1666</v>
      </c>
      <c r="D168" s="23">
        <f t="shared" si="26"/>
        <v>12226</v>
      </c>
      <c r="E168" s="23">
        <f t="shared" si="26"/>
        <v>12329.67</v>
      </c>
      <c r="F168" s="23">
        <f t="shared" si="26"/>
        <v>12329.67</v>
      </c>
      <c r="G168" s="23">
        <f t="shared" si="26"/>
        <v>12329.67</v>
      </c>
      <c r="H168" s="23">
        <f t="shared" si="26"/>
        <v>12329.67</v>
      </c>
      <c r="I168" s="23">
        <f t="shared" si="26"/>
        <v>12329.67</v>
      </c>
      <c r="J168" s="23">
        <f t="shared" si="26"/>
        <v>12329.67</v>
      </c>
      <c r="K168" s="23">
        <f t="shared" si="26"/>
        <v>12329.67</v>
      </c>
      <c r="L168" s="23">
        <f t="shared" si="26"/>
        <v>12329.67</v>
      </c>
      <c r="M168" s="23">
        <f t="shared" si="26"/>
        <v>12329.67</v>
      </c>
    </row>
    <row r="169" spans="1:13" x14ac:dyDescent="0.2">
      <c r="A169" s="18" t="s">
        <v>94</v>
      </c>
      <c r="B169" s="23">
        <f t="shared" si="11"/>
        <v>0</v>
      </c>
      <c r="C169" s="23">
        <f t="shared" ref="C169:M169" si="27">+C99-C29</f>
        <v>-11</v>
      </c>
      <c r="D169" s="23">
        <f t="shared" si="27"/>
        <v>-11</v>
      </c>
      <c r="E169" s="23">
        <f t="shared" si="27"/>
        <v>-11</v>
      </c>
      <c r="F169" s="23">
        <f t="shared" si="27"/>
        <v>-11</v>
      </c>
      <c r="G169" s="23">
        <f t="shared" si="27"/>
        <v>-11</v>
      </c>
      <c r="H169" s="23">
        <f t="shared" si="27"/>
        <v>-11</v>
      </c>
      <c r="I169" s="23">
        <f t="shared" si="27"/>
        <v>-11</v>
      </c>
      <c r="J169" s="23">
        <f t="shared" si="27"/>
        <v>-11</v>
      </c>
      <c r="K169" s="23">
        <f t="shared" si="27"/>
        <v>-11</v>
      </c>
      <c r="L169" s="23">
        <f t="shared" si="27"/>
        <v>-11</v>
      </c>
      <c r="M169" s="23">
        <f t="shared" si="27"/>
        <v>-11</v>
      </c>
    </row>
    <row r="170" spans="1:13" ht="12" customHeight="1" x14ac:dyDescent="0.2">
      <c r="A170" s="18" t="s">
        <v>46</v>
      </c>
      <c r="B170" s="23">
        <f t="shared" si="11"/>
        <v>600</v>
      </c>
      <c r="C170" s="23">
        <f t="shared" ref="C170:M170" si="28">+C100-C30</f>
        <v>1200</v>
      </c>
      <c r="D170" s="23">
        <f t="shared" si="28"/>
        <v>1800</v>
      </c>
      <c r="E170" s="23">
        <f t="shared" si="28"/>
        <v>2400</v>
      </c>
      <c r="F170" s="23">
        <f t="shared" si="28"/>
        <v>2400</v>
      </c>
      <c r="G170" s="23">
        <f t="shared" si="28"/>
        <v>2400</v>
      </c>
      <c r="H170" s="23">
        <f t="shared" si="28"/>
        <v>2400</v>
      </c>
      <c r="I170" s="23">
        <f t="shared" si="28"/>
        <v>2400</v>
      </c>
      <c r="J170" s="23">
        <f t="shared" si="28"/>
        <v>2400</v>
      </c>
      <c r="K170" s="23">
        <f t="shared" si="28"/>
        <v>2400</v>
      </c>
      <c r="L170" s="23">
        <f t="shared" si="28"/>
        <v>2400</v>
      </c>
      <c r="M170" s="23">
        <f t="shared" si="28"/>
        <v>2400</v>
      </c>
    </row>
    <row r="171" spans="1:13" x14ac:dyDescent="0.2">
      <c r="A171" s="18" t="s">
        <v>70</v>
      </c>
      <c r="B171" s="23">
        <f t="shared" si="11"/>
        <v>3208</v>
      </c>
      <c r="C171" s="23">
        <f t="shared" ref="C171:M171" si="29">+C101-C31</f>
        <v>1358</v>
      </c>
      <c r="D171" s="23">
        <f t="shared" si="29"/>
        <v>2199</v>
      </c>
      <c r="E171" s="23">
        <f t="shared" si="29"/>
        <v>-4554.739999999998</v>
      </c>
      <c r="F171" s="23">
        <f t="shared" si="29"/>
        <v>-4554.739999999998</v>
      </c>
      <c r="G171" s="23">
        <f t="shared" si="29"/>
        <v>-4554.739999999998</v>
      </c>
      <c r="H171" s="23">
        <f t="shared" si="29"/>
        <v>-4554.739999999998</v>
      </c>
      <c r="I171" s="23">
        <f t="shared" si="29"/>
        <v>-4554.739999999998</v>
      </c>
      <c r="J171" s="23">
        <f t="shared" si="29"/>
        <v>-4554.739999999998</v>
      </c>
      <c r="K171" s="23">
        <f t="shared" si="29"/>
        <v>-4554.739999999998</v>
      </c>
      <c r="L171" s="23">
        <f t="shared" si="29"/>
        <v>-4554.739999999998</v>
      </c>
      <c r="M171" s="23">
        <f t="shared" si="29"/>
        <v>-4554.739999999998</v>
      </c>
    </row>
    <row r="172" spans="1:13" x14ac:dyDescent="0.2">
      <c r="A172" s="18" t="s">
        <v>71</v>
      </c>
      <c r="B172" s="23">
        <f t="shared" si="11"/>
        <v>3842</v>
      </c>
      <c r="C172" s="23">
        <f t="shared" ref="C172:M172" si="30">+C102-C32</f>
        <v>-5016</v>
      </c>
      <c r="D172" s="23">
        <f t="shared" si="30"/>
        <v>-36791</v>
      </c>
      <c r="E172" s="23">
        <f t="shared" si="30"/>
        <v>-189658.25</v>
      </c>
      <c r="F172" s="23">
        <f t="shared" si="30"/>
        <v>-189658.25</v>
      </c>
      <c r="G172" s="23">
        <f t="shared" si="30"/>
        <v>-189658.25</v>
      </c>
      <c r="H172" s="23">
        <f t="shared" si="30"/>
        <v>-189658.25</v>
      </c>
      <c r="I172" s="23">
        <f t="shared" si="30"/>
        <v>-189658.25</v>
      </c>
      <c r="J172" s="23">
        <f t="shared" si="30"/>
        <v>-189658.25</v>
      </c>
      <c r="K172" s="23">
        <f t="shared" si="30"/>
        <v>-189658.25</v>
      </c>
      <c r="L172" s="23">
        <f t="shared" si="30"/>
        <v>-189658.25</v>
      </c>
      <c r="M172" s="23">
        <f t="shared" si="30"/>
        <v>-189658.25</v>
      </c>
    </row>
    <row r="173" spans="1:13" x14ac:dyDescent="0.2">
      <c r="A173" s="18" t="s">
        <v>44</v>
      </c>
      <c r="B173" s="23">
        <f t="shared" si="11"/>
        <v>4130</v>
      </c>
      <c r="C173" s="23">
        <f t="shared" ref="C173:M173" si="31">+C103-C33</f>
        <v>-2532</v>
      </c>
      <c r="D173" s="23">
        <f t="shared" si="31"/>
        <v>-10333</v>
      </c>
      <c r="E173" s="23">
        <f t="shared" si="31"/>
        <v>-32707.320000000007</v>
      </c>
      <c r="F173" s="23">
        <f t="shared" si="31"/>
        <v>-32707.320000000007</v>
      </c>
      <c r="G173" s="23">
        <f t="shared" si="31"/>
        <v>-32707.320000000007</v>
      </c>
      <c r="H173" s="23">
        <f t="shared" si="31"/>
        <v>-32707.320000000007</v>
      </c>
      <c r="I173" s="23">
        <f t="shared" si="31"/>
        <v>-32707.320000000007</v>
      </c>
      <c r="J173" s="23">
        <f t="shared" si="31"/>
        <v>-32707.320000000065</v>
      </c>
      <c r="K173" s="23">
        <f t="shared" si="31"/>
        <v>-32707.320000000065</v>
      </c>
      <c r="L173" s="23">
        <f t="shared" si="31"/>
        <v>-32707.320000000065</v>
      </c>
      <c r="M173" s="23">
        <f t="shared" si="31"/>
        <v>-32707.320000000065</v>
      </c>
    </row>
    <row r="174" spans="1:13" x14ac:dyDescent="0.2">
      <c r="A174" s="18" t="s">
        <v>47</v>
      </c>
      <c r="B174" s="23">
        <f t="shared" si="11"/>
        <v>2975</v>
      </c>
      <c r="C174" s="23">
        <f t="shared" ref="C174:M174" si="32">+C104-C34</f>
        <v>-1550</v>
      </c>
      <c r="D174" s="23">
        <f t="shared" si="32"/>
        <v>-3753</v>
      </c>
      <c r="E174" s="23">
        <f t="shared" si="32"/>
        <v>-3073.7700000000004</v>
      </c>
      <c r="F174" s="23">
        <f t="shared" si="32"/>
        <v>-3073.7700000000004</v>
      </c>
      <c r="G174" s="23">
        <f t="shared" si="32"/>
        <v>-3073.7700000000004</v>
      </c>
      <c r="H174" s="23">
        <f t="shared" si="32"/>
        <v>-3073.7700000000004</v>
      </c>
      <c r="I174" s="23">
        <f t="shared" si="32"/>
        <v>-3073.7700000000004</v>
      </c>
      <c r="J174" s="23">
        <f t="shared" si="32"/>
        <v>-3073.7700000000004</v>
      </c>
      <c r="K174" s="23">
        <f t="shared" si="32"/>
        <v>-3073.7700000000041</v>
      </c>
      <c r="L174" s="23">
        <f t="shared" si="32"/>
        <v>-3073.7700000000041</v>
      </c>
      <c r="M174" s="23">
        <f t="shared" si="32"/>
        <v>-3073.7700000000041</v>
      </c>
    </row>
    <row r="175" spans="1:13" x14ac:dyDescent="0.2">
      <c r="A175" s="18" t="s">
        <v>2</v>
      </c>
      <c r="B175" s="23">
        <f t="shared" si="11"/>
        <v>25378</v>
      </c>
      <c r="C175" s="23">
        <f t="shared" ref="C175:M175" si="33">+C105-C35</f>
        <v>1970</v>
      </c>
      <c r="D175" s="23">
        <f t="shared" si="33"/>
        <v>-67115</v>
      </c>
      <c r="E175" s="23">
        <f t="shared" si="33"/>
        <v>-138456.97999999998</v>
      </c>
      <c r="F175" s="23">
        <f t="shared" si="33"/>
        <v>-138456.97999999998</v>
      </c>
      <c r="G175" s="23">
        <f t="shared" si="33"/>
        <v>-138456.97999999998</v>
      </c>
      <c r="H175" s="23">
        <f t="shared" si="33"/>
        <v>-138456.97999999998</v>
      </c>
      <c r="I175" s="23">
        <f t="shared" si="33"/>
        <v>-138456.97999999998</v>
      </c>
      <c r="J175" s="23">
        <f t="shared" si="33"/>
        <v>-138456.97999999998</v>
      </c>
      <c r="K175" s="23">
        <f t="shared" si="33"/>
        <v>-138456.97999999998</v>
      </c>
      <c r="L175" s="23">
        <f t="shared" si="33"/>
        <v>-138456.97999999998</v>
      </c>
      <c r="M175" s="23">
        <f t="shared" si="33"/>
        <v>-138456.97999999998</v>
      </c>
    </row>
    <row r="176" spans="1:13" x14ac:dyDescent="0.2">
      <c r="A176" s="18" t="s">
        <v>95</v>
      </c>
      <c r="B176" s="23">
        <f t="shared" si="11"/>
        <v>0</v>
      </c>
      <c r="C176" s="23">
        <f t="shared" ref="C176:M176" si="34">+C106-C36</f>
        <v>0</v>
      </c>
      <c r="D176" s="23">
        <f t="shared" si="34"/>
        <v>0</v>
      </c>
      <c r="E176" s="23">
        <f t="shared" si="34"/>
        <v>0</v>
      </c>
      <c r="F176" s="23">
        <f t="shared" si="34"/>
        <v>0</v>
      </c>
      <c r="G176" s="23">
        <f t="shared" si="34"/>
        <v>0</v>
      </c>
      <c r="H176" s="23">
        <f t="shared" si="34"/>
        <v>0</v>
      </c>
      <c r="I176" s="23">
        <f t="shared" si="34"/>
        <v>0</v>
      </c>
      <c r="J176" s="23">
        <f t="shared" si="34"/>
        <v>0</v>
      </c>
      <c r="K176" s="23">
        <f t="shared" si="34"/>
        <v>0</v>
      </c>
      <c r="L176" s="23">
        <f t="shared" si="34"/>
        <v>0</v>
      </c>
      <c r="M176" s="23">
        <f t="shared" si="34"/>
        <v>0</v>
      </c>
    </row>
    <row r="177" spans="1:13" x14ac:dyDescent="0.2">
      <c r="A177" s="18" t="s">
        <v>72</v>
      </c>
      <c r="B177" s="23">
        <f t="shared" si="11"/>
        <v>146</v>
      </c>
      <c r="C177" s="23">
        <f t="shared" ref="C177:M177" si="35">+C107-C37</f>
        <v>292</v>
      </c>
      <c r="D177" s="23">
        <f t="shared" si="35"/>
        <v>438</v>
      </c>
      <c r="E177" s="23">
        <f t="shared" si="35"/>
        <v>584</v>
      </c>
      <c r="F177" s="23">
        <f t="shared" si="35"/>
        <v>584</v>
      </c>
      <c r="G177" s="23">
        <f t="shared" si="35"/>
        <v>584</v>
      </c>
      <c r="H177" s="23">
        <f t="shared" si="35"/>
        <v>584</v>
      </c>
      <c r="I177" s="23">
        <f t="shared" si="35"/>
        <v>584</v>
      </c>
      <c r="J177" s="23">
        <f t="shared" si="35"/>
        <v>584</v>
      </c>
      <c r="K177" s="23">
        <f t="shared" si="35"/>
        <v>584</v>
      </c>
      <c r="L177" s="23">
        <f t="shared" si="35"/>
        <v>584</v>
      </c>
      <c r="M177" s="23">
        <f t="shared" si="35"/>
        <v>584</v>
      </c>
    </row>
    <row r="178" spans="1:13" x14ac:dyDescent="0.2">
      <c r="A178" s="18" t="s">
        <v>48</v>
      </c>
      <c r="B178" s="23">
        <f t="shared" si="11"/>
        <v>11143</v>
      </c>
      <c r="C178" s="23">
        <f t="shared" ref="C178:M178" si="36">+C108-C38</f>
        <v>22286</v>
      </c>
      <c r="D178" s="23">
        <f t="shared" si="36"/>
        <v>7118</v>
      </c>
      <c r="E178" s="23">
        <f t="shared" si="36"/>
        <v>13052.169999999998</v>
      </c>
      <c r="F178" s="23">
        <f t="shared" si="36"/>
        <v>13052.169999999998</v>
      </c>
      <c r="G178" s="23">
        <f t="shared" si="36"/>
        <v>13052.169999999998</v>
      </c>
      <c r="H178" s="23">
        <f t="shared" si="36"/>
        <v>13052.169999999998</v>
      </c>
      <c r="I178" s="23">
        <f t="shared" si="36"/>
        <v>13052.169999999998</v>
      </c>
      <c r="J178" s="23">
        <f t="shared" si="36"/>
        <v>13052.169999999984</v>
      </c>
      <c r="K178" s="23">
        <f t="shared" si="36"/>
        <v>13052.169999999984</v>
      </c>
      <c r="L178" s="23">
        <f t="shared" si="36"/>
        <v>13052.169999999984</v>
      </c>
      <c r="M178" s="23">
        <f t="shared" si="36"/>
        <v>13052.169999999984</v>
      </c>
    </row>
    <row r="179" spans="1:13" x14ac:dyDescent="0.2">
      <c r="A179" s="18" t="s">
        <v>74</v>
      </c>
      <c r="B179" s="23">
        <f t="shared" ref="B179:M179" si="37">+B109-B39</f>
        <v>0</v>
      </c>
      <c r="C179" s="23">
        <f t="shared" si="37"/>
        <v>0</v>
      </c>
      <c r="D179" s="23">
        <f t="shared" si="37"/>
        <v>0</v>
      </c>
      <c r="E179" s="23">
        <f t="shared" si="37"/>
        <v>0</v>
      </c>
      <c r="F179" s="23">
        <f t="shared" si="37"/>
        <v>0</v>
      </c>
      <c r="G179" s="23">
        <f t="shared" si="37"/>
        <v>0</v>
      </c>
      <c r="H179" s="23">
        <f t="shared" si="37"/>
        <v>0</v>
      </c>
      <c r="I179" s="23">
        <f t="shared" si="37"/>
        <v>0</v>
      </c>
      <c r="J179" s="23">
        <f t="shared" si="37"/>
        <v>0</v>
      </c>
      <c r="K179" s="23">
        <f t="shared" si="37"/>
        <v>0</v>
      </c>
      <c r="L179" s="23">
        <f t="shared" si="37"/>
        <v>0</v>
      </c>
      <c r="M179" s="23">
        <f t="shared" si="37"/>
        <v>0</v>
      </c>
    </row>
    <row r="180" spans="1:13" x14ac:dyDescent="0.2">
      <c r="A180" s="18" t="s">
        <v>96</v>
      </c>
      <c r="B180" s="23">
        <f t="shared" ref="B180:M180" si="38">+B110-B40</f>
        <v>-12222</v>
      </c>
      <c r="C180" s="23">
        <f t="shared" si="38"/>
        <v>-30815</v>
      </c>
      <c r="D180" s="23">
        <f t="shared" si="38"/>
        <v>-33499</v>
      </c>
      <c r="E180" s="23">
        <f t="shared" si="38"/>
        <v>-41293.53</v>
      </c>
      <c r="F180" s="23">
        <f t="shared" si="38"/>
        <v>-41293.53</v>
      </c>
      <c r="G180" s="23">
        <f t="shared" si="38"/>
        <v>-41293.53</v>
      </c>
      <c r="H180" s="23">
        <f t="shared" si="38"/>
        <v>-41293.53</v>
      </c>
      <c r="I180" s="23">
        <f t="shared" si="38"/>
        <v>-41293.53</v>
      </c>
      <c r="J180" s="23">
        <f t="shared" si="38"/>
        <v>-41293.53</v>
      </c>
      <c r="K180" s="23">
        <f t="shared" si="38"/>
        <v>-41293.53</v>
      </c>
      <c r="L180" s="23">
        <f t="shared" si="38"/>
        <v>-41293.53</v>
      </c>
      <c r="M180" s="23">
        <f t="shared" si="38"/>
        <v>-41293.53</v>
      </c>
    </row>
    <row r="181" spans="1:13" x14ac:dyDescent="0.2">
      <c r="A181" s="18"/>
    </row>
    <row r="182" spans="1:13" x14ac:dyDescent="0.2">
      <c r="A182" s="19" t="s">
        <v>28</v>
      </c>
      <c r="B182" s="27">
        <f>SUM(B153:B180)</f>
        <v>41825</v>
      </c>
      <c r="C182" s="27">
        <f t="shared" ref="C182:M182" si="39">SUM(C153:C180)</f>
        <v>-9783</v>
      </c>
      <c r="D182" s="27">
        <f t="shared" si="39"/>
        <v>-134583</v>
      </c>
      <c r="E182" s="27">
        <f t="shared" si="39"/>
        <v>-387635.78999999992</v>
      </c>
      <c r="F182" s="27">
        <f t="shared" si="39"/>
        <v>-387635.78999999992</v>
      </c>
      <c r="G182" s="27">
        <f t="shared" si="39"/>
        <v>-387635.78999999992</v>
      </c>
      <c r="H182" s="27">
        <f t="shared" si="39"/>
        <v>-387635.78999999992</v>
      </c>
      <c r="I182" s="27">
        <f t="shared" si="39"/>
        <v>-387635.78999999992</v>
      </c>
      <c r="J182" s="27">
        <f t="shared" si="39"/>
        <v>-387635.79000000004</v>
      </c>
      <c r="K182" s="27">
        <f t="shared" si="39"/>
        <v>-387635.79000000004</v>
      </c>
      <c r="L182" s="27">
        <f t="shared" si="39"/>
        <v>-387635.79000000004</v>
      </c>
      <c r="M182" s="27">
        <f t="shared" si="39"/>
        <v>-387635.79000000004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40">+B114-B44</f>
        <v>-1515.3333333333321</v>
      </c>
      <c r="C184" s="25">
        <f t="shared" si="40"/>
        <v>-3030.6666666666642</v>
      </c>
      <c r="D184" s="25">
        <f t="shared" si="40"/>
        <v>-2516</v>
      </c>
      <c r="E184" s="25">
        <f t="shared" si="40"/>
        <v>-3016.3333333333285</v>
      </c>
      <c r="F184" s="25">
        <f t="shared" si="40"/>
        <v>-3516.666666666657</v>
      </c>
      <c r="G184" s="25">
        <f t="shared" si="40"/>
        <v>-3516.666666666657</v>
      </c>
      <c r="H184" s="25">
        <f t="shared" si="40"/>
        <v>-3516.666666666657</v>
      </c>
      <c r="I184" s="25">
        <f t="shared" si="40"/>
        <v>-3516.666666666657</v>
      </c>
      <c r="J184" s="25">
        <f t="shared" si="40"/>
        <v>-3516.666666666657</v>
      </c>
      <c r="K184" s="25">
        <f t="shared" si="40"/>
        <v>-3516.666666666657</v>
      </c>
      <c r="L184" s="25">
        <f t="shared" si="40"/>
        <v>-3516.666666666657</v>
      </c>
      <c r="M184" s="25">
        <f t="shared" si="40"/>
        <v>-3516.666666666657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41">+B116-B46</f>
        <v>-83333</v>
      </c>
      <c r="C186" s="25">
        <f t="shared" si="41"/>
        <v>-166667</v>
      </c>
      <c r="D186" s="25">
        <f t="shared" si="41"/>
        <v>-122667</v>
      </c>
      <c r="E186" s="25">
        <f t="shared" si="41"/>
        <v>-139334</v>
      </c>
      <c r="F186" s="25">
        <f t="shared" si="41"/>
        <v>-172667</v>
      </c>
      <c r="G186" s="25">
        <f t="shared" si="41"/>
        <v>-206000</v>
      </c>
      <c r="H186" s="25">
        <f t="shared" si="41"/>
        <v>-239334</v>
      </c>
      <c r="I186" s="25">
        <f t="shared" si="41"/>
        <v>-272667</v>
      </c>
      <c r="J186" s="25">
        <f t="shared" si="41"/>
        <v>-306000</v>
      </c>
      <c r="K186" s="25">
        <f t="shared" si="41"/>
        <v>-339334</v>
      </c>
      <c r="L186" s="25">
        <f t="shared" si="41"/>
        <v>-372667</v>
      </c>
      <c r="M186" s="25">
        <f t="shared" si="41"/>
        <v>-406000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42">+B182+B184+B186</f>
        <v>-43023.333333333328</v>
      </c>
      <c r="C188" s="24">
        <f t="shared" si="42"/>
        <v>-179480.66666666666</v>
      </c>
      <c r="D188" s="24">
        <f t="shared" si="42"/>
        <v>-259766</v>
      </c>
      <c r="E188" s="24">
        <f t="shared" si="42"/>
        <v>-529986.12333333329</v>
      </c>
      <c r="F188" s="24">
        <f t="shared" si="42"/>
        <v>-563819.45666666655</v>
      </c>
      <c r="G188" s="24">
        <f t="shared" si="42"/>
        <v>-597152.45666666655</v>
      </c>
      <c r="H188" s="24">
        <f t="shared" si="42"/>
        <v>-630486.45666666655</v>
      </c>
      <c r="I188" s="24">
        <f t="shared" si="42"/>
        <v>-663819.45666666655</v>
      </c>
      <c r="J188" s="24">
        <f t="shared" si="42"/>
        <v>-697152.45666666667</v>
      </c>
      <c r="K188" s="24">
        <f t="shared" si="42"/>
        <v>-730486.45666666667</v>
      </c>
      <c r="L188" s="24">
        <f t="shared" si="42"/>
        <v>-763819.45666666667</v>
      </c>
      <c r="M188" s="24">
        <f t="shared" si="42"/>
        <v>-797152.45666666667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43">+B121-B51</f>
        <v>1910.3333333333321</v>
      </c>
      <c r="C191" s="23">
        <f t="shared" si="43"/>
        <v>3820.6666666666642</v>
      </c>
      <c r="D191" s="23">
        <f t="shared" si="43"/>
        <v>5731</v>
      </c>
      <c r="E191" s="23">
        <f t="shared" si="43"/>
        <v>4461.3333333333285</v>
      </c>
      <c r="F191" s="23">
        <f t="shared" si="43"/>
        <v>3191.666666666657</v>
      </c>
      <c r="G191" s="23">
        <f t="shared" si="43"/>
        <v>2561.416666666657</v>
      </c>
      <c r="H191" s="23">
        <f t="shared" si="43"/>
        <v>1931.166666666657</v>
      </c>
      <c r="I191" s="23">
        <f t="shared" si="43"/>
        <v>1300.916666666657</v>
      </c>
      <c r="J191" s="23">
        <f t="shared" si="43"/>
        <v>670.66666666665697</v>
      </c>
      <c r="K191" s="23">
        <f t="shared" si="43"/>
        <v>40.416666666656965</v>
      </c>
      <c r="L191" s="23">
        <f t="shared" si="43"/>
        <v>-589.83333333334303</v>
      </c>
      <c r="M191" s="23">
        <f t="shared" si="43"/>
        <v>-1220.083333333343</v>
      </c>
    </row>
    <row r="192" spans="1:13" x14ac:dyDescent="0.2">
      <c r="A192" s="3" t="s">
        <v>1</v>
      </c>
      <c r="B192" s="23">
        <f t="shared" ref="B192:M192" si="44">+B122-B52</f>
        <v>-45000</v>
      </c>
      <c r="C192" s="23">
        <f t="shared" si="44"/>
        <v>-97455</v>
      </c>
      <c r="D192" s="23">
        <f t="shared" si="44"/>
        <v>-149910</v>
      </c>
      <c r="E192" s="23">
        <f t="shared" si="44"/>
        <v>-202365</v>
      </c>
      <c r="F192" s="23">
        <f t="shared" si="44"/>
        <v>-250969</v>
      </c>
      <c r="G192" s="23">
        <f t="shared" si="44"/>
        <v>-254630.83333333334</v>
      </c>
      <c r="H192" s="23">
        <f t="shared" si="44"/>
        <v>-258292.66666666669</v>
      </c>
      <c r="I192" s="23">
        <f t="shared" si="44"/>
        <v>-261954.5</v>
      </c>
      <c r="J192" s="23">
        <f t="shared" si="44"/>
        <v>-265616.33333333337</v>
      </c>
      <c r="K192" s="23">
        <f t="shared" si="44"/>
        <v>-269278.16666666669</v>
      </c>
      <c r="L192" s="23">
        <f t="shared" si="44"/>
        <v>-272940</v>
      </c>
      <c r="M192" s="23">
        <f t="shared" si="44"/>
        <v>-276604.83333333331</v>
      </c>
    </row>
    <row r="193" spans="1:13" x14ac:dyDescent="0.2">
      <c r="A193" s="3" t="s">
        <v>3</v>
      </c>
      <c r="B193" s="23">
        <f t="shared" ref="B193:M193" si="45">+B123-B53</f>
        <v>8333.3333333333339</v>
      </c>
      <c r="C193" s="23">
        <f t="shared" si="45"/>
        <v>16666.666666666668</v>
      </c>
      <c r="D193" s="23">
        <f t="shared" si="45"/>
        <v>25000</v>
      </c>
      <c r="E193" s="23">
        <f t="shared" si="45"/>
        <v>33333.333333333336</v>
      </c>
      <c r="F193" s="23">
        <f t="shared" si="45"/>
        <v>33333.333333333336</v>
      </c>
      <c r="G193" s="23">
        <f t="shared" si="45"/>
        <v>33333.333333333343</v>
      </c>
      <c r="H193" s="23">
        <f t="shared" si="45"/>
        <v>33333.333333333343</v>
      </c>
      <c r="I193" s="23">
        <f t="shared" si="45"/>
        <v>33333.333333333336</v>
      </c>
      <c r="J193" s="23">
        <f t="shared" si="45"/>
        <v>33333.333333333328</v>
      </c>
      <c r="K193" s="23">
        <f t="shared" si="45"/>
        <v>33333.333333333321</v>
      </c>
      <c r="L193" s="23">
        <f t="shared" si="45"/>
        <v>33333.333333333314</v>
      </c>
      <c r="M193" s="23">
        <f t="shared" si="45"/>
        <v>33333.333333333314</v>
      </c>
    </row>
    <row r="194" spans="1:13" x14ac:dyDescent="0.2">
      <c r="A194" s="3" t="s">
        <v>4</v>
      </c>
      <c r="B194" s="23">
        <f t="shared" ref="B194:M194" si="46">+B124-B54</f>
        <v>2500</v>
      </c>
      <c r="C194" s="23">
        <f t="shared" si="46"/>
        <v>5000</v>
      </c>
      <c r="D194" s="23">
        <f t="shared" si="46"/>
        <v>7500</v>
      </c>
      <c r="E194" s="23">
        <f t="shared" si="46"/>
        <v>10000</v>
      </c>
      <c r="F194" s="23">
        <f t="shared" si="46"/>
        <v>10000</v>
      </c>
      <c r="G194" s="23">
        <f t="shared" si="46"/>
        <v>10000</v>
      </c>
      <c r="H194" s="23">
        <f t="shared" si="46"/>
        <v>10000</v>
      </c>
      <c r="I194" s="23">
        <f t="shared" si="46"/>
        <v>10000</v>
      </c>
      <c r="J194" s="23">
        <f t="shared" si="46"/>
        <v>10000</v>
      </c>
      <c r="K194" s="23">
        <f t="shared" si="46"/>
        <v>10000</v>
      </c>
      <c r="L194" s="23">
        <f t="shared" si="46"/>
        <v>10000</v>
      </c>
      <c r="M194" s="23">
        <f t="shared" si="46"/>
        <v>10000</v>
      </c>
    </row>
    <row r="195" spans="1:13" x14ac:dyDescent="0.2">
      <c r="A195" s="3" t="s">
        <v>5</v>
      </c>
      <c r="B195" s="23">
        <f t="shared" ref="B195:M195" si="47">+B125-B55</f>
        <v>6250</v>
      </c>
      <c r="C195" s="23">
        <f t="shared" si="47"/>
        <v>7979</v>
      </c>
      <c r="D195" s="23">
        <f t="shared" si="47"/>
        <v>44061</v>
      </c>
      <c r="E195" s="23">
        <f t="shared" si="47"/>
        <v>16088</v>
      </c>
      <c r="F195" s="23">
        <f t="shared" si="47"/>
        <v>16088</v>
      </c>
      <c r="G195" s="23">
        <f t="shared" si="47"/>
        <v>16088</v>
      </c>
      <c r="H195" s="23">
        <f t="shared" si="47"/>
        <v>16088</v>
      </c>
      <c r="I195" s="23">
        <f t="shared" si="47"/>
        <v>16088</v>
      </c>
      <c r="J195" s="23">
        <f t="shared" si="47"/>
        <v>16088</v>
      </c>
      <c r="K195" s="23">
        <f t="shared" si="47"/>
        <v>16088</v>
      </c>
      <c r="L195" s="23">
        <f t="shared" si="47"/>
        <v>16088</v>
      </c>
      <c r="M195" s="23">
        <f t="shared" si="47"/>
        <v>16088</v>
      </c>
    </row>
    <row r="196" spans="1:13" x14ac:dyDescent="0.2">
      <c r="A196" s="3" t="s">
        <v>14</v>
      </c>
      <c r="B196" s="23">
        <f t="shared" ref="B196:M196" si="48">+B126-B56</f>
        <v>0</v>
      </c>
      <c r="C196" s="23">
        <f t="shared" si="48"/>
        <v>0</v>
      </c>
      <c r="D196" s="23">
        <f t="shared" si="48"/>
        <v>0</v>
      </c>
      <c r="E196" s="23">
        <f t="shared" si="48"/>
        <v>0</v>
      </c>
      <c r="F196" s="23">
        <f t="shared" si="48"/>
        <v>0</v>
      </c>
      <c r="G196" s="23">
        <f t="shared" si="48"/>
        <v>0</v>
      </c>
      <c r="H196" s="23">
        <f t="shared" si="48"/>
        <v>0</v>
      </c>
      <c r="I196" s="23">
        <f t="shared" si="48"/>
        <v>0</v>
      </c>
      <c r="J196" s="23">
        <f t="shared" si="48"/>
        <v>0</v>
      </c>
      <c r="K196" s="23">
        <f t="shared" si="48"/>
        <v>0</v>
      </c>
      <c r="L196" s="23">
        <f t="shared" si="48"/>
        <v>0</v>
      </c>
      <c r="M196" s="23">
        <f t="shared" si="48"/>
        <v>0</v>
      </c>
    </row>
    <row r="197" spans="1:13" x14ac:dyDescent="0.2">
      <c r="A197" s="3"/>
      <c r="B197" s="23">
        <f t="shared" ref="B197:M197" si="49">+B127-B57</f>
        <v>0</v>
      </c>
      <c r="C197" s="23">
        <f t="shared" si="49"/>
        <v>0</v>
      </c>
      <c r="D197" s="23">
        <f t="shared" si="49"/>
        <v>0</v>
      </c>
      <c r="E197" s="23">
        <f t="shared" si="49"/>
        <v>0</v>
      </c>
      <c r="F197" s="23">
        <f t="shared" si="49"/>
        <v>0</v>
      </c>
      <c r="G197" s="23">
        <f t="shared" si="49"/>
        <v>0</v>
      </c>
      <c r="H197" s="23">
        <f t="shared" si="49"/>
        <v>0</v>
      </c>
      <c r="I197" s="23">
        <f t="shared" si="49"/>
        <v>0</v>
      </c>
      <c r="J197" s="23">
        <f t="shared" si="49"/>
        <v>0</v>
      </c>
      <c r="K197" s="23">
        <f t="shared" si="49"/>
        <v>0</v>
      </c>
      <c r="L197" s="23">
        <f t="shared" si="49"/>
        <v>0</v>
      </c>
      <c r="M197" s="23">
        <f t="shared" si="49"/>
        <v>0</v>
      </c>
    </row>
    <row r="198" spans="1:13" ht="13.5" thickBot="1" x14ac:dyDescent="0.25">
      <c r="A198" s="4" t="s">
        <v>15</v>
      </c>
      <c r="B198" s="28">
        <f t="shared" ref="B198:M198" si="50">SUM(B190:B197)</f>
        <v>-26006.333333333336</v>
      </c>
      <c r="C198" s="28">
        <f t="shared" si="50"/>
        <v>-63988.666666666672</v>
      </c>
      <c r="D198" s="28">
        <f t="shared" si="50"/>
        <v>-67618</v>
      </c>
      <c r="E198" s="28">
        <f t="shared" si="50"/>
        <v>-138482.33333333334</v>
      </c>
      <c r="F198" s="28">
        <f t="shared" si="50"/>
        <v>-188356</v>
      </c>
      <c r="G198" s="28">
        <f t="shared" si="50"/>
        <v>-192648.08333333334</v>
      </c>
      <c r="H198" s="28">
        <f t="shared" si="50"/>
        <v>-196940.16666666669</v>
      </c>
      <c r="I198" s="28">
        <f t="shared" si="50"/>
        <v>-201232.25</v>
      </c>
      <c r="J198" s="28">
        <f t="shared" si="50"/>
        <v>-205524.33333333343</v>
      </c>
      <c r="K198" s="28">
        <f t="shared" si="50"/>
        <v>-209816.41666666669</v>
      </c>
      <c r="L198" s="28">
        <f t="shared" si="50"/>
        <v>-214108.50000000006</v>
      </c>
      <c r="M198" s="28">
        <f t="shared" si="50"/>
        <v>-218403.58333333331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51">+B131-B61</f>
        <v>0</v>
      </c>
      <c r="C201" s="23">
        <f t="shared" si="51"/>
        <v>0</v>
      </c>
      <c r="D201" s="23">
        <f t="shared" si="51"/>
        <v>0</v>
      </c>
      <c r="E201" s="23">
        <f t="shared" si="51"/>
        <v>0</v>
      </c>
      <c r="F201" s="23">
        <f t="shared" si="51"/>
        <v>0</v>
      </c>
      <c r="G201" s="23">
        <f t="shared" si="51"/>
        <v>0</v>
      </c>
      <c r="H201" s="23">
        <f t="shared" si="51"/>
        <v>0</v>
      </c>
      <c r="I201" s="23">
        <f t="shared" si="51"/>
        <v>0</v>
      </c>
      <c r="J201" s="23">
        <f t="shared" si="51"/>
        <v>0</v>
      </c>
      <c r="K201" s="23">
        <f t="shared" si="51"/>
        <v>0</v>
      </c>
      <c r="L201" s="23">
        <f t="shared" si="51"/>
        <v>0</v>
      </c>
      <c r="M201" s="23">
        <f t="shared" si="51"/>
        <v>0</v>
      </c>
    </row>
    <row r="202" spans="1:13" x14ac:dyDescent="0.2">
      <c r="A202" s="3" t="s">
        <v>7</v>
      </c>
      <c r="B202" s="23">
        <f t="shared" ref="B202:M202" si="52">+B132-B62</f>
        <v>-143957</v>
      </c>
      <c r="C202" s="23">
        <f t="shared" si="52"/>
        <v>43</v>
      </c>
      <c r="D202" s="23">
        <f t="shared" si="52"/>
        <v>157211</v>
      </c>
      <c r="E202" s="23">
        <f t="shared" si="52"/>
        <v>210053</v>
      </c>
      <c r="F202" s="23">
        <f t="shared" si="52"/>
        <v>251581.19975526258</v>
      </c>
      <c r="G202" s="23">
        <f t="shared" si="52"/>
        <v>284187.84045364382</v>
      </c>
      <c r="H202" s="23">
        <f t="shared" si="52"/>
        <v>339631.57740025222</v>
      </c>
      <c r="I202" s="23">
        <f t="shared" si="52"/>
        <v>480778.37528309971</v>
      </c>
      <c r="J202" s="23">
        <f t="shared" si="52"/>
        <v>713691.40984892379</v>
      </c>
      <c r="K202" s="23">
        <f t="shared" si="52"/>
        <v>950953.77446309011</v>
      </c>
      <c r="L202" s="23">
        <f t="shared" si="52"/>
        <v>1189258.2513300274</v>
      </c>
      <c r="M202" s="23">
        <f t="shared" si="52"/>
        <v>1426646.7985577723</v>
      </c>
    </row>
    <row r="203" spans="1:13" x14ac:dyDescent="0.2">
      <c r="A203" s="3" t="s">
        <v>8</v>
      </c>
      <c r="B203" s="23">
        <f t="shared" ref="B203:M203" si="53">+B133-B63</f>
        <v>-10899</v>
      </c>
      <c r="C203" s="23">
        <f t="shared" si="53"/>
        <v>4399</v>
      </c>
      <c r="D203" s="23">
        <f t="shared" si="53"/>
        <v>4583</v>
      </c>
      <c r="E203" s="23">
        <f t="shared" si="53"/>
        <v>3319</v>
      </c>
      <c r="F203" s="23">
        <f t="shared" si="53"/>
        <v>2055</v>
      </c>
      <c r="G203" s="23">
        <f t="shared" si="53"/>
        <v>791</v>
      </c>
      <c r="H203" s="23">
        <f t="shared" si="53"/>
        <v>-473</v>
      </c>
      <c r="I203" s="23">
        <f t="shared" si="53"/>
        <v>-1737</v>
      </c>
      <c r="J203" s="23">
        <f t="shared" si="53"/>
        <v>-3001</v>
      </c>
      <c r="K203" s="23">
        <f t="shared" si="53"/>
        <v>-4265</v>
      </c>
      <c r="L203" s="23">
        <f t="shared" si="53"/>
        <v>-5529</v>
      </c>
      <c r="M203" s="23">
        <f t="shared" si="53"/>
        <v>-8793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54">SUM(B200:B204)</f>
        <v>-154856</v>
      </c>
      <c r="C205" s="28">
        <f t="shared" si="54"/>
        <v>4442</v>
      </c>
      <c r="D205" s="28">
        <f t="shared" si="54"/>
        <v>161794</v>
      </c>
      <c r="E205" s="28">
        <f t="shared" si="54"/>
        <v>213372</v>
      </c>
      <c r="F205" s="28">
        <f t="shared" si="54"/>
        <v>253636.19975526258</v>
      </c>
      <c r="G205" s="28">
        <f t="shared" si="54"/>
        <v>284978.84045364382</v>
      </c>
      <c r="H205" s="28">
        <f t="shared" si="54"/>
        <v>339158.57740025222</v>
      </c>
      <c r="I205" s="28">
        <f t="shared" si="54"/>
        <v>479041.37528309971</v>
      </c>
      <c r="J205" s="28">
        <f t="shared" si="54"/>
        <v>710690.40984892379</v>
      </c>
      <c r="K205" s="28">
        <f t="shared" si="54"/>
        <v>946688.77446309011</v>
      </c>
      <c r="L205" s="28">
        <f t="shared" si="54"/>
        <v>1183729.2513300274</v>
      </c>
      <c r="M205" s="28">
        <f t="shared" si="54"/>
        <v>1417853.7985577723</v>
      </c>
    </row>
    <row r="207" spans="1:13" ht="13.5" thickBot="1" x14ac:dyDescent="0.25">
      <c r="A207" s="1" t="s">
        <v>13</v>
      </c>
      <c r="B207" s="29">
        <f t="shared" ref="B207:M207" si="55">+B150+B188+B198+B205</f>
        <v>-223885.66666666666</v>
      </c>
      <c r="C207" s="29">
        <f t="shared" si="55"/>
        <v>-239027.33333333331</v>
      </c>
      <c r="D207" s="29">
        <f t="shared" si="55"/>
        <v>-165590</v>
      </c>
      <c r="E207" s="29">
        <f t="shared" si="55"/>
        <v>-455096.45666666667</v>
      </c>
      <c r="F207" s="29">
        <f t="shared" si="55"/>
        <v>-498539.25691140397</v>
      </c>
      <c r="G207" s="29">
        <f t="shared" si="55"/>
        <v>-504821.6995463561</v>
      </c>
      <c r="H207" s="29">
        <f t="shared" si="55"/>
        <v>-488268.04593308107</v>
      </c>
      <c r="I207" s="29">
        <f t="shared" si="55"/>
        <v>-386010.33138356684</v>
      </c>
      <c r="J207" s="29">
        <f t="shared" si="55"/>
        <v>-191986.38015107624</v>
      </c>
      <c r="K207" s="29">
        <f t="shared" si="55"/>
        <v>6385.9011297568213</v>
      </c>
      <c r="L207" s="29">
        <f t="shared" si="55"/>
        <v>205801.29466336058</v>
      </c>
      <c r="M207" s="29">
        <f t="shared" si="55"/>
        <v>402297.75855777226</v>
      </c>
    </row>
    <row r="208" spans="1:13" ht="13.5" thickTop="1" x14ac:dyDescent="0.2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G10" activePane="bottomRight" state="frozen"/>
      <selection activeCell="B7" sqref="B7:D7"/>
      <selection pane="topRight" activeCell="B7" sqref="B7:D7"/>
      <selection pane="bottomLeft" activeCell="B7" sqref="B7:D7"/>
      <selection pane="bottomRight" activeCell="N37" sqref="N37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81.85546875" style="23" bestFit="1" customWidth="1"/>
    <col min="15" max="70" width="8.85546875" style="23" customWidth="1"/>
  </cols>
  <sheetData>
    <row r="1" spans="1:70" s="2" customFormat="1" ht="15.75" x14ac:dyDescent="0.25">
      <c r="A1" s="43" t="str">
        <f>+'NA MO'!A1:V1</f>
        <v>GENCO - New Albany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3" t="str">
        <f>+'NA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36697.489055902777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">
      <c r="B10" s="7"/>
      <c r="C10" s="7"/>
      <c r="D10" s="7"/>
      <c r="H10" s="7"/>
      <c r="I10" s="7"/>
    </row>
    <row r="11" spans="1:70" ht="13.5" thickBot="1" x14ac:dyDescent="0.25">
      <c r="A11" s="1" t="s">
        <v>9</v>
      </c>
      <c r="B11" s="24">
        <v>0</v>
      </c>
      <c r="C11" s="24">
        <v>0</v>
      </c>
      <c r="D11" s="9">
        <f>+C11-B11</f>
        <v>0</v>
      </c>
      <c r="F11" s="24">
        <v>0</v>
      </c>
      <c r="G11" s="9">
        <v>0</v>
      </c>
      <c r="H11" s="9">
        <f>+G11-F11</f>
        <v>0</v>
      </c>
      <c r="I11" s="7"/>
      <c r="J11" s="9">
        <v>0</v>
      </c>
      <c r="K11" s="9">
        <v>0</v>
      </c>
      <c r="L11" s="9">
        <f>+K11-J11</f>
        <v>0</v>
      </c>
    </row>
    <row r="12" spans="1:70" x14ac:dyDescent="0.2">
      <c r="D12" s="7"/>
      <c r="G12" s="7"/>
      <c r="H12" s="7"/>
      <c r="J12" s="7"/>
      <c r="K12" s="7"/>
      <c r="L12" s="7"/>
    </row>
    <row r="13" spans="1:70" x14ac:dyDescent="0.2">
      <c r="A13" s="1" t="s">
        <v>10</v>
      </c>
      <c r="D13" s="7"/>
      <c r="G13" s="7"/>
      <c r="H13" s="7"/>
      <c r="J13" s="7"/>
      <c r="K13" s="7"/>
      <c r="L13" s="7"/>
    </row>
    <row r="14" spans="1:70" x14ac:dyDescent="0.2">
      <c r="A14" s="17" t="s">
        <v>49</v>
      </c>
      <c r="D14" s="7"/>
      <c r="G14" s="7"/>
      <c r="H14" s="7"/>
      <c r="J14" s="7"/>
      <c r="K14" s="7"/>
      <c r="L14" s="7"/>
    </row>
    <row r="15" spans="1:70" x14ac:dyDescent="0.2">
      <c r="A15" s="18" t="s">
        <v>87</v>
      </c>
      <c r="B15" s="23">
        <v>0</v>
      </c>
      <c r="C15" s="23">
        <v>0</v>
      </c>
      <c r="D15" s="7">
        <f t="shared" ref="D15:D43" si="0">+C15-B15</f>
        <v>0</v>
      </c>
      <c r="F15" s="23">
        <v>0</v>
      </c>
      <c r="G15" s="7">
        <v>0</v>
      </c>
      <c r="H15" s="7">
        <f t="shared" ref="H15:H43" si="1">+G15-F15</f>
        <v>0</v>
      </c>
      <c r="J15" s="7">
        <v>0</v>
      </c>
      <c r="K15" s="7">
        <v>0</v>
      </c>
      <c r="L15" s="7">
        <f t="shared" ref="L15:L40" si="2">+K15-J15</f>
        <v>0</v>
      </c>
    </row>
    <row r="16" spans="1:70" x14ac:dyDescent="0.2">
      <c r="A16" s="18" t="s">
        <v>63</v>
      </c>
      <c r="B16" s="23">
        <v>0</v>
      </c>
      <c r="C16" s="23">
        <v>543</v>
      </c>
      <c r="D16" s="7">
        <f t="shared" si="0"/>
        <v>543</v>
      </c>
      <c r="F16" s="23">
        <v>0</v>
      </c>
      <c r="G16" s="7">
        <v>1629</v>
      </c>
      <c r="H16" s="7">
        <f t="shared" si="1"/>
        <v>1629</v>
      </c>
      <c r="J16" s="7">
        <v>7328</v>
      </c>
      <c r="K16" s="7">
        <v>9500</v>
      </c>
      <c r="L16" s="7">
        <f t="shared" si="2"/>
        <v>2172</v>
      </c>
    </row>
    <row r="17" spans="1:14" x14ac:dyDescent="0.2">
      <c r="A17" s="18" t="s">
        <v>88</v>
      </c>
      <c r="B17" s="23">
        <v>0</v>
      </c>
      <c r="C17" s="23">
        <v>0</v>
      </c>
      <c r="D17" s="7"/>
      <c r="F17" s="23">
        <v>0</v>
      </c>
      <c r="G17" s="7">
        <v>0</v>
      </c>
      <c r="H17" s="7">
        <f t="shared" si="1"/>
        <v>0</v>
      </c>
      <c r="J17" s="7">
        <v>0</v>
      </c>
      <c r="K17" s="7">
        <v>0</v>
      </c>
      <c r="L17" s="7">
        <f t="shared" si="2"/>
        <v>0</v>
      </c>
    </row>
    <row r="18" spans="1:14" x14ac:dyDescent="0.2">
      <c r="A18" s="18" t="s">
        <v>89</v>
      </c>
      <c r="B18" s="23">
        <v>0</v>
      </c>
      <c r="C18" s="23">
        <v>0</v>
      </c>
      <c r="D18" s="7"/>
      <c r="F18" s="23">
        <v>0</v>
      </c>
      <c r="G18" s="7">
        <v>0</v>
      </c>
      <c r="H18" s="7">
        <f t="shared" si="1"/>
        <v>0</v>
      </c>
      <c r="J18" s="7">
        <v>0</v>
      </c>
      <c r="K18" s="7">
        <v>0</v>
      </c>
      <c r="L18" s="7">
        <f t="shared" si="2"/>
        <v>0</v>
      </c>
    </row>
    <row r="19" spans="1:14" x14ac:dyDescent="0.2">
      <c r="A19" s="18" t="s">
        <v>90</v>
      </c>
      <c r="B19" s="23">
        <v>0</v>
      </c>
      <c r="C19" s="23">
        <v>0</v>
      </c>
      <c r="D19" s="7"/>
      <c r="F19" s="23">
        <v>0</v>
      </c>
      <c r="G19" s="7">
        <v>0</v>
      </c>
      <c r="H19" s="7">
        <f t="shared" si="1"/>
        <v>0</v>
      </c>
      <c r="J19" s="7">
        <v>0</v>
      </c>
      <c r="K19" s="7">
        <v>0</v>
      </c>
      <c r="L19" s="7">
        <f t="shared" si="2"/>
        <v>0</v>
      </c>
    </row>
    <row r="20" spans="1:14" x14ac:dyDescent="0.2">
      <c r="A20" s="18" t="s">
        <v>64</v>
      </c>
      <c r="B20" s="23">
        <f>B90</f>
        <v>0</v>
      </c>
      <c r="C20" s="23">
        <v>0</v>
      </c>
      <c r="D20" s="7"/>
      <c r="F20" s="23">
        <v>0</v>
      </c>
      <c r="G20" s="7">
        <v>0</v>
      </c>
      <c r="H20" s="7">
        <f t="shared" si="1"/>
        <v>0</v>
      </c>
      <c r="J20" s="7">
        <v>0</v>
      </c>
      <c r="K20" s="7">
        <v>0</v>
      </c>
      <c r="L20" s="7">
        <f t="shared" si="2"/>
        <v>0</v>
      </c>
    </row>
    <row r="21" spans="1:14" x14ac:dyDescent="0.2">
      <c r="A21" s="18" t="s">
        <v>91</v>
      </c>
      <c r="B21" s="23">
        <v>15137</v>
      </c>
      <c r="C21" s="23">
        <v>0</v>
      </c>
      <c r="D21" s="7"/>
      <c r="F21" s="23">
        <v>15137</v>
      </c>
      <c r="G21" s="7">
        <v>0</v>
      </c>
      <c r="H21" s="7">
        <f t="shared" si="1"/>
        <v>-15137</v>
      </c>
      <c r="J21" s="7">
        <v>15773.9</v>
      </c>
      <c r="K21" s="7">
        <v>0</v>
      </c>
      <c r="L21" s="7">
        <f t="shared" si="2"/>
        <v>-15773.9</v>
      </c>
      <c r="N21" s="30" t="s">
        <v>119</v>
      </c>
    </row>
    <row r="22" spans="1:14" x14ac:dyDescent="0.2">
      <c r="A22" s="18" t="s">
        <v>92</v>
      </c>
      <c r="B22" s="23">
        <v>0</v>
      </c>
      <c r="C22" s="23">
        <v>0</v>
      </c>
      <c r="D22" s="7"/>
      <c r="F22" s="23">
        <v>0</v>
      </c>
      <c r="G22" s="7">
        <v>0</v>
      </c>
      <c r="H22" s="7">
        <f t="shared" si="1"/>
        <v>0</v>
      </c>
      <c r="J22" s="7">
        <v>0</v>
      </c>
      <c r="K22" s="7">
        <v>0</v>
      </c>
      <c r="L22" s="7">
        <f t="shared" si="2"/>
        <v>0</v>
      </c>
    </row>
    <row r="23" spans="1:14" x14ac:dyDescent="0.2">
      <c r="A23" s="18" t="s">
        <v>65</v>
      </c>
      <c r="B23" s="23">
        <v>106</v>
      </c>
      <c r="C23" s="23">
        <v>458</v>
      </c>
      <c r="D23" s="7"/>
      <c r="F23" s="23">
        <v>3950</v>
      </c>
      <c r="G23" s="7">
        <v>1374</v>
      </c>
      <c r="H23" s="7">
        <f t="shared" si="1"/>
        <v>-2576</v>
      </c>
      <c r="J23" s="7">
        <v>7618</v>
      </c>
      <c r="K23" s="7">
        <v>5500</v>
      </c>
      <c r="L23" s="7">
        <f t="shared" si="2"/>
        <v>-2118</v>
      </c>
    </row>
    <row r="24" spans="1:14" x14ac:dyDescent="0.2">
      <c r="A24" s="18" t="s">
        <v>45</v>
      </c>
      <c r="B24" s="23">
        <v>0</v>
      </c>
      <c r="C24" s="23">
        <v>86</v>
      </c>
      <c r="D24" s="7"/>
      <c r="F24" s="23">
        <v>0</v>
      </c>
      <c r="G24" s="7">
        <v>258</v>
      </c>
      <c r="H24" s="7">
        <f t="shared" si="1"/>
        <v>258</v>
      </c>
      <c r="J24" s="7">
        <v>66156</v>
      </c>
      <c r="K24" s="7">
        <v>71500</v>
      </c>
      <c r="L24" s="7">
        <f t="shared" si="2"/>
        <v>5344</v>
      </c>
    </row>
    <row r="25" spans="1:14" x14ac:dyDescent="0.2">
      <c r="A25" s="18" t="s">
        <v>66</v>
      </c>
      <c r="B25" s="23">
        <v>0</v>
      </c>
      <c r="C25" s="23">
        <v>86</v>
      </c>
      <c r="D25" s="7"/>
      <c r="F25" s="23">
        <v>0</v>
      </c>
      <c r="G25" s="7">
        <v>258</v>
      </c>
      <c r="H25" s="7">
        <f t="shared" si="1"/>
        <v>258</v>
      </c>
      <c r="J25" s="7">
        <v>1156</v>
      </c>
      <c r="K25" s="7">
        <v>1500</v>
      </c>
      <c r="L25" s="7">
        <f t="shared" si="2"/>
        <v>344</v>
      </c>
    </row>
    <row r="26" spans="1:14" x14ac:dyDescent="0.2">
      <c r="A26" s="18" t="s">
        <v>67</v>
      </c>
      <c r="B26" s="23">
        <v>0</v>
      </c>
      <c r="C26" s="23">
        <v>857</v>
      </c>
      <c r="D26" s="7">
        <f t="shared" si="0"/>
        <v>857</v>
      </c>
      <c r="F26" s="23">
        <v>0</v>
      </c>
      <c r="G26" s="7">
        <v>2571</v>
      </c>
      <c r="H26" s="7">
        <f t="shared" si="1"/>
        <v>2571</v>
      </c>
      <c r="J26" s="7">
        <v>11572</v>
      </c>
      <c r="K26" s="7">
        <v>15000</v>
      </c>
      <c r="L26" s="7">
        <f t="shared" si="2"/>
        <v>3428</v>
      </c>
    </row>
    <row r="27" spans="1:14" x14ac:dyDescent="0.2">
      <c r="A27" s="18" t="s">
        <v>93</v>
      </c>
      <c r="B27" s="23">
        <v>0</v>
      </c>
      <c r="C27" s="23">
        <v>0</v>
      </c>
      <c r="D27" s="7"/>
      <c r="F27" s="23">
        <v>0</v>
      </c>
      <c r="G27" s="7">
        <v>0</v>
      </c>
      <c r="H27" s="7">
        <f t="shared" si="1"/>
        <v>0</v>
      </c>
      <c r="J27" s="7">
        <v>0</v>
      </c>
      <c r="K27" s="7">
        <v>0</v>
      </c>
      <c r="L27" s="7">
        <f t="shared" si="2"/>
        <v>0</v>
      </c>
    </row>
    <row r="28" spans="1:14" x14ac:dyDescent="0.2">
      <c r="A28" s="18" t="s">
        <v>69</v>
      </c>
      <c r="B28" s="23">
        <v>214</v>
      </c>
      <c r="C28" s="23">
        <v>333</v>
      </c>
      <c r="D28" s="7"/>
      <c r="F28" s="23">
        <v>214</v>
      </c>
      <c r="G28" s="7">
        <v>999</v>
      </c>
      <c r="H28" s="7">
        <f t="shared" si="1"/>
        <v>785</v>
      </c>
      <c r="J28" s="7">
        <v>7917.6</v>
      </c>
      <c r="K28" s="7">
        <v>4000</v>
      </c>
      <c r="L28" s="7">
        <f t="shared" si="2"/>
        <v>-3917.6000000000004</v>
      </c>
      <c r="N28" s="30" t="s">
        <v>120</v>
      </c>
    </row>
    <row r="29" spans="1:14" x14ac:dyDescent="0.2">
      <c r="A29" s="18" t="s">
        <v>68</v>
      </c>
      <c r="B29" s="23">
        <v>575</v>
      </c>
      <c r="C29" s="23">
        <v>15833</v>
      </c>
      <c r="D29" s="7"/>
      <c r="F29" s="23">
        <v>7979</v>
      </c>
      <c r="G29" s="7">
        <v>17499</v>
      </c>
      <c r="H29" s="7">
        <f t="shared" si="1"/>
        <v>9520</v>
      </c>
      <c r="J29" s="7">
        <v>28748.49</v>
      </c>
      <c r="K29" s="7">
        <v>25000</v>
      </c>
      <c r="L29" s="7">
        <f t="shared" si="2"/>
        <v>-3748.4900000000016</v>
      </c>
    </row>
    <row r="30" spans="1:14" x14ac:dyDescent="0.2">
      <c r="A30" s="18" t="s">
        <v>94</v>
      </c>
      <c r="B30" s="23">
        <v>0</v>
      </c>
      <c r="C30" s="23">
        <v>0</v>
      </c>
      <c r="D30" s="7">
        <f t="shared" si="0"/>
        <v>0</v>
      </c>
      <c r="F30" s="23">
        <v>0</v>
      </c>
      <c r="G30" s="7">
        <v>0</v>
      </c>
      <c r="H30" s="7">
        <f t="shared" si="1"/>
        <v>0</v>
      </c>
      <c r="J30" s="7">
        <v>0</v>
      </c>
      <c r="K30" s="7">
        <v>0</v>
      </c>
      <c r="L30" s="7">
        <f t="shared" si="2"/>
        <v>0</v>
      </c>
    </row>
    <row r="31" spans="1:14" x14ac:dyDescent="0.2">
      <c r="A31" s="18" t="s">
        <v>46</v>
      </c>
      <c r="B31" s="23">
        <v>0</v>
      </c>
      <c r="C31" s="23">
        <v>600</v>
      </c>
      <c r="D31" s="7">
        <f t="shared" si="0"/>
        <v>600</v>
      </c>
      <c r="F31" s="23">
        <v>47</v>
      </c>
      <c r="G31" s="7">
        <v>1800</v>
      </c>
      <c r="H31" s="7">
        <f t="shared" si="1"/>
        <v>1753</v>
      </c>
      <c r="J31" s="7">
        <v>50147</v>
      </c>
      <c r="K31" s="7">
        <v>52500</v>
      </c>
      <c r="L31" s="7">
        <f t="shared" si="2"/>
        <v>2353</v>
      </c>
    </row>
    <row r="32" spans="1:14" x14ac:dyDescent="0.2">
      <c r="A32" s="18" t="s">
        <v>70</v>
      </c>
      <c r="B32" s="23">
        <v>15912</v>
      </c>
      <c r="C32" s="23">
        <v>3208</v>
      </c>
      <c r="D32" s="7">
        <f t="shared" si="0"/>
        <v>-12704</v>
      </c>
      <c r="F32" s="23">
        <v>17376</v>
      </c>
      <c r="G32" s="7">
        <v>9624</v>
      </c>
      <c r="H32" s="7">
        <f t="shared" si="1"/>
        <v>-7752</v>
      </c>
      <c r="J32" s="7">
        <v>54828.14</v>
      </c>
      <c r="K32" s="7">
        <v>46200</v>
      </c>
      <c r="L32" s="7">
        <f t="shared" si="2"/>
        <v>-8628.14</v>
      </c>
      <c r="N32" s="30" t="s">
        <v>121</v>
      </c>
    </row>
    <row r="33" spans="1:14" x14ac:dyDescent="0.2">
      <c r="A33" s="18" t="s">
        <v>71</v>
      </c>
      <c r="B33" s="23">
        <f>42967-3</f>
        <v>42964</v>
      </c>
      <c r="C33" s="23">
        <v>8953</v>
      </c>
      <c r="D33" s="7">
        <f t="shared" si="0"/>
        <v>-34011</v>
      </c>
      <c r="F33" s="23">
        <v>89793</v>
      </c>
      <c r="G33" s="7">
        <v>26859</v>
      </c>
      <c r="H33" s="7">
        <f t="shared" si="1"/>
        <v>-62934</v>
      </c>
      <c r="J33" s="7">
        <v>283341.74</v>
      </c>
      <c r="K33" s="7">
        <v>124000</v>
      </c>
      <c r="L33" s="7">
        <f t="shared" si="2"/>
        <v>-159341.74</v>
      </c>
      <c r="N33" s="30" t="s">
        <v>123</v>
      </c>
    </row>
    <row r="34" spans="1:14" x14ac:dyDescent="0.2">
      <c r="A34" s="18" t="s">
        <v>44</v>
      </c>
      <c r="B34" s="23">
        <f>65581</f>
        <v>65581</v>
      </c>
      <c r="C34" s="23">
        <v>83297</v>
      </c>
      <c r="D34" s="7">
        <f t="shared" si="0"/>
        <v>17716</v>
      </c>
      <c r="F34" s="23">
        <v>196961</v>
      </c>
      <c r="G34" s="7">
        <v>249891</v>
      </c>
      <c r="H34" s="7">
        <f t="shared" si="1"/>
        <v>52930</v>
      </c>
      <c r="J34" s="7">
        <v>1016310.71</v>
      </c>
      <c r="K34" s="7">
        <v>1084143</v>
      </c>
      <c r="L34" s="7">
        <f t="shared" si="2"/>
        <v>67832.290000000037</v>
      </c>
    </row>
    <row r="35" spans="1:14" x14ac:dyDescent="0.2">
      <c r="A35" s="18" t="s">
        <v>47</v>
      </c>
      <c r="B35" s="23">
        <v>7369</v>
      </c>
      <c r="C35" s="23">
        <v>4075</v>
      </c>
      <c r="D35" s="7">
        <f t="shared" si="0"/>
        <v>-3294</v>
      </c>
      <c r="F35" s="23">
        <v>17984</v>
      </c>
      <c r="G35" s="7">
        <v>12225</v>
      </c>
      <c r="H35" s="7">
        <f t="shared" si="1"/>
        <v>-5759</v>
      </c>
      <c r="J35" s="7">
        <v>57229.72</v>
      </c>
      <c r="K35" s="7">
        <v>48900</v>
      </c>
      <c r="L35" s="7">
        <f t="shared" si="2"/>
        <v>-8329.7200000000012</v>
      </c>
      <c r="N35" s="30" t="s">
        <v>122</v>
      </c>
    </row>
    <row r="36" spans="1:14" x14ac:dyDescent="0.2">
      <c r="A36" s="18" t="s">
        <v>2</v>
      </c>
      <c r="B36" s="23">
        <v>31612</v>
      </c>
      <c r="C36" s="23">
        <f>3850+17180</f>
        <v>21030</v>
      </c>
      <c r="D36" s="7">
        <f t="shared" si="0"/>
        <v>-10582</v>
      </c>
      <c r="F36" s="23">
        <v>74262</v>
      </c>
      <c r="G36" s="7">
        <v>63090</v>
      </c>
      <c r="H36" s="7">
        <f t="shared" si="1"/>
        <v>-11172</v>
      </c>
      <c r="J36" s="7">
        <v>286787.90000000002</v>
      </c>
      <c r="K36" s="7">
        <v>257165</v>
      </c>
      <c r="L36" s="7">
        <f t="shared" si="2"/>
        <v>-29622.900000000023</v>
      </c>
      <c r="N36" s="30" t="s">
        <v>125</v>
      </c>
    </row>
    <row r="37" spans="1:14" x14ac:dyDescent="0.2">
      <c r="A37" s="18" t="s">
        <v>95</v>
      </c>
      <c r="B37" s="23">
        <v>0</v>
      </c>
      <c r="C37" s="23">
        <v>0</v>
      </c>
      <c r="D37" s="7">
        <f t="shared" si="0"/>
        <v>0</v>
      </c>
      <c r="F37" s="23">
        <v>0</v>
      </c>
      <c r="G37" s="7">
        <v>0</v>
      </c>
      <c r="H37" s="7">
        <f t="shared" si="1"/>
        <v>0</v>
      </c>
      <c r="J37" s="7">
        <v>0</v>
      </c>
      <c r="K37" s="7">
        <v>0</v>
      </c>
      <c r="L37" s="7">
        <f t="shared" si="2"/>
        <v>0</v>
      </c>
    </row>
    <row r="38" spans="1:14" x14ac:dyDescent="0.2">
      <c r="A38" s="18" t="s">
        <v>72</v>
      </c>
      <c r="B38" s="23">
        <f>42</f>
        <v>42</v>
      </c>
      <c r="C38" s="23">
        <v>146</v>
      </c>
      <c r="D38" s="7">
        <f t="shared" si="0"/>
        <v>104</v>
      </c>
      <c r="F38" s="23">
        <v>42</v>
      </c>
      <c r="G38" s="7">
        <v>438</v>
      </c>
      <c r="H38" s="7">
        <f t="shared" si="1"/>
        <v>396</v>
      </c>
      <c r="J38" s="7">
        <v>1208</v>
      </c>
      <c r="K38" s="7">
        <v>1750</v>
      </c>
      <c r="L38" s="7">
        <f t="shared" si="2"/>
        <v>542</v>
      </c>
    </row>
    <row r="39" spans="1:14" x14ac:dyDescent="0.2">
      <c r="A39" s="18" t="s">
        <v>48</v>
      </c>
      <c r="B39" s="23">
        <f>4561</f>
        <v>4561</v>
      </c>
      <c r="C39" s="23">
        <v>11143</v>
      </c>
      <c r="D39" s="7">
        <f t="shared" si="0"/>
        <v>6582</v>
      </c>
      <c r="F39" s="23">
        <v>6391</v>
      </c>
      <c r="G39" s="7">
        <v>33429</v>
      </c>
      <c r="H39" s="7">
        <f t="shared" si="1"/>
        <v>27038</v>
      </c>
      <c r="J39" s="7">
        <v>158582.15</v>
      </c>
      <c r="K39" s="7">
        <v>195000</v>
      </c>
      <c r="L39" s="7">
        <f t="shared" si="2"/>
        <v>36417.850000000006</v>
      </c>
    </row>
    <row r="40" spans="1:14" x14ac:dyDescent="0.2">
      <c r="A40" s="18" t="s">
        <v>74</v>
      </c>
      <c r="B40" s="23">
        <f>B110</f>
        <v>0</v>
      </c>
      <c r="C40" s="23">
        <v>0</v>
      </c>
      <c r="D40" s="7">
        <f t="shared" si="0"/>
        <v>0</v>
      </c>
      <c r="F40" s="23">
        <v>0</v>
      </c>
      <c r="G40" s="7">
        <v>0</v>
      </c>
      <c r="H40" s="7">
        <f t="shared" si="1"/>
        <v>0</v>
      </c>
      <c r="J40" s="7">
        <v>0</v>
      </c>
      <c r="K40" s="7">
        <v>0</v>
      </c>
      <c r="L40" s="7">
        <f t="shared" si="2"/>
        <v>0</v>
      </c>
    </row>
    <row r="41" spans="1:14" x14ac:dyDescent="0.2">
      <c r="A41" s="18" t="s">
        <v>96</v>
      </c>
      <c r="B41" s="23">
        <v>0</v>
      </c>
      <c r="C41" s="23">
        <v>0</v>
      </c>
      <c r="D41" s="7">
        <f t="shared" si="0"/>
        <v>0</v>
      </c>
      <c r="F41" s="23">
        <v>13454</v>
      </c>
      <c r="G41" s="7">
        <v>0</v>
      </c>
      <c r="H41" s="7">
        <f t="shared" si="1"/>
        <v>-13454</v>
      </c>
      <c r="J41" s="7">
        <v>48099.39</v>
      </c>
      <c r="K41" s="7">
        <v>0</v>
      </c>
      <c r="L41" s="7">
        <f>+K41-J41</f>
        <v>-48099.39</v>
      </c>
      <c r="N41" s="33" t="s">
        <v>106</v>
      </c>
    </row>
    <row r="42" spans="1:14" x14ac:dyDescent="0.2">
      <c r="A42" s="18"/>
      <c r="D42" s="7"/>
      <c r="G42" s="7"/>
      <c r="H42" s="7"/>
      <c r="J42" s="7"/>
      <c r="K42" s="7"/>
      <c r="L42" s="7"/>
      <c r="N42" s="33"/>
    </row>
    <row r="43" spans="1:14" x14ac:dyDescent="0.2">
      <c r="A43" s="19" t="s">
        <v>28</v>
      </c>
      <c r="B43" s="27">
        <f>SUM(B14:B41)</f>
        <v>184073</v>
      </c>
      <c r="C43" s="27">
        <f>SUM(C14:C41)</f>
        <v>150648</v>
      </c>
      <c r="D43" s="8">
        <f t="shared" si="0"/>
        <v>-33425</v>
      </c>
      <c r="F43" s="27">
        <v>443590</v>
      </c>
      <c r="G43" s="8">
        <v>421944</v>
      </c>
      <c r="H43" s="8">
        <f t="shared" si="1"/>
        <v>-21646</v>
      </c>
      <c r="J43" s="8">
        <v>2102804.7400000002</v>
      </c>
      <c r="K43" s="8">
        <v>1941658</v>
      </c>
      <c r="L43" s="8">
        <f>SUM(L15:L41)</f>
        <v>-161146.74</v>
      </c>
      <c r="N43" s="30" t="s">
        <v>102</v>
      </c>
    </row>
    <row r="44" spans="1:14" x14ac:dyDescent="0.2">
      <c r="A44" s="19"/>
      <c r="B44" s="26"/>
      <c r="C44" s="26"/>
      <c r="D44" s="20"/>
      <c r="F44" s="26"/>
      <c r="G44" s="20"/>
      <c r="H44" s="20"/>
      <c r="J44" s="20"/>
      <c r="K44" s="20"/>
      <c r="L44" s="20"/>
    </row>
    <row r="45" spans="1:14" x14ac:dyDescent="0.2">
      <c r="A45" s="17" t="s">
        <v>29</v>
      </c>
      <c r="B45" s="25">
        <v>16152</v>
      </c>
      <c r="C45" s="25">
        <f>200000/12</f>
        <v>16666.666666666668</v>
      </c>
      <c r="D45" s="6">
        <f>+C45-B45</f>
        <v>514.66666666666788</v>
      </c>
      <c r="F45" s="25">
        <v>52516</v>
      </c>
      <c r="G45" s="6">
        <v>50000</v>
      </c>
      <c r="H45" s="6">
        <f>+G45-F45</f>
        <v>-2516</v>
      </c>
      <c r="J45" s="6">
        <v>207019</v>
      </c>
      <c r="K45" s="6">
        <v>203500</v>
      </c>
      <c r="L45" s="6">
        <f>+K45-J45</f>
        <v>-3519</v>
      </c>
      <c r="N45" s="30" t="s">
        <v>78</v>
      </c>
    </row>
    <row r="46" spans="1:14" x14ac:dyDescent="0.2">
      <c r="A46" s="17"/>
      <c r="D46" s="7"/>
      <c r="G46" s="7"/>
      <c r="H46" s="7"/>
      <c r="J46" s="7"/>
      <c r="K46" s="7"/>
      <c r="L46" s="7"/>
      <c r="N46" s="30" t="s">
        <v>77</v>
      </c>
    </row>
    <row r="47" spans="1:14" x14ac:dyDescent="0.2">
      <c r="A47" s="17" t="s">
        <v>30</v>
      </c>
      <c r="B47" s="25">
        <v>0</v>
      </c>
      <c r="C47" s="25">
        <v>50000</v>
      </c>
      <c r="D47" s="6">
        <f>+C47-B47</f>
        <v>50000</v>
      </c>
      <c r="F47" s="25">
        <v>266667</v>
      </c>
      <c r="G47" s="6">
        <v>150000</v>
      </c>
      <c r="H47" s="6">
        <f>+G47-F47</f>
        <v>-116667</v>
      </c>
      <c r="J47" s="6">
        <v>1000000</v>
      </c>
      <c r="K47" s="6">
        <v>600000</v>
      </c>
      <c r="L47" s="6">
        <f>+K47-J47</f>
        <v>-400000</v>
      </c>
      <c r="N47" s="33" t="s">
        <v>98</v>
      </c>
    </row>
    <row r="48" spans="1:14" x14ac:dyDescent="0.2">
      <c r="A48" s="17"/>
      <c r="D48" s="7"/>
      <c r="G48" s="7"/>
      <c r="H48" s="7"/>
      <c r="J48" s="7"/>
      <c r="K48" s="7"/>
      <c r="L48" s="7"/>
    </row>
    <row r="49" spans="1:14" ht="13.5" thickBot="1" x14ac:dyDescent="0.25">
      <c r="A49" s="4" t="s">
        <v>16</v>
      </c>
      <c r="B49" s="24">
        <f>+B43+B45+B47</f>
        <v>200225</v>
      </c>
      <c r="C49" s="24">
        <f>+C43+C45+C47</f>
        <v>217314.66666666666</v>
      </c>
      <c r="D49" s="9">
        <f>+C49-B49</f>
        <v>17089.666666666657</v>
      </c>
      <c r="F49" s="24">
        <v>762773</v>
      </c>
      <c r="G49" s="9">
        <v>621944</v>
      </c>
      <c r="H49" s="9">
        <f>+G49-F49</f>
        <v>-140829</v>
      </c>
      <c r="J49" s="9">
        <v>3309823.74</v>
      </c>
      <c r="K49" s="9">
        <v>2745158</v>
      </c>
      <c r="L49" s="9">
        <f>+K49-J49</f>
        <v>-564665.74000000022</v>
      </c>
    </row>
    <row r="50" spans="1:14" x14ac:dyDescent="0.2">
      <c r="A50" s="1"/>
      <c r="D50" s="7"/>
      <c r="G50" s="7"/>
      <c r="H50" s="7"/>
      <c r="J50" s="7"/>
      <c r="K50" s="7"/>
      <c r="L50" s="7"/>
    </row>
    <row r="51" spans="1:14" x14ac:dyDescent="0.2">
      <c r="A51" s="1" t="s">
        <v>11</v>
      </c>
      <c r="D51" s="7"/>
      <c r="G51" s="7"/>
      <c r="H51" s="7"/>
      <c r="J51" s="7"/>
      <c r="K51" s="7"/>
      <c r="L51" s="7"/>
    </row>
    <row r="52" spans="1:14" x14ac:dyDescent="0.2">
      <c r="A52" s="3" t="s">
        <v>0</v>
      </c>
      <c r="B52" s="23">
        <v>38518</v>
      </c>
      <c r="C52" s="23">
        <f>250650/12</f>
        <v>20887.5</v>
      </c>
      <c r="D52" s="7">
        <f t="shared" ref="D52:D59" si="3">+C52-B52</f>
        <v>-17630.5</v>
      </c>
      <c r="F52" s="23">
        <v>75554</v>
      </c>
      <c r="G52" s="7">
        <v>62662.5</v>
      </c>
      <c r="H52" s="7">
        <f t="shared" ref="H52:H59" si="4">+G52-F52</f>
        <v>-12891.5</v>
      </c>
      <c r="J52" s="7">
        <v>270554</v>
      </c>
      <c r="K52" s="7">
        <v>255030.25</v>
      </c>
      <c r="L52" s="7">
        <f t="shared" ref="L52:L59" si="5">+K52-J52</f>
        <v>-15523.75</v>
      </c>
      <c r="N52" s="30" t="s">
        <v>76</v>
      </c>
    </row>
    <row r="53" spans="1:14" x14ac:dyDescent="0.2">
      <c r="A53" s="3" t="s">
        <v>1</v>
      </c>
      <c r="B53" s="23">
        <v>44182</v>
      </c>
      <c r="C53" s="23">
        <v>0</v>
      </c>
      <c r="D53" s="7">
        <f t="shared" si="3"/>
        <v>-44182</v>
      </c>
      <c r="F53" s="23">
        <v>142364</v>
      </c>
      <c r="G53" s="7">
        <v>0</v>
      </c>
      <c r="H53" s="7">
        <f t="shared" si="4"/>
        <v>-142364</v>
      </c>
      <c r="J53" s="7">
        <v>488800</v>
      </c>
      <c r="K53" s="7">
        <v>429038.75</v>
      </c>
      <c r="L53" s="7">
        <f t="shared" si="5"/>
        <v>-59761.25</v>
      </c>
      <c r="N53" s="30" t="s">
        <v>75</v>
      </c>
    </row>
    <row r="54" spans="1:14" x14ac:dyDescent="0.2">
      <c r="A54" s="3" t="s">
        <v>3</v>
      </c>
      <c r="B54" s="23">
        <v>0</v>
      </c>
      <c r="C54" s="23">
        <f>100000/12</f>
        <v>8333.3333333333339</v>
      </c>
      <c r="D54" s="7">
        <f t="shared" si="3"/>
        <v>8333.3333333333339</v>
      </c>
      <c r="F54" s="23">
        <v>0</v>
      </c>
      <c r="G54" s="7">
        <v>25000</v>
      </c>
      <c r="H54" s="7">
        <f t="shared" si="4"/>
        <v>25000</v>
      </c>
      <c r="J54" s="7">
        <v>68416.666666666672</v>
      </c>
      <c r="K54" s="7">
        <v>101750</v>
      </c>
      <c r="L54" s="7">
        <f t="shared" si="5"/>
        <v>33333.333333333328</v>
      </c>
    </row>
    <row r="55" spans="1:14" x14ac:dyDescent="0.2">
      <c r="A55" s="3" t="s">
        <v>4</v>
      </c>
      <c r="B55" s="23">
        <v>0</v>
      </c>
      <c r="C55" s="23">
        <v>2500</v>
      </c>
      <c r="D55" s="7">
        <f t="shared" si="3"/>
        <v>2500</v>
      </c>
      <c r="F55" s="23">
        <v>0</v>
      </c>
      <c r="G55" s="7">
        <v>7500</v>
      </c>
      <c r="H55" s="7">
        <f t="shared" si="4"/>
        <v>7500</v>
      </c>
      <c r="J55" s="7">
        <v>20525</v>
      </c>
      <c r="K55" s="7">
        <v>30525</v>
      </c>
      <c r="L55" s="7">
        <f t="shared" si="5"/>
        <v>10000</v>
      </c>
    </row>
    <row r="56" spans="1:14" x14ac:dyDescent="0.2">
      <c r="A56" s="3" t="s">
        <v>5</v>
      </c>
      <c r="B56" s="23">
        <v>-50786</v>
      </c>
      <c r="C56" s="23">
        <f>75000/12</f>
        <v>6250</v>
      </c>
      <c r="D56" s="7">
        <f t="shared" si="3"/>
        <v>57036</v>
      </c>
      <c r="F56" s="23">
        <v>-48136</v>
      </c>
      <c r="G56" s="7">
        <v>18750</v>
      </c>
      <c r="H56" s="7">
        <f t="shared" si="4"/>
        <v>66886</v>
      </c>
      <c r="J56" s="7">
        <v>3176.5</v>
      </c>
      <c r="K56" s="7">
        <v>76312.5</v>
      </c>
      <c r="L56" s="7">
        <f t="shared" si="5"/>
        <v>73136</v>
      </c>
    </row>
    <row r="57" spans="1:14" x14ac:dyDescent="0.2">
      <c r="A57" s="3" t="s">
        <v>14</v>
      </c>
      <c r="B57" s="23">
        <v>0</v>
      </c>
      <c r="C57" s="23">
        <v>0</v>
      </c>
      <c r="D57" s="7">
        <f t="shared" si="3"/>
        <v>0</v>
      </c>
      <c r="F57" s="23">
        <v>0</v>
      </c>
      <c r="G57" s="7">
        <v>0</v>
      </c>
      <c r="H57" s="7">
        <f t="shared" si="4"/>
        <v>0</v>
      </c>
      <c r="J57" s="7">
        <v>0</v>
      </c>
      <c r="K57" s="7">
        <v>0</v>
      </c>
      <c r="L57" s="7">
        <f t="shared" si="5"/>
        <v>0</v>
      </c>
    </row>
    <row r="58" spans="1:14" x14ac:dyDescent="0.2">
      <c r="A58" s="3"/>
      <c r="D58" s="7">
        <f t="shared" si="3"/>
        <v>0</v>
      </c>
      <c r="G58" s="7"/>
      <c r="H58" s="7">
        <f t="shared" si="4"/>
        <v>0</v>
      </c>
      <c r="J58" s="7">
        <v>0</v>
      </c>
      <c r="K58" s="7">
        <v>0</v>
      </c>
      <c r="L58" s="7">
        <f t="shared" si="5"/>
        <v>0</v>
      </c>
    </row>
    <row r="59" spans="1:14" ht="13.5" thickBot="1" x14ac:dyDescent="0.25">
      <c r="A59" s="4" t="s">
        <v>15</v>
      </c>
      <c r="B59" s="28">
        <f>SUM(B51:B58)</f>
        <v>31914</v>
      </c>
      <c r="C59" s="28">
        <f>SUM(C51:C58)</f>
        <v>37970.833333333336</v>
      </c>
      <c r="D59" s="21">
        <f t="shared" si="3"/>
        <v>6056.8333333333358</v>
      </c>
      <c r="F59" s="28">
        <v>169782</v>
      </c>
      <c r="G59" s="21">
        <v>113912.5</v>
      </c>
      <c r="H59" s="21">
        <f t="shared" si="4"/>
        <v>-55869.5</v>
      </c>
      <c r="J59" s="21">
        <v>851472.16666666663</v>
      </c>
      <c r="K59" s="21">
        <v>892656.5</v>
      </c>
      <c r="L59" s="21">
        <f t="shared" si="5"/>
        <v>41184.333333333372</v>
      </c>
    </row>
    <row r="60" spans="1:14" x14ac:dyDescent="0.2">
      <c r="A60" s="3"/>
      <c r="D60" s="7"/>
      <c r="G60" s="7"/>
      <c r="H60" s="7"/>
      <c r="J60" s="7"/>
      <c r="K60" s="7"/>
      <c r="L60" s="7"/>
    </row>
    <row r="61" spans="1:14" x14ac:dyDescent="0.2">
      <c r="A61" s="1" t="s">
        <v>12</v>
      </c>
      <c r="D61" s="7"/>
      <c r="G61" s="7"/>
      <c r="H61" s="7"/>
      <c r="J61" s="7"/>
      <c r="K61" s="7"/>
      <c r="L61" s="7"/>
    </row>
    <row r="62" spans="1:14" x14ac:dyDescent="0.2">
      <c r="A62" s="3" t="s">
        <v>6</v>
      </c>
      <c r="B62" s="23">
        <v>0</v>
      </c>
      <c r="C62" s="23">
        <v>0</v>
      </c>
      <c r="D62" s="7">
        <f>+C62-B62</f>
        <v>0</v>
      </c>
      <c r="F62" s="23">
        <v>0</v>
      </c>
      <c r="G62" s="7">
        <v>0</v>
      </c>
      <c r="H62" s="7">
        <f>+G62-F62</f>
        <v>0</v>
      </c>
      <c r="J62" s="7">
        <v>0</v>
      </c>
      <c r="K62" s="7">
        <v>0</v>
      </c>
      <c r="L62" s="7">
        <f>+K62-J62</f>
        <v>0</v>
      </c>
    </row>
    <row r="63" spans="1:14" x14ac:dyDescent="0.2">
      <c r="A63" s="3" t="s">
        <v>7</v>
      </c>
      <c r="B63" s="23">
        <v>512530</v>
      </c>
      <c r="C63" s="23">
        <v>666000</v>
      </c>
      <c r="D63" s="7">
        <f>+C63-B63</f>
        <v>153470</v>
      </c>
      <c r="F63" s="23">
        <v>1816283</v>
      </c>
      <c r="G63" s="7">
        <v>1970000</v>
      </c>
      <c r="H63" s="7">
        <f>+G63-F63</f>
        <v>153717</v>
      </c>
      <c r="J63" s="7">
        <v>6706426.8651125086</v>
      </c>
      <c r="K63" s="7">
        <v>7938000</v>
      </c>
      <c r="L63" s="7">
        <f>+K63-J63</f>
        <v>1231573.1348874914</v>
      </c>
      <c r="N63" s="30"/>
    </row>
    <row r="64" spans="1:14" x14ac:dyDescent="0.2">
      <c r="A64" s="3" t="s">
        <v>8</v>
      </c>
      <c r="B64" s="23">
        <v>369722</v>
      </c>
      <c r="C64" s="23">
        <v>364000</v>
      </c>
      <c r="D64" s="7">
        <f>+C64-B64</f>
        <v>-5722</v>
      </c>
      <c r="F64" s="23">
        <v>1123295</v>
      </c>
      <c r="G64" s="7">
        <v>1092000</v>
      </c>
      <c r="H64" s="7">
        <f>+G64-F64</f>
        <v>-31295</v>
      </c>
      <c r="J64" s="7">
        <v>4488989</v>
      </c>
      <c r="K64" s="7">
        <v>4365000</v>
      </c>
      <c r="L64" s="7">
        <f>+K64-J64</f>
        <v>-123989</v>
      </c>
      <c r="N64" s="30" t="s">
        <v>86</v>
      </c>
    </row>
    <row r="65" spans="1:12" x14ac:dyDescent="0.2">
      <c r="A65" s="3"/>
      <c r="D65" s="7">
        <f>+C65-B65</f>
        <v>0</v>
      </c>
      <c r="G65" s="7"/>
      <c r="H65" s="7">
        <f>+G65-F65</f>
        <v>0</v>
      </c>
      <c r="J65" s="7">
        <v>0</v>
      </c>
      <c r="K65" s="7">
        <v>0</v>
      </c>
      <c r="L65" s="7">
        <f>+K65-J65</f>
        <v>0</v>
      </c>
    </row>
    <row r="66" spans="1:12" ht="13.5" thickBot="1" x14ac:dyDescent="0.25">
      <c r="A66" s="4" t="s">
        <v>17</v>
      </c>
      <c r="B66" s="28">
        <f>SUM(B61:B65)</f>
        <v>882252</v>
      </c>
      <c r="C66" s="28">
        <f>SUM(C61:C65)</f>
        <v>1030000</v>
      </c>
      <c r="D66" s="21">
        <f>+C66-B66</f>
        <v>147748</v>
      </c>
      <c r="F66" s="28">
        <v>2939578</v>
      </c>
      <c r="G66" s="21">
        <v>3062000</v>
      </c>
      <c r="H66" s="21">
        <f>+G66-F66</f>
        <v>122422</v>
      </c>
      <c r="J66" s="21">
        <v>11195415.86511251</v>
      </c>
      <c r="K66" s="21">
        <v>12303000</v>
      </c>
      <c r="L66" s="21">
        <f>SUM(L62:L65)</f>
        <v>1107584.1348874914</v>
      </c>
    </row>
    <row r="67" spans="1:12" x14ac:dyDescent="0.2">
      <c r="D67" s="7"/>
      <c r="G67" s="7"/>
      <c r="H67" s="7"/>
      <c r="J67" s="7"/>
      <c r="K67" s="7"/>
      <c r="L67" s="7"/>
    </row>
    <row r="68" spans="1:12" ht="13.5" thickBot="1" x14ac:dyDescent="0.25">
      <c r="A68" s="1" t="s">
        <v>13</v>
      </c>
      <c r="B68" s="29">
        <f>+B11+B49+B59+B66</f>
        <v>1114391</v>
      </c>
      <c r="C68" s="29">
        <f>+C11+C49+C59+C66</f>
        <v>1285285.5</v>
      </c>
      <c r="D68" s="22">
        <f>+C68-B68</f>
        <v>170894.5</v>
      </c>
      <c r="F68" s="29">
        <v>3872133</v>
      </c>
      <c r="G68" s="22">
        <v>3797856.5</v>
      </c>
      <c r="H68" s="22">
        <f>+G68-F68</f>
        <v>-74276.5</v>
      </c>
      <c r="J68" s="22">
        <v>15356711.771779176</v>
      </c>
      <c r="K68" s="22">
        <v>15940814.5</v>
      </c>
      <c r="L68" s="22">
        <f>+K68-J68</f>
        <v>584102.72822082415</v>
      </c>
    </row>
    <row r="69" spans="1:12" ht="13.5" thickTop="1" x14ac:dyDescent="0.2">
      <c r="A69" s="1"/>
      <c r="B69" s="20"/>
      <c r="F69" s="20"/>
      <c r="J69" s="20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Variance</vt:lpstr>
      <vt:lpstr>Consol Summary</vt:lpstr>
      <vt:lpstr>BRN Summ</vt:lpstr>
      <vt:lpstr>BRN MO</vt:lpstr>
      <vt:lpstr>BRN YTD</vt:lpstr>
      <vt:lpstr>CAL Summ</vt:lpstr>
      <vt:lpstr>CAL MO</vt:lpstr>
      <vt:lpstr>CAL YTD</vt:lpstr>
      <vt:lpstr>NA Summ</vt:lpstr>
      <vt:lpstr>NA MO</vt:lpstr>
      <vt:lpstr>NA YTD</vt:lpstr>
      <vt:lpstr>'BRN Summ'!Print_Area</vt:lpstr>
      <vt:lpstr>'CAL Summ'!Print_Area</vt:lpstr>
      <vt:lpstr>'NA Summ'!Print_Area</vt:lpstr>
      <vt:lpstr>'NA YTD'!Print_Area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2000-04-25T15:33:04Z</cp:lastPrinted>
  <dcterms:created xsi:type="dcterms:W3CDTF">1999-11-24T14:17:32Z</dcterms:created>
  <dcterms:modified xsi:type="dcterms:W3CDTF">2023-09-13T21:45:08Z</dcterms:modified>
</cp:coreProperties>
</file>