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9EA516-6A8E-4EF9-9B0D-1E593C72E94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Sheet1!$A$1:$P$254</definedName>
  </definedNames>
  <calcPr calcId="0" calcMode="manual" iterate="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H5" i="1"/>
  <c r="I5" i="1"/>
  <c r="J5" i="1"/>
  <c r="K5" i="1"/>
  <c r="H6" i="1"/>
  <c r="J6" i="1"/>
  <c r="K6" i="1"/>
  <c r="C7" i="1"/>
  <c r="D7" i="1"/>
  <c r="E7" i="1"/>
  <c r="F7" i="1"/>
  <c r="G7" i="1"/>
  <c r="H7" i="1"/>
  <c r="I7" i="1"/>
  <c r="J7" i="1"/>
  <c r="K7" i="1"/>
  <c r="C9" i="1"/>
  <c r="G9" i="1"/>
  <c r="K9" i="1"/>
  <c r="K10" i="1"/>
  <c r="F11" i="1"/>
  <c r="G11" i="1"/>
  <c r="K11" i="1"/>
  <c r="F12" i="1"/>
  <c r="G12" i="1"/>
  <c r="H12" i="1"/>
  <c r="I12" i="1"/>
  <c r="K12" i="1"/>
  <c r="C13" i="1"/>
  <c r="D13" i="1"/>
  <c r="E13" i="1"/>
  <c r="F13" i="1"/>
  <c r="G13" i="1"/>
  <c r="K13" i="1"/>
  <c r="F14" i="1"/>
  <c r="G14" i="1"/>
  <c r="K14" i="1"/>
  <c r="C15" i="1"/>
  <c r="D15" i="1"/>
  <c r="E15" i="1"/>
  <c r="F15" i="1"/>
  <c r="G15" i="1"/>
  <c r="J15" i="1"/>
  <c r="K15" i="1"/>
  <c r="G16" i="1"/>
  <c r="K16" i="1"/>
  <c r="B18" i="1"/>
  <c r="C18" i="1"/>
  <c r="D18" i="1"/>
  <c r="E18" i="1"/>
  <c r="F18" i="1"/>
  <c r="G18" i="1"/>
  <c r="H18" i="1"/>
  <c r="I18" i="1"/>
  <c r="J18" i="1"/>
  <c r="K18" i="1"/>
  <c r="C20" i="1"/>
  <c r="D20" i="1"/>
  <c r="E20" i="1"/>
  <c r="G20" i="1"/>
  <c r="K20" i="1"/>
  <c r="G22" i="1"/>
  <c r="H22" i="1"/>
  <c r="I22" i="1"/>
  <c r="J22" i="1"/>
  <c r="K22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G25" i="1"/>
  <c r="K25" i="1"/>
  <c r="G26" i="1"/>
  <c r="H26" i="1"/>
  <c r="I26" i="1"/>
  <c r="K26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F36" i="1"/>
  <c r="G36" i="1"/>
  <c r="H36" i="1"/>
  <c r="I36" i="1"/>
  <c r="J36" i="1"/>
  <c r="K36" i="1"/>
  <c r="L36" i="1"/>
  <c r="M36" i="1"/>
  <c r="N36" i="1"/>
  <c r="O36" i="1"/>
  <c r="P36" i="1"/>
  <c r="R36" i="1"/>
  <c r="F37" i="1"/>
  <c r="G37" i="1"/>
  <c r="H37" i="1"/>
  <c r="I37" i="1"/>
  <c r="J37" i="1"/>
  <c r="K37" i="1"/>
  <c r="L37" i="1"/>
  <c r="M37" i="1"/>
  <c r="N37" i="1"/>
  <c r="O37" i="1"/>
  <c r="P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H44" i="1"/>
  <c r="I44" i="1"/>
  <c r="J44" i="1"/>
  <c r="K44" i="1"/>
  <c r="L44" i="1"/>
  <c r="M44" i="1"/>
  <c r="N44" i="1"/>
  <c r="O44" i="1"/>
  <c r="Q44" i="1"/>
  <c r="C45" i="1"/>
  <c r="O45" i="1"/>
  <c r="Q45" i="1"/>
  <c r="F46" i="1"/>
  <c r="G46" i="1"/>
  <c r="O46" i="1"/>
  <c r="Q46" i="1"/>
  <c r="B47" i="1"/>
  <c r="C47" i="1"/>
  <c r="D47" i="1"/>
  <c r="G47" i="1"/>
  <c r="H47" i="1"/>
  <c r="I47" i="1"/>
  <c r="J47" i="1"/>
  <c r="K47" i="1"/>
  <c r="L47" i="1"/>
  <c r="M47" i="1"/>
  <c r="N47" i="1"/>
  <c r="O47" i="1"/>
  <c r="R47" i="1"/>
  <c r="B48" i="1"/>
  <c r="C48" i="1"/>
  <c r="D48" i="1"/>
  <c r="G48" i="1"/>
  <c r="H48" i="1"/>
  <c r="I48" i="1"/>
  <c r="J48" i="1"/>
  <c r="K48" i="1"/>
  <c r="L48" i="1"/>
  <c r="M48" i="1"/>
  <c r="N48" i="1"/>
  <c r="O48" i="1"/>
  <c r="Q48" i="1"/>
  <c r="H49" i="1"/>
  <c r="I49" i="1"/>
  <c r="J49" i="1"/>
  <c r="K49" i="1"/>
  <c r="L49" i="1"/>
  <c r="M49" i="1"/>
  <c r="N49" i="1"/>
  <c r="O49" i="1"/>
  <c r="R49" i="1"/>
  <c r="H50" i="1"/>
  <c r="I50" i="1"/>
  <c r="J50" i="1"/>
  <c r="K50" i="1"/>
  <c r="L50" i="1"/>
  <c r="M50" i="1"/>
  <c r="N50" i="1"/>
  <c r="O50" i="1"/>
  <c r="Q50" i="1"/>
  <c r="F51" i="1"/>
  <c r="G51" i="1"/>
  <c r="H51" i="1"/>
  <c r="I51" i="1"/>
  <c r="J51" i="1"/>
  <c r="K51" i="1"/>
  <c r="L51" i="1"/>
  <c r="M51" i="1"/>
  <c r="N51" i="1"/>
  <c r="O51" i="1"/>
  <c r="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Q52" i="1"/>
  <c r="B53" i="1"/>
  <c r="C53" i="1"/>
  <c r="O53" i="1"/>
  <c r="O54" i="1"/>
  <c r="L55" i="1"/>
  <c r="M55" i="1"/>
  <c r="N55" i="1"/>
  <c r="O55" i="1"/>
  <c r="Q55" i="1"/>
  <c r="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Q56" i="1"/>
  <c r="R56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Q66" i="1"/>
  <c r="R66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F80" i="1"/>
  <c r="G80" i="1"/>
  <c r="H80" i="1"/>
  <c r="I80" i="1"/>
  <c r="J80" i="1"/>
  <c r="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N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N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N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N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N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</calcChain>
</file>

<file path=xl/sharedStrings.xml><?xml version="1.0" encoding="utf-8"?>
<sst xmlns="http://schemas.openxmlformats.org/spreadsheetml/2006/main" count="230" uniqueCount="71">
  <si>
    <t>Grand Total</t>
  </si>
  <si>
    <t>1999 Total</t>
  </si>
  <si>
    <t>2000 Total</t>
  </si>
  <si>
    <t>Jun-99 Liq</t>
  </si>
  <si>
    <t>Jul-99 Liq</t>
  </si>
  <si>
    <t>2001 Total</t>
  </si>
  <si>
    <t>2002 Total</t>
  </si>
  <si>
    <t>2003 Total</t>
  </si>
  <si>
    <t>Aug-99 Liq</t>
  </si>
  <si>
    <t>Sep-99 Liq</t>
  </si>
  <si>
    <t>Demand Payment</t>
  </si>
  <si>
    <t>External Capacity Sales</t>
  </si>
  <si>
    <t>Gas Hedge Value</t>
  </si>
  <si>
    <t>Gas Demand Payment</t>
  </si>
  <si>
    <t>Power Hedge Value</t>
  </si>
  <si>
    <t>TVA OPA</t>
  </si>
  <si>
    <t>TVA Dmd Charge</t>
  </si>
  <si>
    <t>Cinergy Short Position</t>
  </si>
  <si>
    <t>Third Quarter</t>
  </si>
  <si>
    <t xml:space="preserve">     Depreciation</t>
  </si>
  <si>
    <t xml:space="preserve">     Fixed O&amp;M</t>
  </si>
  <si>
    <t xml:space="preserve">     Owner's Expense</t>
  </si>
  <si>
    <t xml:space="preserve">     Capital Carrying Charge</t>
  </si>
  <si>
    <t xml:space="preserve">     Major Maintenance</t>
  </si>
  <si>
    <t>Grand Total with Cost Breakout</t>
  </si>
  <si>
    <t>Grand Total with Demand</t>
  </si>
  <si>
    <t>2006 Total</t>
  </si>
  <si>
    <t>2005 Total</t>
  </si>
  <si>
    <t>2004 Total</t>
  </si>
  <si>
    <t>TVA Hedge Value</t>
  </si>
  <si>
    <t>Brownsville (TVA)</t>
  </si>
  <si>
    <t>Caledonia (TVA)</t>
  </si>
  <si>
    <t>New Albany (TVA)</t>
  </si>
  <si>
    <t>Gleason (TVA)</t>
  </si>
  <si>
    <t>Wheatland (Cinergy)</t>
  </si>
  <si>
    <t>Lincoln Center (Com-Ed)</t>
  </si>
  <si>
    <t>Total Spread Value</t>
  </si>
  <si>
    <t>Total Trading Value</t>
  </si>
  <si>
    <t>Total Fixed Costs</t>
  </si>
  <si>
    <t xml:space="preserve">     Mobilization O&amp;M</t>
  </si>
  <si>
    <t>Capital Carrying Charge</t>
  </si>
  <si>
    <t>Depreciation</t>
  </si>
  <si>
    <t>Fixed O&amp;M</t>
  </si>
  <si>
    <t>Major Maintenance</t>
  </si>
  <si>
    <t>Mobilization O&amp;M</t>
  </si>
  <si>
    <t>Owner's Expense</t>
  </si>
  <si>
    <t>Pre-June</t>
  </si>
  <si>
    <t>$ / kw month</t>
  </si>
  <si>
    <t>Oct-99 Liq</t>
  </si>
  <si>
    <t xml:space="preserve"> </t>
  </si>
  <si>
    <t>Nov-99 Liq</t>
  </si>
  <si>
    <t>Dec-99 Liq</t>
  </si>
  <si>
    <t>Merrill Lynch Monetization</t>
  </si>
  <si>
    <t>Merrill Lynch Demand Payment</t>
  </si>
  <si>
    <t>Jan-00 Liq</t>
  </si>
  <si>
    <t>Prudency</t>
  </si>
  <si>
    <t>Total Spead Value</t>
  </si>
  <si>
    <t>Feb-00 Liq</t>
  </si>
  <si>
    <t>SE Gas Hedge Value</t>
  </si>
  <si>
    <t>MW Gas Hedge Value</t>
  </si>
  <si>
    <t>SE Cinergy Short Position</t>
  </si>
  <si>
    <t>MW Cinergy Short Position</t>
  </si>
  <si>
    <t>SE Power Hedge Value</t>
  </si>
  <si>
    <t>MW Power Hedge Value</t>
  </si>
  <si>
    <t>Mar-00 Liq</t>
  </si>
  <si>
    <t>Southeast</t>
  </si>
  <si>
    <t>Midwest</t>
  </si>
  <si>
    <t>Apr-00 Liq</t>
  </si>
  <si>
    <t>Jun-Fwd</t>
  </si>
  <si>
    <t>Jun-MTD</t>
  </si>
  <si>
    <t>May-00 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</si>
</sst>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6" fontId="0" fillId="0" borderId="1" xfId="0" applyNumberFormat="1" applyBorder="1"/>
    <xf numFmtId="6" fontId="0" fillId="0" borderId="2" xfId="0" applyNumberFormat="1" applyBorder="1"/>
    <xf numFmtId="6" fontId="0" fillId="0" borderId="0" xfId="0" applyNumberFormat="1"/>
    <xf numFmtId="6" fontId="0" fillId="0" borderId="3" xfId="0" applyNumberFormat="1" applyBorder="1"/>
    <xf numFmtId="6" fontId="0" fillId="0" borderId="0" xfId="0" applyNumberFormat="1" applyBorder="1"/>
    <xf numFmtId="0" fontId="0" fillId="0" borderId="4" xfId="0" applyBorder="1" applyAlignment="1">
      <alignment horizontal="center"/>
    </xf>
    <xf numFmtId="15" fontId="0" fillId="0" borderId="0" xfId="0" applyNumberFormat="1"/>
    <xf numFmtId="0" fontId="0" fillId="0" borderId="3" xfId="0" applyBorder="1"/>
    <xf numFmtId="0" fontId="0" fillId="0" borderId="5" xfId="0" applyBorder="1"/>
    <xf numFmtId="6" fontId="0" fillId="0" borderId="6" xfId="0" applyNumberFormat="1" applyBorder="1"/>
    <xf numFmtId="0" fontId="0" fillId="0" borderId="3" xfId="0" applyBorder="1" applyAlignment="1">
      <alignment horizontal="left"/>
    </xf>
    <xf numFmtId="6" fontId="0" fillId="0" borderId="7" xfId="0" applyNumberFormat="1" applyBorder="1"/>
    <xf numFmtId="6" fontId="0" fillId="0" borderId="8" xfId="0" applyNumberFormat="1" applyBorder="1"/>
    <xf numFmtId="17" fontId="0" fillId="0" borderId="4" xfId="0" quotePrefix="1" applyNumberFormat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4" xfId="0" applyBorder="1" applyAlignment="1">
      <alignment horizontal="right"/>
    </xf>
    <xf numFmtId="6" fontId="0" fillId="0" borderId="9" xfId="0" applyNumberFormat="1" applyBorder="1"/>
    <xf numFmtId="17" fontId="0" fillId="0" borderId="4" xfId="0" applyNumberFormat="1" applyBorder="1" applyAlignment="1">
      <alignment horizontal="right"/>
    </xf>
    <xf numFmtId="0" fontId="1" fillId="0" borderId="3" xfId="0" applyFont="1" applyBorder="1"/>
    <xf numFmtId="6" fontId="0" fillId="0" borderId="10" xfId="0" applyNumberFormat="1" applyBorder="1"/>
    <xf numFmtId="6" fontId="0" fillId="0" borderId="4" xfId="0" applyNumberFormat="1" applyBorder="1"/>
    <xf numFmtId="0" fontId="0" fillId="0" borderId="4" xfId="0" applyBorder="1"/>
    <xf numFmtId="6" fontId="0" fillId="0" borderId="11" xfId="0" applyNumberFormat="1" applyBorder="1"/>
    <xf numFmtId="6" fontId="0" fillId="0" borderId="12" xfId="0" applyNumberFormat="1" applyBorder="1"/>
    <xf numFmtId="0" fontId="0" fillId="0" borderId="7" xfId="0" applyBorder="1"/>
    <xf numFmtId="0" fontId="0" fillId="0" borderId="13" xfId="0" applyBorder="1"/>
    <xf numFmtId="0" fontId="0" fillId="0" borderId="0" xfId="0" applyBorder="1"/>
    <xf numFmtId="0" fontId="2" fillId="0" borderId="3" xfId="0" applyFont="1" applyBorder="1"/>
    <xf numFmtId="0" fontId="0" fillId="0" borderId="14" xfId="0" applyBorder="1"/>
    <xf numFmtId="0" fontId="0" fillId="0" borderId="15" xfId="0" applyBorder="1"/>
    <xf numFmtId="6" fontId="0" fillId="0" borderId="15" xfId="0" applyNumberFormat="1" applyBorder="1"/>
    <xf numFmtId="6" fontId="0" fillId="0" borderId="16" xfId="0" applyNumberFormat="1" applyBorder="1"/>
    <xf numFmtId="0" fontId="0" fillId="0" borderId="17" xfId="0" applyBorder="1"/>
    <xf numFmtId="0" fontId="0" fillId="0" borderId="10" xfId="0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8" fontId="0" fillId="0" borderId="6" xfId="0" applyNumberFormat="1" applyBorder="1"/>
    <xf numFmtId="8" fontId="0" fillId="0" borderId="3" xfId="0" applyNumberFormat="1" applyBorder="1"/>
    <xf numFmtId="8" fontId="0" fillId="0" borderId="7" xfId="0" applyNumberFormat="1" applyBorder="1"/>
    <xf numFmtId="8" fontId="0" fillId="0" borderId="9" xfId="0" applyNumberFormat="1" applyBorder="1"/>
    <xf numFmtId="8" fontId="0" fillId="0" borderId="0" xfId="0" applyNumberFormat="1" applyBorder="1"/>
    <xf numFmtId="0" fontId="1" fillId="0" borderId="0" xfId="0" applyFont="1"/>
    <xf numFmtId="0" fontId="1" fillId="0" borderId="3" xfId="0" applyFont="1" applyBorder="1" applyAlignment="1">
      <alignment horizontal="left"/>
    </xf>
    <xf numFmtId="6" fontId="2" fillId="0" borderId="0" xfId="0" applyNumberFormat="1" applyFont="1" applyBorder="1"/>
    <xf numFmtId="6" fontId="2" fillId="0" borderId="6" xfId="0" applyNumberFormat="1" applyFont="1" applyBorder="1"/>
    <xf numFmtId="6" fontId="2" fillId="0" borderId="0" xfId="0" applyNumberFormat="1" applyFont="1"/>
    <xf numFmtId="6" fontId="2" fillId="0" borderId="12" xfId="0" applyNumberFormat="1" applyFont="1" applyBorder="1"/>
    <xf numFmtId="6" fontId="2" fillId="0" borderId="11" xfId="0" applyNumberFormat="1" applyFont="1" applyBorder="1"/>
    <xf numFmtId="6" fontId="2" fillId="0" borderId="8" xfId="0" applyNumberFormat="1" applyFont="1" applyBorder="1"/>
    <xf numFmtId="6" fontId="2" fillId="0" borderId="7" xfId="0" applyNumberFormat="1" applyFont="1" applyBorder="1"/>
    <xf numFmtId="0" fontId="1" fillId="0" borderId="18" xfId="0" applyFont="1" applyBorder="1"/>
    <xf numFmtId="17" fontId="0" fillId="0" borderId="4" xfId="0" applyNumberFormat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8" fontId="0" fillId="0" borderId="16" xfId="0" applyNumberFormat="1" applyBorder="1"/>
    <xf numFmtId="6" fontId="0" fillId="2" borderId="0" xfId="0" applyNumberFormat="1" applyFill="1" applyBorder="1"/>
    <xf numFmtId="6" fontId="0" fillId="2" borderId="8" xfId="0" applyNumberFormat="1" applyFill="1" applyBorder="1"/>
    <xf numFmtId="6" fontId="0" fillId="2" borderId="0" xfId="0" applyNumberFormat="1" applyFill="1"/>
    <xf numFmtId="17" fontId="0" fillId="0" borderId="0" xfId="0" applyNumberFormat="1" applyAlignment="1">
      <alignment horizontal="right"/>
    </xf>
    <xf numFmtId="6" fontId="0" fillId="0" borderId="0" xfId="0" applyNumberFormat="1" applyFill="1"/>
    <xf numFmtId="6" fontId="0" fillId="0" borderId="0" xfId="0" applyNumberFormat="1" applyFill="1" applyBorder="1" applyAlignment="1">
      <alignment horizontal="right"/>
    </xf>
    <xf numFmtId="6" fontId="0" fillId="0" borderId="0" xfId="0" applyNumberFormat="1" applyFill="1" applyBorder="1"/>
    <xf numFmtId="6" fontId="0" fillId="0" borderId="8" xfId="0" applyNumberFormat="1" applyFill="1" applyBorder="1"/>
    <xf numFmtId="6" fontId="0" fillId="2" borderId="4" xfId="0" applyNumberFormat="1" applyFill="1" applyBorder="1"/>
    <xf numFmtId="0" fontId="0" fillId="2" borderId="0" xfId="0" applyFill="1"/>
    <xf numFmtId="6" fontId="0" fillId="0" borderId="4" xfId="0" applyNumberFormat="1" applyFill="1" applyBorder="1"/>
    <xf numFmtId="0" fontId="0" fillId="0" borderId="0" xfId="0" applyFill="1"/>
    <xf numFmtId="6" fontId="0" fillId="2" borderId="1" xfId="0" applyNumberFormat="1" applyFill="1" applyBorder="1"/>
    <xf numFmtId="0" fontId="0" fillId="0" borderId="9" xfId="0" applyBorder="1" applyAlignment="1">
      <alignment horizontal="left"/>
    </xf>
    <xf numFmtId="6" fontId="0" fillId="0" borderId="4" xfId="0" applyNumberFormat="1" applyFill="1" applyBorder="1" applyAlignment="1">
      <alignment horizontal="right"/>
    </xf>
    <xf numFmtId="0" fontId="0" fillId="0" borderId="13" xfId="0" applyBorder="1" applyAlignment="1">
      <alignment horizontal="left"/>
    </xf>
    <xf numFmtId="6" fontId="0" fillId="0" borderId="1" xfId="0" applyNumberFormat="1" applyFill="1" applyBorder="1"/>
    <xf numFmtId="0" fontId="0" fillId="3" borderId="0" xfId="0" applyFill="1"/>
    <xf numFmtId="6" fontId="0" fillId="3" borderId="9" xfId="0" applyNumberFormat="1" applyFill="1" applyBorder="1"/>
    <xf numFmtId="6" fontId="0" fillId="3" borderId="0" xfId="0" applyNumberFormat="1" applyFill="1"/>
    <xf numFmtId="0" fontId="0" fillId="3" borderId="9" xfId="0" applyFill="1" applyBorder="1"/>
    <xf numFmtId="6" fontId="0" fillId="3" borderId="10" xfId="0" applyNumberFormat="1" applyFill="1" applyBorder="1"/>
    <xf numFmtId="0" fontId="0" fillId="3" borderId="15" xfId="0" applyFill="1" applyBorder="1"/>
    <xf numFmtId="6" fontId="0" fillId="3" borderId="15" xfId="0" applyNumberFormat="1" applyFill="1" applyBorder="1"/>
    <xf numFmtId="0" fontId="0" fillId="3" borderId="10" xfId="0" applyFill="1" applyBorder="1"/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6" fontId="0" fillId="0" borderId="9" xfId="0" applyNumberFormat="1" applyFill="1" applyBorder="1"/>
    <xf numFmtId="0" fontId="0" fillId="0" borderId="9" xfId="0" applyBorder="1"/>
    <xf numFmtId="8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Position/GenCoTotPosn%20Accru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lant%20DP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PosnView"/>
      <sheetName val="PriceView"/>
      <sheetName val="Futures"/>
      <sheetName val="PosnSum"/>
      <sheetName val="PriceSum"/>
      <sheetName val="Sheet1"/>
      <sheetName val="Sheet2"/>
      <sheetName val="Sheet3"/>
      <sheetName val="PL"/>
      <sheetName val="PlantPosn"/>
      <sheetName val="Peak"/>
      <sheetName val="Capacity"/>
      <sheetName val="TotalPosn"/>
      <sheetName val="PosnViewTot"/>
      <sheetName val="PriceViewTot"/>
      <sheetName val="PriceData"/>
      <sheetName val="Data"/>
      <sheetName val="ExcDealPL"/>
      <sheetName val="ExcDea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D11">
            <v>2215588.4873742964</v>
          </cell>
          <cell r="E11">
            <v>29670713.61319153</v>
          </cell>
          <cell r="F11">
            <v>19527427.101975303</v>
          </cell>
          <cell r="G11">
            <v>1129150.0678008101</v>
          </cell>
          <cell r="H11">
            <v>19570.484251453901</v>
          </cell>
          <cell r="I11">
            <v>19933.531752577703</v>
          </cell>
          <cell r="J11">
            <v>14349.189862935402</v>
          </cell>
          <cell r="L11">
            <v>141933.41722129</v>
          </cell>
          <cell r="M11">
            <v>150685.56416661301</v>
          </cell>
          <cell r="N11">
            <v>14497.180170828602</v>
          </cell>
          <cell r="O11">
            <v>42263.042689414302</v>
          </cell>
          <cell r="P11">
            <v>426237.17219280504</v>
          </cell>
          <cell r="Q11">
            <v>4790541.5381244905</v>
          </cell>
          <cell r="R11">
            <v>13178107.5496273</v>
          </cell>
          <cell r="S11">
            <v>14125969.672215901</v>
          </cell>
          <cell r="T11">
            <v>771318.45637540403</v>
          </cell>
          <cell r="U11">
            <v>34938.024590763904</v>
          </cell>
          <cell r="V11">
            <v>39331.883150444402</v>
          </cell>
          <cell r="W11">
            <v>26260.355458209204</v>
          </cell>
          <cell r="Y11">
            <v>127259.90514270001</v>
          </cell>
          <cell r="Z11">
            <v>130208.87959465501</v>
          </cell>
          <cell r="AA11">
            <v>30317.546446443004</v>
          </cell>
          <cell r="AB11">
            <v>80897.169504920006</v>
          </cell>
          <cell r="AC11">
            <v>361667.39141027303</v>
          </cell>
          <cell r="AD11">
            <v>3111310.2239580303</v>
          </cell>
          <cell r="AE11">
            <v>9398318.8109030109</v>
          </cell>
          <cell r="AF11">
            <v>9356609.0260606203</v>
          </cell>
          <cell r="AG11">
            <v>942662.82233349211</v>
          </cell>
          <cell r="AH11">
            <v>71842.030302003201</v>
          </cell>
          <cell r="AI11">
            <v>64833.678975790906</v>
          </cell>
          <cell r="AJ11">
            <v>50192.981156318005</v>
          </cell>
          <cell r="AL11">
            <v>161093.03096498802</v>
          </cell>
          <cell r="AM11">
            <v>163935.14111063702</v>
          </cell>
          <cell r="AN11">
            <v>50235.583919537406</v>
          </cell>
          <cell r="AO11">
            <v>105017.77818346702</v>
          </cell>
          <cell r="AP11">
            <v>365502.70714138204</v>
          </cell>
          <cell r="AQ11">
            <v>2849523.5712721702</v>
          </cell>
          <cell r="AR11">
            <v>7377039.9869027706</v>
          </cell>
          <cell r="AS11">
            <v>7104679.2097423002</v>
          </cell>
          <cell r="AT11">
            <v>973577.01560491615</v>
          </cell>
          <cell r="AU11">
            <v>81455.619990108709</v>
          </cell>
          <cell r="AV11">
            <v>68887.183730406701</v>
          </cell>
          <cell r="AW11">
            <v>60672.050191575203</v>
          </cell>
          <cell r="AY11">
            <v>125392.69837905701</v>
          </cell>
          <cell r="AZ11">
            <v>133274.55123295102</v>
          </cell>
          <cell r="BA11">
            <v>58442.487908522708</v>
          </cell>
          <cell r="BB11">
            <v>107128.29874031802</v>
          </cell>
          <cell r="BC11">
            <v>290428.08088352805</v>
          </cell>
          <cell r="BD11">
            <v>2445859.1530885203</v>
          </cell>
          <cell r="BE11">
            <v>5408180.4543322204</v>
          </cell>
          <cell r="BF11">
            <v>5543313.2620562306</v>
          </cell>
          <cell r="BG11">
            <v>878911.4011476991</v>
          </cell>
          <cell r="BH11">
            <v>75202.028416899804</v>
          </cell>
          <cell r="BI11">
            <v>79001.553508894809</v>
          </cell>
          <cell r="BJ11">
            <v>67220.651408265214</v>
          </cell>
          <cell r="BL11">
            <v>123290.53490392202</v>
          </cell>
          <cell r="BM11">
            <v>130212.81191439401</v>
          </cell>
          <cell r="BN11">
            <v>76617.884652950714</v>
          </cell>
          <cell r="BO11">
            <v>121715.64095164201</v>
          </cell>
          <cell r="BP11">
            <v>281601.35399831104</v>
          </cell>
          <cell r="BQ11">
            <v>2109464.4340177202</v>
          </cell>
          <cell r="BR11">
            <v>4443565.1575392904</v>
          </cell>
          <cell r="BS11">
            <v>4880660.8051208602</v>
          </cell>
          <cell r="BT11">
            <v>827384.97108731407</v>
          </cell>
          <cell r="BU11">
            <v>96230.409405398706</v>
          </cell>
          <cell r="BV11">
            <v>102879.52588646901</v>
          </cell>
          <cell r="BW11">
            <v>82114.632285891712</v>
          </cell>
          <cell r="BY11">
            <v>130664.63359588501</v>
          </cell>
          <cell r="BZ11">
            <v>136620.77920918301</v>
          </cell>
          <cell r="CA11">
            <v>92506.570882473912</v>
          </cell>
          <cell r="CB11">
            <v>130779.94368385301</v>
          </cell>
          <cell r="CC11">
            <v>296590.61109296605</v>
          </cell>
          <cell r="CD11">
            <v>2035600.0846371902</v>
          </cell>
          <cell r="CE11">
            <v>4086053.2011222304</v>
          </cell>
          <cell r="CF11">
            <v>4491913.16313898</v>
          </cell>
          <cell r="CG11">
            <v>782646.3296687071</v>
          </cell>
          <cell r="CH11">
            <v>118255.42562903902</v>
          </cell>
          <cell r="CI11">
            <v>146155.09259199802</v>
          </cell>
          <cell r="CJ11">
            <v>98026.051796994812</v>
          </cell>
        </row>
        <row r="12">
          <cell r="D12">
            <v>2521395.8536772002</v>
          </cell>
          <cell r="E12">
            <v>34423052.821525581</v>
          </cell>
          <cell r="F12">
            <v>23993788.155513801</v>
          </cell>
          <cell r="G12">
            <v>1316386.4215051802</v>
          </cell>
          <cell r="H12">
            <v>17264.4649368803</v>
          </cell>
          <cell r="I12">
            <v>29921.025772328601</v>
          </cell>
          <cell r="J12">
            <v>31535.395331746902</v>
          </cell>
          <cell r="L12">
            <v>199341.87157356902</v>
          </cell>
          <cell r="M12">
            <v>212211.72579242304</v>
          </cell>
          <cell r="N12">
            <v>24396.160395006504</v>
          </cell>
          <cell r="O12">
            <v>41440.853411072807</v>
          </cell>
          <cell r="P12">
            <v>396145.67418346106</v>
          </cell>
          <cell r="Q12">
            <v>6008671.2871038001</v>
          </cell>
          <cell r="R12">
            <v>16798107.549119402</v>
          </cell>
          <cell r="S12">
            <v>18013334.451733902</v>
          </cell>
          <cell r="T12">
            <v>944752.82094751205</v>
          </cell>
          <cell r="U12">
            <v>32018.356033870703</v>
          </cell>
          <cell r="V12">
            <v>53738.103859098708</v>
          </cell>
          <cell r="W12">
            <v>39216.265171516206</v>
          </cell>
          <cell r="Y12">
            <v>183782.92794371501</v>
          </cell>
          <cell r="Z12">
            <v>190726.82796518103</v>
          </cell>
          <cell r="AA12">
            <v>47002.907359119607</v>
          </cell>
          <cell r="AB12">
            <v>93283.74126644581</v>
          </cell>
          <cell r="AC12">
            <v>388259.85500588105</v>
          </cell>
          <cell r="AD12">
            <v>3886647.2001642501</v>
          </cell>
          <cell r="AE12">
            <v>11981423.298393901</v>
          </cell>
          <cell r="AF12">
            <v>11929624.452854201</v>
          </cell>
          <cell r="AG12">
            <v>1178072.94242798</v>
          </cell>
          <cell r="AH12">
            <v>72850.653714524611</v>
          </cell>
          <cell r="AI12">
            <v>84108.807159237214</v>
          </cell>
          <cell r="AJ12">
            <v>68431.571908356709</v>
          </cell>
          <cell r="AL12">
            <v>224327.28649754703</v>
          </cell>
          <cell r="AM12">
            <v>230769.70652972203</v>
          </cell>
          <cell r="AN12">
            <v>72650.731208122801</v>
          </cell>
          <cell r="AO12">
            <v>125684.31362936401</v>
          </cell>
          <cell r="AP12">
            <v>399531.55756685801</v>
          </cell>
          <cell r="AQ12">
            <v>3565809.5050204801</v>
          </cell>
          <cell r="AR12">
            <v>9402320.1755280513</v>
          </cell>
          <cell r="AS12">
            <v>9054886.4828375615</v>
          </cell>
          <cell r="AT12">
            <v>1225576.6632252801</v>
          </cell>
          <cell r="AU12">
            <v>85785.519275901213</v>
          </cell>
          <cell r="AV12">
            <v>91238.080232772714</v>
          </cell>
          <cell r="AW12">
            <v>84285.409937365606</v>
          </cell>
          <cell r="AY12">
            <v>179278.68601440502</v>
          </cell>
          <cell r="AZ12">
            <v>193583.12960800703</v>
          </cell>
          <cell r="BA12">
            <v>83522.885739060803</v>
          </cell>
          <cell r="BB12">
            <v>130460.93763766301</v>
          </cell>
          <cell r="BC12">
            <v>313175.10186843405</v>
          </cell>
          <cell r="BD12">
            <v>3053127.9818544001</v>
          </cell>
          <cell r="BE12">
            <v>6878218.1568291103</v>
          </cell>
          <cell r="BF12">
            <v>7054336.0574763604</v>
          </cell>
          <cell r="BG12">
            <v>1111390.1799547002</v>
          </cell>
          <cell r="BH12">
            <v>80963.903023372011</v>
          </cell>
          <cell r="BI12">
            <v>105067.77234170101</v>
          </cell>
          <cell r="BJ12">
            <v>93854.472178424214</v>
          </cell>
          <cell r="BL12">
            <v>176662.98072673701</v>
          </cell>
          <cell r="BM12">
            <v>188700.82547975201</v>
          </cell>
          <cell r="BN12">
            <v>104205.64137773101</v>
          </cell>
          <cell r="BO12">
            <v>148007.47720058</v>
          </cell>
          <cell r="BP12">
            <v>299304.98821759003</v>
          </cell>
          <cell r="BQ12">
            <v>2612992.1312764701</v>
          </cell>
          <cell r="BR12">
            <v>5621295.1104435707</v>
          </cell>
          <cell r="BS12">
            <v>6184020.5479359105</v>
          </cell>
          <cell r="BT12">
            <v>1040530.4299754301</v>
          </cell>
          <cell r="BU12">
            <v>103848.56619937501</v>
          </cell>
          <cell r="BV12">
            <v>129400.99093544402</v>
          </cell>
          <cell r="BW12">
            <v>106705.61870727301</v>
          </cell>
          <cell r="BY12">
            <v>180045.31831945901</v>
          </cell>
          <cell r="BZ12">
            <v>190981.06793415602</v>
          </cell>
          <cell r="CA12">
            <v>117314.79382394601</v>
          </cell>
          <cell r="CB12">
            <v>154695.26804488403</v>
          </cell>
          <cell r="CC12">
            <v>313179.25036527705</v>
          </cell>
          <cell r="CD12">
            <v>2509872.2599763703</v>
          </cell>
          <cell r="CE12">
            <v>5150357.3267903607</v>
          </cell>
          <cell r="CF12">
            <v>5671293.9856254002</v>
          </cell>
          <cell r="CG12">
            <v>975849.31221853406</v>
          </cell>
          <cell r="CH12">
            <v>159640.31862555401</v>
          </cell>
          <cell r="CI12">
            <v>142153.91132261002</v>
          </cell>
          <cell r="CJ12">
            <v>108151.60225835301</v>
          </cell>
        </row>
        <row r="13">
          <cell r="D13">
            <v>1914554.8233097345</v>
          </cell>
          <cell r="E13">
            <v>24767767.154646244</v>
          </cell>
          <cell r="F13">
            <v>19567469.932419002</v>
          </cell>
          <cell r="G13">
            <v>777578.95266265003</v>
          </cell>
          <cell r="H13">
            <v>25981.297285330802</v>
          </cell>
          <cell r="I13">
            <v>18043.456388305003</v>
          </cell>
          <cell r="J13">
            <v>30634.027487749805</v>
          </cell>
          <cell r="L13">
            <v>114656.26069911601</v>
          </cell>
          <cell r="M13">
            <v>119998.78102003802</v>
          </cell>
          <cell r="N13">
            <v>14004.492526028402</v>
          </cell>
          <cell r="O13">
            <v>40111.001066035307</v>
          </cell>
          <cell r="P13">
            <v>373775.41525151505</v>
          </cell>
          <cell r="Q13">
            <v>4122551.1804829002</v>
          </cell>
          <cell r="R13">
            <v>12358360.589715</v>
          </cell>
          <cell r="S13">
            <v>13268902.017115401</v>
          </cell>
          <cell r="T13">
            <v>683078.94320594007</v>
          </cell>
          <cell r="U13">
            <v>51017.711374455008</v>
          </cell>
          <cell r="V13">
            <v>35144.633280962706</v>
          </cell>
          <cell r="W13">
            <v>47037.662011091204</v>
          </cell>
          <cell r="Y13">
            <v>128253.00331183702</v>
          </cell>
          <cell r="Z13">
            <v>126967.96340356402</v>
          </cell>
          <cell r="AA13">
            <v>17791.480619264003</v>
          </cell>
          <cell r="AB13">
            <v>55254.108467222803</v>
          </cell>
          <cell r="AC13">
            <v>321453.02410620404</v>
          </cell>
          <cell r="AD13">
            <v>2686337.6159454202</v>
          </cell>
          <cell r="AE13">
            <v>8676992.6802740805</v>
          </cell>
          <cell r="AF13">
            <v>8626484.5621649604</v>
          </cell>
          <cell r="AG13">
            <v>797931.26161380706</v>
          </cell>
          <cell r="AH13">
            <v>109995.13027355501</v>
          </cell>
          <cell r="AI13">
            <v>68806.385681061205</v>
          </cell>
          <cell r="AJ13">
            <v>91014.762390315314</v>
          </cell>
          <cell r="AL13">
            <v>166267.66077379102</v>
          </cell>
          <cell r="AM13">
            <v>162203.09813095603</v>
          </cell>
          <cell r="AN13">
            <v>36472.216762943601</v>
          </cell>
          <cell r="AO13">
            <v>89302.794617869411</v>
          </cell>
          <cell r="AP13">
            <v>330690.71940896206</v>
          </cell>
          <cell r="AQ13">
            <v>2295138.7727482803</v>
          </cell>
          <cell r="AR13">
            <v>6521247.9929675302</v>
          </cell>
          <cell r="AS13">
            <v>6287341.7961380808</v>
          </cell>
          <cell r="AT13">
            <v>813545.95961119514</v>
          </cell>
          <cell r="AU13">
            <v>109906.14399219501</v>
          </cell>
          <cell r="AV13">
            <v>64279.374426209804</v>
          </cell>
          <cell r="AW13">
            <v>83060.85188082041</v>
          </cell>
          <cell r="AY13">
            <v>148941.447807855</v>
          </cell>
          <cell r="AZ13">
            <v>153962.59801269101</v>
          </cell>
          <cell r="BA13">
            <v>41927.776050218607</v>
          </cell>
          <cell r="BB13">
            <v>90375.327950763909</v>
          </cell>
          <cell r="BC13">
            <v>295010.43404494401</v>
          </cell>
          <cell r="BD13">
            <v>1963701.8190861302</v>
          </cell>
          <cell r="BE13">
            <v>5020064.9570176201</v>
          </cell>
          <cell r="BF13">
            <v>5123602.2292827703</v>
          </cell>
          <cell r="BG13">
            <v>717631.73607526906</v>
          </cell>
          <cell r="BH13">
            <v>101647.17758257702</v>
          </cell>
          <cell r="BI13">
            <v>73665.062111449704</v>
          </cell>
          <cell r="BJ13">
            <v>88763.430684952109</v>
          </cell>
          <cell r="BL13">
            <v>150843.35301479802</v>
          </cell>
          <cell r="BM13">
            <v>155363.55152589403</v>
          </cell>
          <cell r="BN13">
            <v>46368.019114105504</v>
          </cell>
          <cell r="BO13">
            <v>90972.961892916705</v>
          </cell>
          <cell r="BP13">
            <v>303759.66760962002</v>
          </cell>
          <cell r="BQ13">
            <v>1814119.2573857901</v>
          </cell>
          <cell r="BR13">
            <v>4375630.3463284401</v>
          </cell>
          <cell r="BS13">
            <v>4705405.9486601101</v>
          </cell>
          <cell r="BT13">
            <v>684298.69897496607</v>
          </cell>
          <cell r="BU13">
            <v>103791.75350359901</v>
          </cell>
          <cell r="BV13">
            <v>77114.708273721903</v>
          </cell>
          <cell r="BW13">
            <v>83719.023853416409</v>
          </cell>
          <cell r="BY13">
            <v>139415.39316689502</v>
          </cell>
          <cell r="BZ13">
            <v>143302.529041909</v>
          </cell>
          <cell r="CA13">
            <v>47996.286546613206</v>
          </cell>
          <cell r="CB13">
            <v>90104.818512154408</v>
          </cell>
          <cell r="CC13">
            <v>331175.82667701301</v>
          </cell>
          <cell r="CD13">
            <v>1836843.8261062601</v>
          </cell>
          <cell r="CE13">
            <v>4213063.6369088301</v>
          </cell>
          <cell r="CF13">
            <v>4512641.1975724306</v>
          </cell>
          <cell r="CG13">
            <v>641155.29235649912</v>
          </cell>
          <cell r="CH13">
            <v>120799.38859745601</v>
          </cell>
          <cell r="CI13">
            <v>81351.285860152711</v>
          </cell>
          <cell r="CJ13">
            <v>85687.861508730304</v>
          </cell>
        </row>
        <row r="14">
          <cell r="D14">
            <v>2067319.7981064566</v>
          </cell>
          <cell r="E14">
            <v>23617451.856032267</v>
          </cell>
          <cell r="F14">
            <v>20285339.438500002</v>
          </cell>
          <cell r="G14">
            <v>859324.05840443308</v>
          </cell>
          <cell r="H14">
            <v>34277.529908420503</v>
          </cell>
          <cell r="I14">
            <v>22643.266532775004</v>
          </cell>
          <cell r="J14">
            <v>36616.439692596905</v>
          </cell>
          <cell r="L14">
            <v>129256.07745329301</v>
          </cell>
          <cell r="M14">
            <v>134797.344923169</v>
          </cell>
          <cell r="N14">
            <v>18055.661664777501</v>
          </cell>
          <cell r="O14">
            <v>47379.689484864008</v>
          </cell>
          <cell r="P14">
            <v>413356.66374859307</v>
          </cell>
          <cell r="Q14">
            <v>4347143.6188449999</v>
          </cell>
          <cell r="R14">
            <v>12824357.126715502</v>
          </cell>
          <cell r="S14">
            <v>13780574.0896479</v>
          </cell>
          <cell r="T14">
            <v>745704.96285634104</v>
          </cell>
          <cell r="U14">
            <v>63179.788235184504</v>
          </cell>
          <cell r="V14">
            <v>42436.080323448201</v>
          </cell>
          <cell r="W14">
            <v>54904.824083640109</v>
          </cell>
          <cell r="Y14">
            <v>142879.20152629301</v>
          </cell>
          <cell r="Z14">
            <v>141097.30138410302</v>
          </cell>
          <cell r="AA14">
            <v>22348.951707356704</v>
          </cell>
          <cell r="AB14">
            <v>63776.100283302105</v>
          </cell>
          <cell r="AC14">
            <v>349325.58140350302</v>
          </cell>
          <cell r="AD14">
            <v>2825535.9295906601</v>
          </cell>
          <cell r="AE14">
            <v>9009775.0237340312</v>
          </cell>
          <cell r="AF14">
            <v>8961323.0048140101</v>
          </cell>
          <cell r="AG14">
            <v>855277.62709634309</v>
          </cell>
          <cell r="AH14">
            <v>127043.68513614201</v>
          </cell>
          <cell r="AI14">
            <v>79775.152265937213</v>
          </cell>
          <cell r="AJ14">
            <v>102850.34230218001</v>
          </cell>
          <cell r="AL14">
            <v>182380.23554678401</v>
          </cell>
          <cell r="AM14">
            <v>177586.86898896701</v>
          </cell>
          <cell r="AN14">
            <v>44011.812642137702</v>
          </cell>
          <cell r="AO14">
            <v>100299.71598210902</v>
          </cell>
          <cell r="AP14">
            <v>356875.41812642402</v>
          </cell>
          <cell r="AQ14">
            <v>2414349.03297234</v>
          </cell>
          <cell r="AR14">
            <v>6790387.6444996204</v>
          </cell>
          <cell r="AS14">
            <v>6551509.8982075909</v>
          </cell>
          <cell r="AT14">
            <v>870213.80211972608</v>
          </cell>
          <cell r="AU14">
            <v>126488.39810308302</v>
          </cell>
          <cell r="AV14">
            <v>74870.636649771404</v>
          </cell>
          <cell r="AW14">
            <v>94977.683574218405</v>
          </cell>
          <cell r="AY14">
            <v>163757.31524016001</v>
          </cell>
          <cell r="AZ14">
            <v>168823.26084034602</v>
          </cell>
          <cell r="BA14">
            <v>50447.850124926103</v>
          </cell>
          <cell r="BB14">
            <v>101064.302872525</v>
          </cell>
          <cell r="BC14">
            <v>318563.84345512604</v>
          </cell>
          <cell r="BD14">
            <v>2070138.2197675502</v>
          </cell>
          <cell r="BE14">
            <v>5235903.32717539</v>
          </cell>
          <cell r="BF14">
            <v>5345612.5755275209</v>
          </cell>
          <cell r="BG14">
            <v>770381.26049970009</v>
          </cell>
          <cell r="BH14">
            <v>116008.72903964401</v>
          </cell>
          <cell r="BI14">
            <v>85506.151771954406</v>
          </cell>
          <cell r="BJ14">
            <v>101245.57519236401</v>
          </cell>
          <cell r="BL14">
            <v>165596.34412219602</v>
          </cell>
          <cell r="BM14">
            <v>170097.92426997001</v>
          </cell>
          <cell r="BN14">
            <v>55506.860123011407</v>
          </cell>
          <cell r="BO14">
            <v>100933.39124702201</v>
          </cell>
          <cell r="BP14">
            <v>326665.68850192905</v>
          </cell>
          <cell r="BQ14">
            <v>1910548.6265707901</v>
          </cell>
          <cell r="BR14">
            <v>4566127.2166161006</v>
          </cell>
          <cell r="BS14">
            <v>4909062.1213377705</v>
          </cell>
          <cell r="BT14">
            <v>733354.51153836912</v>
          </cell>
          <cell r="BU14">
            <v>117339.83256914001</v>
          </cell>
          <cell r="BV14">
            <v>89290.041677110916</v>
          </cell>
          <cell r="BW14">
            <v>95338.576402427512</v>
          </cell>
          <cell r="BY14">
            <v>153536.16068956003</v>
          </cell>
          <cell r="BZ14">
            <v>157392.05314591801</v>
          </cell>
          <cell r="CA14">
            <v>56902.492326953005</v>
          </cell>
          <cell r="CB14">
            <v>100351.25029966401</v>
          </cell>
          <cell r="CC14">
            <v>355433.16912362905</v>
          </cell>
          <cell r="CD14">
            <v>1933480.1078045501</v>
          </cell>
          <cell r="CE14">
            <v>4396838.3739300007</v>
          </cell>
          <cell r="CF14">
            <v>4708759.8757490106</v>
          </cell>
          <cell r="CG14">
            <v>687732.72890672507</v>
          </cell>
          <cell r="CH14">
            <v>137243.21380729001</v>
          </cell>
          <cell r="CI14">
            <v>90447.555095924516</v>
          </cell>
          <cell r="CJ14">
            <v>93655.466855273509</v>
          </cell>
        </row>
        <row r="15">
          <cell r="D15">
            <v>1450771.18526976</v>
          </cell>
          <cell r="E15">
            <v>19794089.792940769</v>
          </cell>
          <cell r="F15">
            <v>15539823.879368201</v>
          </cell>
          <cell r="G15">
            <v>565523.355995666</v>
          </cell>
          <cell r="H15">
            <v>17955.693686979801</v>
          </cell>
          <cell r="I15">
            <v>14992.311608953001</v>
          </cell>
          <cell r="J15">
            <v>26303.503264588002</v>
          </cell>
          <cell r="L15">
            <v>102808.77818723401</v>
          </cell>
          <cell r="M15">
            <v>108451.42840553902</v>
          </cell>
          <cell r="N15">
            <v>11988.018192232501</v>
          </cell>
          <cell r="O15">
            <v>29670.720351275202</v>
          </cell>
          <cell r="P15">
            <v>320982.12555154203</v>
          </cell>
          <cell r="Q15">
            <v>3183641.3483427204</v>
          </cell>
          <cell r="R15">
            <v>9755724.4239181206</v>
          </cell>
          <cell r="S15">
            <v>10477971.833963901</v>
          </cell>
          <cell r="T15">
            <v>502310.34373733803</v>
          </cell>
          <cell r="U15">
            <v>37545.999255666604</v>
          </cell>
          <cell r="V15">
            <v>30796.857929060305</v>
          </cell>
          <cell r="W15">
            <v>41796.331601393504</v>
          </cell>
          <cell r="Y15">
            <v>117189.58458812301</v>
          </cell>
          <cell r="Z15">
            <v>116530.98560805402</v>
          </cell>
          <cell r="AA15">
            <v>15537.094620032502</v>
          </cell>
          <cell r="AB15">
            <v>42429.175120064305</v>
          </cell>
          <cell r="AC15">
            <v>280762.43460473605</v>
          </cell>
          <cell r="AD15">
            <v>2076045.6664924202</v>
          </cell>
          <cell r="AE15">
            <v>6841769.1478593508</v>
          </cell>
          <cell r="AF15">
            <v>6801386.745497901</v>
          </cell>
          <cell r="AG15">
            <v>599452.49922700005</v>
          </cell>
          <cell r="AH15">
            <v>87583.306361681403</v>
          </cell>
          <cell r="AI15">
            <v>62214.982955532905</v>
          </cell>
          <cell r="AJ15">
            <v>83066.543416866014</v>
          </cell>
          <cell r="AL15">
            <v>154479.49266142302</v>
          </cell>
          <cell r="AM15">
            <v>151230.51775841202</v>
          </cell>
          <cell r="AN15">
            <v>32683.662123518203</v>
          </cell>
          <cell r="AO15">
            <v>71667.123737509202</v>
          </cell>
          <cell r="AP15">
            <v>290063.22864029906</v>
          </cell>
          <cell r="AQ15">
            <v>1773677.6890496502</v>
          </cell>
          <cell r="AR15">
            <v>5115627.5720438501</v>
          </cell>
          <cell r="AS15">
            <v>4930423.7585720401</v>
          </cell>
          <cell r="AT15">
            <v>611628.28169631911</v>
          </cell>
          <cell r="AU15">
            <v>86890.656601386203</v>
          </cell>
          <cell r="AV15">
            <v>58558.889369702905</v>
          </cell>
          <cell r="AW15">
            <v>75912.302136438608</v>
          </cell>
          <cell r="AY15">
            <v>138439.01092754901</v>
          </cell>
          <cell r="AZ15">
            <v>143693.09700507202</v>
          </cell>
          <cell r="BA15">
            <v>37915.766221769401</v>
          </cell>
          <cell r="BB15">
            <v>73002.408094705708</v>
          </cell>
          <cell r="BC15">
            <v>257825.73035840603</v>
          </cell>
          <cell r="BD15">
            <v>1512573.5528217701</v>
          </cell>
          <cell r="BE15">
            <v>3927572.4094412904</v>
          </cell>
          <cell r="BF15">
            <v>4009516.9628665904</v>
          </cell>
          <cell r="BG15">
            <v>534489.7187668531</v>
          </cell>
          <cell r="BH15">
            <v>80939.73939098671</v>
          </cell>
          <cell r="BI15">
            <v>67587.716731545908</v>
          </cell>
          <cell r="BJ15">
            <v>81580.929476467107</v>
          </cell>
          <cell r="BL15">
            <v>140572.10820827802</v>
          </cell>
          <cell r="BM15">
            <v>145333.688272286</v>
          </cell>
          <cell r="BN15">
            <v>42332.832566782105</v>
          </cell>
          <cell r="BO15">
            <v>73949.717712530604</v>
          </cell>
          <cell r="BP15">
            <v>265497.96885139</v>
          </cell>
          <cell r="BQ15">
            <v>1396229.8007545101</v>
          </cell>
          <cell r="BR15">
            <v>3417999.6630698005</v>
          </cell>
          <cell r="BS15">
            <v>3678639.7459605001</v>
          </cell>
          <cell r="BT15">
            <v>509500.12662148807</v>
          </cell>
          <cell r="BU15">
            <v>82823.196697857711</v>
          </cell>
          <cell r="BV15">
            <v>71189.693876555204</v>
          </cell>
          <cell r="BW15">
            <v>77335.154380984502</v>
          </cell>
          <cell r="BY15">
            <v>129882.71680581901</v>
          </cell>
          <cell r="BZ15">
            <v>133981.42153963802</v>
          </cell>
          <cell r="CA15">
            <v>42910.738344004501</v>
          </cell>
          <cell r="CB15">
            <v>73714.176491852108</v>
          </cell>
          <cell r="CC15">
            <v>293523.42289869301</v>
          </cell>
          <cell r="CD15">
            <v>1419862.2950991602</v>
          </cell>
          <cell r="CE15">
            <v>3298249.7419434101</v>
          </cell>
          <cell r="CF15">
            <v>3535356.9463540604</v>
          </cell>
          <cell r="CG15">
            <v>479468.29821938305</v>
          </cell>
          <cell r="CH15">
            <v>99742.531590032304</v>
          </cell>
          <cell r="CI15">
            <v>82218.326539900008</v>
          </cell>
          <cell r="CJ15">
            <v>84746.716617166006</v>
          </cell>
        </row>
        <row r="16">
          <cell r="D16">
            <v>1758035.1366674269</v>
          </cell>
          <cell r="E16">
            <v>26786538.325464815</v>
          </cell>
          <cell r="F16">
            <v>23108423.347146701</v>
          </cell>
          <cell r="G16">
            <v>1128698.0949041802</v>
          </cell>
          <cell r="H16">
            <v>68682.438938905601</v>
          </cell>
          <cell r="I16">
            <v>43760.798595197906</v>
          </cell>
          <cell r="J16">
            <v>63045.176212010803</v>
          </cell>
          <cell r="L16">
            <v>192334.22553313003</v>
          </cell>
          <cell r="M16">
            <v>197981.68128022301</v>
          </cell>
          <cell r="N16">
            <v>36067.5804837713</v>
          </cell>
          <cell r="O16">
            <v>85923.788835431405</v>
          </cell>
          <cell r="P16">
            <v>578545.91791053209</v>
          </cell>
          <cell r="Q16">
            <v>5184208.9949808503</v>
          </cell>
          <cell r="R16">
            <v>14751716.827443002</v>
          </cell>
          <cell r="S16">
            <v>15838511.725463701</v>
          </cell>
          <cell r="T16">
            <v>962012.05625839205</v>
          </cell>
          <cell r="U16">
            <v>113569.29154962701</v>
          </cell>
          <cell r="V16">
            <v>73209.884927073203</v>
          </cell>
          <cell r="W16">
            <v>87989.141706978902</v>
          </cell>
          <cell r="Y16">
            <v>204904.02516260801</v>
          </cell>
          <cell r="Z16">
            <v>200697.51244656701</v>
          </cell>
          <cell r="AA16">
            <v>41788.671438000201</v>
          </cell>
          <cell r="AB16">
            <v>107498.54567475501</v>
          </cell>
          <cell r="AC16">
            <v>476230.38265389903</v>
          </cell>
          <cell r="AD16">
            <v>3364051.2045547003</v>
          </cell>
          <cell r="AE16">
            <v>10377817.6481435</v>
          </cell>
          <cell r="AF16">
            <v>10322691.6267651</v>
          </cell>
          <cell r="AG16">
            <v>1065683.8200993401</v>
          </cell>
          <cell r="AH16">
            <v>200283.80503084001</v>
          </cell>
          <cell r="AI16">
            <v>124230.80647928601</v>
          </cell>
          <cell r="AJ16">
            <v>151669.54570839403</v>
          </cell>
          <cell r="AL16">
            <v>250682.56427707901</v>
          </cell>
          <cell r="AM16">
            <v>242515.49492803903</v>
          </cell>
          <cell r="AN16">
            <v>74560.439777477412</v>
          </cell>
          <cell r="AO16">
            <v>156291.04041151702</v>
          </cell>
          <cell r="AP16">
            <v>480844.57199765707</v>
          </cell>
          <cell r="AQ16">
            <v>2872215.626412</v>
          </cell>
          <cell r="AR16">
            <v>7884283.2794524403</v>
          </cell>
          <cell r="AS16">
            <v>7610874.4344141809</v>
          </cell>
          <cell r="AT16">
            <v>1081648.26060527</v>
          </cell>
          <cell r="AU16">
            <v>200523.00790227501</v>
          </cell>
          <cell r="AV16">
            <v>116914.84086902702</v>
          </cell>
          <cell r="AW16">
            <v>143052.97007090002</v>
          </cell>
          <cell r="AY16">
            <v>225981.64995516502</v>
          </cell>
          <cell r="AZ16">
            <v>231013.75617687203</v>
          </cell>
          <cell r="BA16">
            <v>84430.628089800113</v>
          </cell>
          <cell r="BB16">
            <v>156457.21986380703</v>
          </cell>
          <cell r="BC16">
            <v>432227.04354881606</v>
          </cell>
          <cell r="BD16">
            <v>2478111.1726758503</v>
          </cell>
          <cell r="BE16">
            <v>6110412.7321335906</v>
          </cell>
          <cell r="BF16">
            <v>6235294.8203646308</v>
          </cell>
          <cell r="BG16">
            <v>972179.2199869561</v>
          </cell>
          <cell r="BH16">
            <v>182733.05119786802</v>
          </cell>
          <cell r="BI16">
            <v>131966.82845520703</v>
          </cell>
          <cell r="BJ16">
            <v>151127.29192490302</v>
          </cell>
          <cell r="BL16">
            <v>227378.36445057404</v>
          </cell>
          <cell r="BM16">
            <v>231661.04622865803</v>
          </cell>
          <cell r="BN16">
            <v>91364.420102601012</v>
          </cell>
          <cell r="BO16">
            <v>154691.48945904302</v>
          </cell>
          <cell r="BP16">
            <v>443071.01912334806</v>
          </cell>
          <cell r="BQ16">
            <v>2290309.09152201</v>
          </cell>
          <cell r="BR16">
            <v>5342910.4718721509</v>
          </cell>
          <cell r="BS16">
            <v>5735373.2739244401</v>
          </cell>
          <cell r="BT16">
            <v>925847.3550622781</v>
          </cell>
          <cell r="BU16">
            <v>184249.89640148403</v>
          </cell>
          <cell r="BV16">
            <v>136517.90756914802</v>
          </cell>
          <cell r="BW16">
            <v>141336.81089576203</v>
          </cell>
          <cell r="BY16">
            <v>212130.11765223803</v>
          </cell>
          <cell r="BZ16">
            <v>215712.88330748404</v>
          </cell>
          <cell r="CA16">
            <v>93060.391302318807</v>
          </cell>
          <cell r="CB16">
            <v>151370.15587901502</v>
          </cell>
          <cell r="CC16">
            <v>471026.96496462001</v>
          </cell>
          <cell r="CD16">
            <v>2299372.2314187903</v>
          </cell>
          <cell r="CE16">
            <v>5123143.2366862502</v>
          </cell>
          <cell r="CF16">
            <v>5479182.1805671705</v>
          </cell>
          <cell r="CG16">
            <v>860907.89885937714</v>
          </cell>
          <cell r="CH16">
            <v>207114.00072317602</v>
          </cell>
          <cell r="CI16">
            <v>137232.897894433</v>
          </cell>
          <cell r="CJ16">
            <v>137328.05413641201</v>
          </cell>
        </row>
        <row r="17">
          <cell r="E17">
            <v>-4768993.3506781161</v>
          </cell>
          <cell r="F17">
            <v>-4648084.6162145743</v>
          </cell>
          <cell r="G17">
            <v>-4606899.4999642456</v>
          </cell>
          <cell r="H17">
            <v>-4603105.6851725718</v>
          </cell>
          <cell r="I17">
            <v>-4604056.1775938701</v>
          </cell>
          <cell r="J17">
            <v>-4602352.8935948219</v>
          </cell>
          <cell r="L17">
            <v>-4698037.0925810654</v>
          </cell>
          <cell r="M17">
            <v>-4699273.3838051027</v>
          </cell>
          <cell r="N17">
            <v>-4698995.492825578</v>
          </cell>
          <cell r="O17">
            <v>-4698559.3699209075</v>
          </cell>
          <cell r="P17">
            <v>-4693721.7697620941</v>
          </cell>
          <cell r="Q17">
            <v>-4663425.4243591186</v>
          </cell>
          <cell r="R17">
            <v>-4614518.9432906946</v>
          </cell>
          <cell r="S17">
            <v>-4607228.7387937382</v>
          </cell>
          <cell r="T17">
            <v>-4673240.6187119344</v>
          </cell>
          <cell r="U17">
            <v>-4675582.9864987005</v>
          </cell>
          <cell r="V17">
            <v>-4673875.5621312968</v>
          </cell>
          <cell r="W17">
            <v>-4669902.5982002616</v>
          </cell>
          <cell r="Y17">
            <v>-4238096.9001449188</v>
          </cell>
          <cell r="Z17">
            <v>-4239505.7305978686</v>
          </cell>
          <cell r="AA17">
            <v>-4239561.1326253125</v>
          </cell>
          <cell r="AB17">
            <v>-4239383.3279956747</v>
          </cell>
          <cell r="AC17">
            <v>-4236010.1742701409</v>
          </cell>
          <cell r="AD17">
            <v>-4216696.526596766</v>
          </cell>
          <cell r="AE17">
            <v>-4183007.4925294863</v>
          </cell>
          <cell r="AF17">
            <v>-4180052.309229475</v>
          </cell>
          <cell r="AG17">
            <v>-4219714.4328817697</v>
          </cell>
          <cell r="AH17">
            <v>-4222330.5799921239</v>
          </cell>
          <cell r="AI17">
            <v>-4221729.1581357615</v>
          </cell>
          <cell r="AJ17">
            <v>-4218602.6431467095</v>
          </cell>
          <cell r="AL17">
            <v>-3822805.3575151362</v>
          </cell>
          <cell r="AM17">
            <v>-3824250.3492942783</v>
          </cell>
          <cell r="AN17">
            <v>-3824474.5497235432</v>
          </cell>
          <cell r="AO17">
            <v>-3824760.1913155206</v>
          </cell>
          <cell r="AP17">
            <v>-3822852.2085362831</v>
          </cell>
          <cell r="AQ17">
            <v>-3807277.7073957869</v>
          </cell>
          <cell r="AR17">
            <v>-3781745.2927471306</v>
          </cell>
          <cell r="AS17">
            <v>-3780137.7974003437</v>
          </cell>
          <cell r="AT17">
            <v>-3809835.6238877354</v>
          </cell>
          <cell r="AU17">
            <v>-3812128.4263847107</v>
          </cell>
          <cell r="AV17">
            <v>-3811767.5143240225</v>
          </cell>
          <cell r="AW17">
            <v>-3809161.7950450405</v>
          </cell>
          <cell r="AY17">
            <v>-3446014.3326043156</v>
          </cell>
          <cell r="AZ17">
            <v>-3446708.9128459641</v>
          </cell>
          <cell r="BA17">
            <v>-3446896.3782873973</v>
          </cell>
          <cell r="BB17">
            <v>-3447267.5779992556</v>
          </cell>
          <cell r="BC17">
            <v>-3445957.8972875685</v>
          </cell>
          <cell r="BD17">
            <v>-3433277.5700971284</v>
          </cell>
          <cell r="BE17">
            <v>-3414389.985608418</v>
          </cell>
          <cell r="BF17">
            <v>-3411674.0594464797</v>
          </cell>
          <cell r="BG17">
            <v>-3443335.1903372509</v>
          </cell>
          <cell r="BH17">
            <v>-3437569.0685553821</v>
          </cell>
          <cell r="BI17">
            <v>-3437383.1375766248</v>
          </cell>
          <cell r="BJ17">
            <v>-3435320.8611941594</v>
          </cell>
          <cell r="BL17">
            <v>-3102774.3668480469</v>
          </cell>
          <cell r="BM17">
            <v>-3104089.2912881207</v>
          </cell>
          <cell r="BN17">
            <v>-3104373.1349995793</v>
          </cell>
          <cell r="BO17">
            <v>-3104922.8637794135</v>
          </cell>
          <cell r="BP17">
            <v>-3103940.1125736488</v>
          </cell>
          <cell r="BQ17">
            <v>-3093716.4719872861</v>
          </cell>
          <cell r="BR17">
            <v>-3079269.9904036243</v>
          </cell>
          <cell r="BS17">
            <v>-3075672.1884256164</v>
          </cell>
          <cell r="BT17">
            <v>-3094888.3771445691</v>
          </cell>
          <cell r="BU17">
            <v>-3095575.4180556089</v>
          </cell>
          <cell r="BV17">
            <v>-3095148.6633407334</v>
          </cell>
          <cell r="BW17">
            <v>-3092934.2908029174</v>
          </cell>
          <cell r="BY17">
            <v>-2788639.1313345842</v>
          </cell>
          <cell r="BZ17">
            <v>-2789438.2357135252</v>
          </cell>
          <cell r="CA17">
            <v>-2789283.2570484355</v>
          </cell>
          <cell r="CB17">
            <v>-2788821.5406299494</v>
          </cell>
          <cell r="CC17">
            <v>-2788483.9947821023</v>
          </cell>
          <cell r="CD17">
            <v>-2779555.7118446133</v>
          </cell>
          <cell r="CE17">
            <v>-2769496.8160119881</v>
          </cell>
          <cell r="CF17">
            <v>-2766719.6450764453</v>
          </cell>
          <cell r="CG17">
            <v>-2781164.3142083334</v>
          </cell>
          <cell r="CH17">
            <v>-2781597.2720266101</v>
          </cell>
          <cell r="CI17">
            <v>-2781253.9766788683</v>
          </cell>
          <cell r="CJ17">
            <v>-2780342.0288296342</v>
          </cell>
        </row>
        <row r="18">
          <cell r="D18">
            <v>-25043.206966096059</v>
          </cell>
          <cell r="E18">
            <v>307980.38571808126</v>
          </cell>
          <cell r="F18">
            <v>306190.35493628634</v>
          </cell>
          <cell r="G18">
            <v>-71615.378456814011</v>
          </cell>
          <cell r="H18">
            <v>-71189.128998005006</v>
          </cell>
          <cell r="I18">
            <v>-70785.574903144909</v>
          </cell>
          <cell r="J18">
            <v>-70358.2814894037</v>
          </cell>
          <cell r="L18">
            <v>-69935.340933610903</v>
          </cell>
          <cell r="M18">
            <v>-69544.1769374828</v>
          </cell>
          <cell r="N18">
            <v>-69137.336641258109</v>
          </cell>
          <cell r="O18">
            <v>-68741.157491345308</v>
          </cell>
          <cell r="P18">
            <v>-68323.979106937913</v>
          </cell>
        </row>
        <row r="19">
          <cell r="E19">
            <v>-1051045.9927505481</v>
          </cell>
          <cell r="F19">
            <v>-2452583.7116161175</v>
          </cell>
          <cell r="G19">
            <v>-2438708.754150589</v>
          </cell>
          <cell r="H19">
            <v>-2424359.0665013003</v>
          </cell>
          <cell r="I19">
            <v>-2410451.566460399</v>
          </cell>
          <cell r="J19">
            <v>-2396064.3996229693</v>
          </cell>
          <cell r="L19">
            <v>-2381661.080106914</v>
          </cell>
          <cell r="M19">
            <v>-2368695.3104021843</v>
          </cell>
          <cell r="N19">
            <v>-2354484.8950839643</v>
          </cell>
          <cell r="O19">
            <v>-2340833.2980559333</v>
          </cell>
          <cell r="P19">
            <v>-2326785.8525420679</v>
          </cell>
          <cell r="Q19">
            <v>-2313284.3095177449</v>
          </cell>
          <cell r="R19">
            <v>-2299407.842746356</v>
          </cell>
          <cell r="S19">
            <v>-2285605.1168055395</v>
          </cell>
          <cell r="T19">
            <v>-2272346.3055613632</v>
          </cell>
          <cell r="U19">
            <v>-2258726.9665854773</v>
          </cell>
          <cell r="V19">
            <v>-2245607.6294879476</v>
          </cell>
          <cell r="W19">
            <v>-2232112.9807813764</v>
          </cell>
          <cell r="Y19">
            <v>-2218681.6106734611</v>
          </cell>
          <cell r="Z19">
            <v>-2206645.4813441462</v>
          </cell>
          <cell r="AA19">
            <v>-2193470.6359356563</v>
          </cell>
          <cell r="AB19">
            <v>-2180832.1183325732</v>
          </cell>
          <cell r="AC19">
            <v>-2167851.8854680993</v>
          </cell>
          <cell r="AD19">
            <v>-2155372.6979197199</v>
          </cell>
          <cell r="AE19">
            <v>-2142557.2860982269</v>
          </cell>
          <cell r="AF19">
            <v>-2129826.3219940392</v>
          </cell>
          <cell r="AG19">
            <v>-2117595.2092168271</v>
          </cell>
          <cell r="AH19">
            <v>-2105039.2547626994</v>
          </cell>
          <cell r="AI19">
            <v>-2092948.7128934041</v>
          </cell>
          <cell r="AJ19">
            <v>-2080505.5441370541</v>
          </cell>
          <cell r="AL19">
            <v>-2068125.9511074852</v>
          </cell>
          <cell r="AM19">
            <v>-2057037.306554528</v>
          </cell>
          <cell r="AN19">
            <v>-2044889.1857944429</v>
          </cell>
          <cell r="AO19">
            <v>-2033232.0047770033</v>
          </cell>
          <cell r="AP19">
            <v>-2021259.1221358404</v>
          </cell>
          <cell r="AQ19">
            <v>-2009738.8014534542</v>
          </cell>
          <cell r="AR19">
            <v>-1997906.3139377341</v>
          </cell>
          <cell r="AS19">
            <v>-1986145.4458016353</v>
          </cell>
          <cell r="AT19">
            <v>-1974828.1830889373</v>
          </cell>
          <cell r="AU19">
            <v>-1963203.581006581</v>
          </cell>
          <cell r="AV19">
            <v>-1951998.2615260133</v>
          </cell>
          <cell r="AW19">
            <v>-1940446.9232117902</v>
          </cell>
          <cell r="AY19">
            <v>-1928947.668245038</v>
          </cell>
          <cell r="AZ19">
            <v>-1918257.9888455872</v>
          </cell>
          <cell r="BA19">
            <v>-1906906.3867114242</v>
          </cell>
          <cell r="BB19">
            <v>-1895989.8019010392</v>
          </cell>
          <cell r="BC19">
            <v>-1884776.435179563</v>
          </cell>
          <cell r="BD19">
            <v>-1873989.3373955321</v>
          </cell>
          <cell r="BE19">
            <v>-1862908.961541614</v>
          </cell>
          <cell r="BF19">
            <v>-1851895.5530482822</v>
          </cell>
          <cell r="BG19">
            <v>-1841300.7885046292</v>
          </cell>
          <cell r="BH19">
            <v>-1830417.9506727415</v>
          </cell>
          <cell r="BI19">
            <v>-1819948.777981244</v>
          </cell>
          <cell r="BJ19">
            <v>-1809194.9309117701</v>
          </cell>
          <cell r="BL19">
            <v>-1798506.0373130802</v>
          </cell>
          <cell r="BM19">
            <v>-1788907.048514049</v>
          </cell>
          <cell r="BN19">
            <v>-1778340.6717591933</v>
          </cell>
          <cell r="BO19">
            <v>-1768175.8938867562</v>
          </cell>
          <cell r="BP19">
            <v>-1757678.2885465613</v>
          </cell>
          <cell r="BQ19">
            <v>-1747444.9018176282</v>
          </cell>
          <cell r="BR19">
            <v>-1736868.48558131</v>
          </cell>
          <cell r="BS19">
            <v>-1726349.0897362584</v>
          </cell>
          <cell r="BT19">
            <v>-1716223.0751113652</v>
          </cell>
          <cell r="BU19">
            <v>-1705815.1216130382</v>
          </cell>
          <cell r="BV19">
            <v>-1695796.4692710172</v>
          </cell>
          <cell r="BW19">
            <v>-1685498.9571722641</v>
          </cell>
          <cell r="BY19">
            <v>-1675257.1895959442</v>
          </cell>
          <cell r="BZ19">
            <v>-1666054.2615603113</v>
          </cell>
          <cell r="CA19">
            <v>-1655917.8821798242</v>
          </cell>
          <cell r="CB19">
            <v>-1646160.8565647721</v>
          </cell>
          <cell r="CC19">
            <v>-1636132.4697606242</v>
          </cell>
          <cell r="CD19">
            <v>-1626479.4792362971</v>
          </cell>
          <cell r="CE19">
            <v>-1616558.1073892342</v>
          </cell>
          <cell r="CF19">
            <v>-1606690.7476774112</v>
          </cell>
          <cell r="CG19">
            <v>-1597192.8812647341</v>
          </cell>
          <cell r="CH19">
            <v>-1587431.0746797752</v>
          </cell>
          <cell r="CI19">
            <v>-1578034.8906850922</v>
          </cell>
          <cell r="CJ19">
            <v>-1568377.6763043422</v>
          </cell>
        </row>
        <row r="20">
          <cell r="E20">
            <v>-930489.95809276018</v>
          </cell>
          <cell r="F20">
            <v>-925081.80307907506</v>
          </cell>
          <cell r="G20">
            <v>-919848.35452885111</v>
          </cell>
          <cell r="H20">
            <v>-1096504.8452822482</v>
          </cell>
          <cell r="I20">
            <v>-755418.78958216449</v>
          </cell>
          <cell r="J20">
            <v>-751359.07740059774</v>
          </cell>
          <cell r="L20">
            <v>-891065.81491224398</v>
          </cell>
          <cell r="M20">
            <v>-886214.85007748613</v>
          </cell>
          <cell r="N20">
            <v>-880898.21816392813</v>
          </cell>
          <cell r="O20">
            <v>-875790.66044623312</v>
          </cell>
          <cell r="P20">
            <v>-870535.0014489051</v>
          </cell>
          <cell r="Q20">
            <v>-865483.58437784121</v>
          </cell>
          <cell r="R20">
            <v>-860291.89473105408</v>
          </cell>
          <cell r="S20">
            <v>-855127.79420424323</v>
          </cell>
          <cell r="T20">
            <v>-850167.19189825514</v>
          </cell>
          <cell r="U20">
            <v>-845071.7030881641</v>
          </cell>
          <cell r="V20">
            <v>-840163.28312045196</v>
          </cell>
          <cell r="W20">
            <v>-835114.44546377915</v>
          </cell>
          <cell r="Y20">
            <v>-854991.24131852202</v>
          </cell>
          <cell r="Z20">
            <v>-850352.99800031201</v>
          </cell>
          <cell r="AA20">
            <v>-845275.93900464918</v>
          </cell>
          <cell r="AB20">
            <v>-840405.55931524117</v>
          </cell>
          <cell r="AC20">
            <v>-835403.49621794408</v>
          </cell>
          <cell r="AD20">
            <v>-830594.51596530108</v>
          </cell>
          <cell r="AE20">
            <v>-825655.96831224603</v>
          </cell>
          <cell r="AF20">
            <v>-820749.96343518002</v>
          </cell>
          <cell r="AG20">
            <v>-816036.5812870661</v>
          </cell>
          <cell r="AH20">
            <v>-811198.01813630713</v>
          </cell>
          <cell r="AI20">
            <v>-806538.80639934004</v>
          </cell>
          <cell r="AJ20">
            <v>-801743.70634994702</v>
          </cell>
          <cell r="AL20">
            <v>-820883.54150855506</v>
          </cell>
          <cell r="AM20">
            <v>-816482.22068654001</v>
          </cell>
          <cell r="AN20">
            <v>-811660.371037164</v>
          </cell>
          <cell r="AO20">
            <v>-807033.38589997811</v>
          </cell>
          <cell r="AP20">
            <v>-802281.09201803303</v>
          </cell>
          <cell r="AQ20">
            <v>-797708.42968283303</v>
          </cell>
          <cell r="AR20">
            <v>-793011.86163698696</v>
          </cell>
          <cell r="AS20">
            <v>-788343.72085880814</v>
          </cell>
          <cell r="AT20">
            <v>-783854.02945927309</v>
          </cell>
          <cell r="AU20">
            <v>-779237.60272722517</v>
          </cell>
          <cell r="AV20">
            <v>-774789.97112431412</v>
          </cell>
          <cell r="AW20">
            <v>-770204.99722586316</v>
          </cell>
          <cell r="AY20">
            <v>-788608.00121241901</v>
          </cell>
          <cell r="AZ20">
            <v>-784237.75994378317</v>
          </cell>
          <cell r="BA20">
            <v>-779596.90606425412</v>
          </cell>
          <cell r="BB20">
            <v>-775133.89948864514</v>
          </cell>
          <cell r="BC20">
            <v>-770549.56012959406</v>
          </cell>
          <cell r="BD20">
            <v>-766139.49148833903</v>
          </cell>
          <cell r="BE20">
            <v>-761609.52253237111</v>
          </cell>
          <cell r="BF20">
            <v>-757106.93171487818</v>
          </cell>
          <cell r="BG20">
            <v>-752775.49430595816</v>
          </cell>
          <cell r="BH20">
            <v>-748326.28444329102</v>
          </cell>
          <cell r="BI20">
            <v>-744046.19251207809</v>
          </cell>
          <cell r="BJ20">
            <v>-739649.71769712504</v>
          </cell>
          <cell r="BL20">
            <v>-757338.681445739</v>
          </cell>
          <cell r="BM20">
            <v>-753296.61243432306</v>
          </cell>
          <cell r="BN20">
            <v>-748847.18292273907</v>
          </cell>
          <cell r="BO20">
            <v>-744566.86397390708</v>
          </cell>
          <cell r="BP20">
            <v>-740146.3936381191</v>
          </cell>
          <cell r="BQ20">
            <v>-735837.18396563106</v>
          </cell>
          <cell r="BR20">
            <v>-731383.52689656802</v>
          </cell>
          <cell r="BS20">
            <v>-726953.88072712906</v>
          </cell>
          <cell r="BT20">
            <v>-722689.88471865607</v>
          </cell>
          <cell r="BU20">
            <v>-718307.16616478842</v>
          </cell>
          <cell r="BV20">
            <v>-714088.37968470238</v>
          </cell>
          <cell r="BW20">
            <v>-709752.16725436295</v>
          </cell>
          <cell r="BY20">
            <v>-726603.94655518606</v>
          </cell>
          <cell r="BZ20">
            <v>-722612.38999176398</v>
          </cell>
          <cell r="CA20">
            <v>-718215.97055993893</v>
          </cell>
          <cell r="CB20">
            <v>-713984.08702434669</v>
          </cell>
          <cell r="CC20">
            <v>-709634.5068675027</v>
          </cell>
          <cell r="CD20">
            <v>-705447.74613930273</v>
          </cell>
          <cell r="CE20">
            <v>-701144.58123776352</v>
          </cell>
          <cell r="CF20">
            <v>-696864.84284701641</v>
          </cell>
          <cell r="CG20">
            <v>-692745.36360396887</v>
          </cell>
          <cell r="CH20">
            <v>-688511.40643357718</v>
          </cell>
          <cell r="CI20">
            <v>-684436.02958070103</v>
          </cell>
          <cell r="CJ20">
            <v>-680247.43685275514</v>
          </cell>
        </row>
        <row r="21">
          <cell r="E21">
            <v>-395222.3103511465</v>
          </cell>
          <cell r="F21">
            <v>-392925.21568542125</v>
          </cell>
          <cell r="G21">
            <v>-390702.32697057485</v>
          </cell>
          <cell r="H21">
            <v>-388403.3823564066</v>
          </cell>
          <cell r="I21">
            <v>-386175.28003829467</v>
          </cell>
          <cell r="J21">
            <v>-383870.33093261288</v>
          </cell>
          <cell r="L21">
            <v>-381562.79402750044</v>
          </cell>
          <cell r="M21">
            <v>-379485.56508985866</v>
          </cell>
          <cell r="N21">
            <v>-377208.93311295786</v>
          </cell>
          <cell r="O21">
            <v>-375021.82868048351</v>
          </cell>
          <cell r="P21">
            <v>-372771.30588192545</v>
          </cell>
          <cell r="Q21">
            <v>-370608.24140433304</v>
          </cell>
          <cell r="R21">
            <v>-368385.11088557646</v>
          </cell>
          <cell r="S21">
            <v>-366173.79428844841</v>
          </cell>
          <cell r="T21">
            <v>-364049.61755059619</v>
          </cell>
          <cell r="U21">
            <v>-361867.68113829417</v>
          </cell>
          <cell r="V21">
            <v>-359765.84937031806</v>
          </cell>
          <cell r="W21">
            <v>-357603.88942231919</v>
          </cell>
          <cell r="Y21">
            <v>-355452.06725551316</v>
          </cell>
          <cell r="Z21">
            <v>-353523.77478160511</v>
          </cell>
          <cell r="AA21">
            <v>-351413.0501000238</v>
          </cell>
          <cell r="AB21">
            <v>-349388.24979183672</v>
          </cell>
          <cell r="AC21">
            <v>-347308.70373036485</v>
          </cell>
          <cell r="AD21">
            <v>-345309.42948100797</v>
          </cell>
          <cell r="AE21">
            <v>-343256.28918238811</v>
          </cell>
          <cell r="AF21">
            <v>-341216.67814166046</v>
          </cell>
          <cell r="AG21">
            <v>-339257.14762561861</v>
          </cell>
          <cell r="AH21">
            <v>-337245.57465110283</v>
          </cell>
          <cell r="AI21">
            <v>-335308.56481561984</v>
          </cell>
          <cell r="AJ21">
            <v>-333315.06108963426</v>
          </cell>
          <cell r="AL21">
            <v>-331331.74274734745</v>
          </cell>
          <cell r="AM21">
            <v>-329555.24556521524</v>
          </cell>
          <cell r="AN21">
            <v>-327609.01109125145</v>
          </cell>
          <cell r="AO21">
            <v>-325741.42942875123</v>
          </cell>
          <cell r="AP21">
            <v>-323823.26962369622</v>
          </cell>
          <cell r="AQ21">
            <v>-321977.61417574796</v>
          </cell>
          <cell r="AR21">
            <v>-320081.94688937225</v>
          </cell>
          <cell r="AS21">
            <v>-318197.75364975428</v>
          </cell>
          <cell r="AT21">
            <v>-316384.62985247339</v>
          </cell>
          <cell r="AU21">
            <v>-314522.26761837903</v>
          </cell>
          <cell r="AV21">
            <v>-312727.07809931284</v>
          </cell>
          <cell r="AW21">
            <v>-310876.45335730142</v>
          </cell>
          <cell r="AY21">
            <v>-309034.17281999224</v>
          </cell>
          <cell r="AZ21">
            <v>-307321.59332117881</v>
          </cell>
          <cell r="BA21">
            <v>-305502.96805027925</v>
          </cell>
          <cell r="BB21">
            <v>-303754.03633355466</v>
          </cell>
          <cell r="BC21">
            <v>-301957.55757658923</v>
          </cell>
          <cell r="BD21">
            <v>-300229.37080631341</v>
          </cell>
          <cell r="BE21">
            <v>-298454.19834159542</v>
          </cell>
          <cell r="BF21">
            <v>-296689.75462977483</v>
          </cell>
          <cell r="BG21">
            <v>-294992.38131536642</v>
          </cell>
          <cell r="BH21">
            <v>-293248.85615774943</v>
          </cell>
          <cell r="BI21">
            <v>-291571.60374904622</v>
          </cell>
          <cell r="BJ21">
            <v>-289848.74403208384</v>
          </cell>
          <cell r="BL21">
            <v>-288136.29042537842</v>
          </cell>
          <cell r="BM21">
            <v>-286598.44903535524</v>
          </cell>
          <cell r="BN21">
            <v>-284905.62369131041</v>
          </cell>
          <cell r="BO21">
            <v>-283277.13797683502</v>
          </cell>
          <cell r="BP21">
            <v>-281595.33041082183</v>
          </cell>
          <cell r="BQ21">
            <v>-279955.85296154523</v>
          </cell>
          <cell r="BR21">
            <v>-278261.41920535924</v>
          </cell>
          <cell r="BS21">
            <v>-276576.12061117805</v>
          </cell>
          <cell r="BT21">
            <v>-274953.84510568745</v>
          </cell>
          <cell r="BU21">
            <v>-273286.40054352843</v>
          </cell>
          <cell r="BV21">
            <v>-271681.32540838799</v>
          </cell>
          <cell r="BW21">
            <v>-270031.57451782201</v>
          </cell>
          <cell r="BY21">
            <v>-268390.75438399141</v>
          </cell>
          <cell r="BZ21">
            <v>-266916.36536876165</v>
          </cell>
          <cell r="CA21">
            <v>-265292.42933938804</v>
          </cell>
          <cell r="CB21">
            <v>-263729.26907860505</v>
          </cell>
          <cell r="CC21">
            <v>-262122.6343980708</v>
          </cell>
          <cell r="CD21">
            <v>-260576.14146255303</v>
          </cell>
          <cell r="CE21">
            <v>-258986.65150776002</v>
          </cell>
          <cell r="CF21">
            <v>-257405.81476622462</v>
          </cell>
          <cell r="CG21">
            <v>-255884.17406092383</v>
          </cell>
          <cell r="CH21">
            <v>-254320.24784723044</v>
          </cell>
          <cell r="CI21">
            <v>-252814.89754858625</v>
          </cell>
          <cell r="CJ21">
            <v>-251267.72791457764</v>
          </cell>
        </row>
        <row r="22">
          <cell r="E22">
            <v>-0.98805083562368812</v>
          </cell>
          <cell r="F22">
            <v>-0.9823081276729152</v>
          </cell>
        </row>
        <row r="23">
          <cell r="E23">
            <v>-509873.75321524811</v>
          </cell>
          <cell r="F23">
            <v>-506910.28620433103</v>
          </cell>
          <cell r="G23">
            <v>-504039.62155917857</v>
          </cell>
          <cell r="H23">
            <v>-501076.69819450926</v>
          </cell>
          <cell r="I23">
            <v>-498201.27233284223</v>
          </cell>
          <cell r="J23">
            <v>-495102.92088817904</v>
          </cell>
          <cell r="L23">
            <v>-506890.28271633032</v>
          </cell>
          <cell r="M23">
            <v>-504130.77057324647</v>
          </cell>
          <cell r="N23">
            <v>-501106.35979610658</v>
          </cell>
          <cell r="O23">
            <v>-498200.88263360551</v>
          </cell>
          <cell r="P23">
            <v>-495211.15681264747</v>
          </cell>
          <cell r="Q23">
            <v>-492337.61572912853</v>
          </cell>
          <cell r="R23">
            <v>-489384.27941121004</v>
          </cell>
          <cell r="S23">
            <v>-486446.63739621604</v>
          </cell>
          <cell r="T23">
            <v>-483624.75705556723</v>
          </cell>
          <cell r="U23">
            <v>-480726.14539265732</v>
          </cell>
          <cell r="V23">
            <v>-477933.94941399182</v>
          </cell>
          <cell r="W23">
            <v>-475061.87565204338</v>
          </cell>
          <cell r="Y23">
            <v>-486368.85219263507</v>
          </cell>
          <cell r="Z23">
            <v>-483730.34904798254</v>
          </cell>
          <cell r="AA23">
            <v>-480842.22196912841</v>
          </cell>
          <cell r="AB23">
            <v>-478071.66612620995</v>
          </cell>
          <cell r="AC23">
            <v>-475226.20108556806</v>
          </cell>
          <cell r="AD23">
            <v>-472490.57282101561</v>
          </cell>
          <cell r="AE23">
            <v>-469681.23906712729</v>
          </cell>
          <cell r="AF23">
            <v>-466890.41754101403</v>
          </cell>
          <cell r="AG23">
            <v>-464209.17105036264</v>
          </cell>
          <cell r="AH23">
            <v>-461456.71430908889</v>
          </cell>
          <cell r="AI23">
            <v>-458806.28310568177</v>
          </cell>
          <cell r="AJ23">
            <v>-456078.5507097618</v>
          </cell>
          <cell r="AL23">
            <v>-466965.8551171961</v>
          </cell>
          <cell r="AM23">
            <v>-464462.1302434816</v>
          </cell>
          <cell r="AN23">
            <v>-461719.18434322736</v>
          </cell>
          <cell r="AO23">
            <v>-459087.08860498259</v>
          </cell>
          <cell r="AP23">
            <v>-456383.71003282419</v>
          </cell>
          <cell r="AQ23">
            <v>-453782.51623425743</v>
          </cell>
          <cell r="AR23">
            <v>-451110.83772841812</v>
          </cell>
          <cell r="AS23">
            <v>-448455.33029031818</v>
          </cell>
          <cell r="AT23">
            <v>-445899.98531367863</v>
          </cell>
          <cell r="AU23">
            <v>-443275.24563141773</v>
          </cell>
          <cell r="AV23">
            <v>-440745.17651725066</v>
          </cell>
          <cell r="AW23">
            <v>-438136.97919215064</v>
          </cell>
          <cell r="AY23">
            <v>-448607.98651964054</v>
          </cell>
          <cell r="AZ23">
            <v>-446121.92863902927</v>
          </cell>
          <cell r="BA23">
            <v>-443481.92991795845</v>
          </cell>
          <cell r="BB23">
            <v>-440943.10151318734</v>
          </cell>
          <cell r="BC23">
            <v>-438335.25167369167</v>
          </cell>
          <cell r="BD23">
            <v>-435826.53757172369</v>
          </cell>
          <cell r="BE23">
            <v>-433249.6169099884</v>
          </cell>
          <cell r="BF23">
            <v>-430688.27059134655</v>
          </cell>
          <cell r="BG23">
            <v>-428224.28669597139</v>
          </cell>
          <cell r="BH23">
            <v>-425693.30669700383</v>
          </cell>
          <cell r="BI23">
            <v>-423258.53121865622</v>
          </cell>
          <cell r="BJ23">
            <v>-420757.55010828434</v>
          </cell>
          <cell r="BL23">
            <v>-430819.22734788922</v>
          </cell>
          <cell r="BM23">
            <v>-428519.85839837091</v>
          </cell>
          <cell r="BN23">
            <v>-425988.75859945413</v>
          </cell>
          <cell r="BO23">
            <v>-423553.85893366858</v>
          </cell>
          <cell r="BP23">
            <v>-421039.23283409647</v>
          </cell>
          <cell r="BQ23">
            <v>-418587.89840860997</v>
          </cell>
          <cell r="BR23">
            <v>-416054.39372388413</v>
          </cell>
          <cell r="BS23">
            <v>-413534.54786509444</v>
          </cell>
          <cell r="BT23">
            <v>-411108.93365735607</v>
          </cell>
          <cell r="BU23">
            <v>-408615.78301376896</v>
          </cell>
          <cell r="BV23">
            <v>-406215.88667118835</v>
          </cell>
          <cell r="BW23">
            <v>-403749.19147309044</v>
          </cell>
          <cell r="BY23">
            <v>-413334.45657055499</v>
          </cell>
          <cell r="BZ23">
            <v>-411063.82774884964</v>
          </cell>
          <cell r="CA23">
            <v>-408562.88945182442</v>
          </cell>
          <cell r="CB23">
            <v>-406155.54871310777</v>
          </cell>
          <cell r="CC23">
            <v>-403681.25531164405</v>
          </cell>
          <cell r="CD23">
            <v>-401299.58304219675</v>
          </cell>
          <cell r="CE23">
            <v>-398851.69332931639</v>
          </cell>
          <cell r="CF23">
            <v>-396417.129974148</v>
          </cell>
          <cell r="CG23">
            <v>-394073.73131473927</v>
          </cell>
          <cell r="CH23">
            <v>-391665.21097231132</v>
          </cell>
          <cell r="CI23">
            <v>-389346.90030968643</v>
          </cell>
          <cell r="CJ23">
            <v>-386964.18589255575</v>
          </cell>
        </row>
        <row r="24">
          <cell r="E24">
            <v>4591559.54</v>
          </cell>
          <cell r="F24">
            <v>3633568.4106000001</v>
          </cell>
          <cell r="G24">
            <v>1324752.2321000001</v>
          </cell>
          <cell r="H24">
            <v>592783.30480000004</v>
          </cell>
          <cell r="I24">
            <v>169433.35950000002</v>
          </cell>
          <cell r="J24">
            <v>154760.04990000001</v>
          </cell>
          <cell r="L24">
            <v>319086.16529999999</v>
          </cell>
          <cell r="M24">
            <v>277113.5135</v>
          </cell>
          <cell r="N24">
            <v>220124.56330000001</v>
          </cell>
          <cell r="O24">
            <v>162504.4645</v>
          </cell>
          <cell r="P24">
            <v>185641.4007</v>
          </cell>
          <cell r="Q24">
            <v>220660.00290000002</v>
          </cell>
          <cell r="R24">
            <v>250407.99290000001</v>
          </cell>
          <cell r="S24">
            <v>209034.18480000002</v>
          </cell>
          <cell r="T24">
            <v>81537.515100000004</v>
          </cell>
          <cell r="U24">
            <v>34697.347600000001</v>
          </cell>
          <cell r="V24">
            <v>2901.9219000000003</v>
          </cell>
          <cell r="W24">
            <v>-10718.3809</v>
          </cell>
          <cell r="Y24">
            <v>86461.949200000003</v>
          </cell>
          <cell r="Z24">
            <v>56435.705700000006</v>
          </cell>
          <cell r="AA24">
            <v>31622.634600000001</v>
          </cell>
          <cell r="AB24">
            <v>-26218.393200000002</v>
          </cell>
          <cell r="AC24">
            <v>-55872.556300000004</v>
          </cell>
          <cell r="AD24">
            <v>-66177.174700000003</v>
          </cell>
          <cell r="AE24">
            <v>-71007.467300000004</v>
          </cell>
          <cell r="AF24">
            <v>-71651.362999999998</v>
          </cell>
          <cell r="AG24">
            <v>-83626.516499999998</v>
          </cell>
          <cell r="AH24">
            <v>-83296.488100000002</v>
          </cell>
          <cell r="AI24">
            <v>-55300.866500000004</v>
          </cell>
          <cell r="AJ24">
            <v>-46989.574800000002</v>
          </cell>
        </row>
        <row r="25">
          <cell r="E25">
            <v>11780453.3291</v>
          </cell>
          <cell r="F25">
            <v>11723397.7788</v>
          </cell>
          <cell r="G25">
            <v>15674251.572900001</v>
          </cell>
          <cell r="H25">
            <v>4935738.8081999999</v>
          </cell>
          <cell r="I25">
            <v>1158038.8347</v>
          </cell>
          <cell r="J25">
            <v>1255532.1344000001</v>
          </cell>
          <cell r="L25">
            <v>3012443.3547</v>
          </cell>
          <cell r="M25">
            <v>3872625.9429000001</v>
          </cell>
          <cell r="N25">
            <v>1875521.5565000002</v>
          </cell>
          <cell r="O25">
            <v>1214275.1313</v>
          </cell>
          <cell r="P25">
            <v>1535250.1739000001</v>
          </cell>
          <cell r="Q25">
            <v>2023902.2192000002</v>
          </cell>
          <cell r="R25">
            <v>2759065.0194999999</v>
          </cell>
          <cell r="S25">
            <v>2721528.3359000003</v>
          </cell>
          <cell r="T25">
            <v>1424060.4678</v>
          </cell>
          <cell r="U25">
            <v>959046.96189999999</v>
          </cell>
          <cell r="V25">
            <v>1200508.1821000001</v>
          </cell>
          <cell r="W25">
            <v>1463775.1996000002</v>
          </cell>
          <cell r="Y25">
            <v>1158405.5623000001</v>
          </cell>
          <cell r="Z25">
            <v>880972.03960000002</v>
          </cell>
          <cell r="AA25">
            <v>595335.34120000002</v>
          </cell>
          <cell r="AB25">
            <v>549437.28480000002</v>
          </cell>
          <cell r="AC25">
            <v>400381.48820000002</v>
          </cell>
          <cell r="AD25">
            <v>367698.71110000001</v>
          </cell>
          <cell r="AE25">
            <v>363990.91440000001</v>
          </cell>
          <cell r="AF25">
            <v>370041.37109999999</v>
          </cell>
          <cell r="AG25">
            <v>351400.56320000003</v>
          </cell>
          <cell r="AH25">
            <v>420332.8236</v>
          </cell>
          <cell r="AI25">
            <v>447995.6924</v>
          </cell>
          <cell r="AJ25">
            <v>672856.97140000004</v>
          </cell>
        </row>
        <row r="26">
          <cell r="E26">
            <v>-44146111.335666336</v>
          </cell>
          <cell r="F26">
            <v>-32308114.319162168</v>
          </cell>
          <cell r="G26">
            <v>-222731.72823750001</v>
          </cell>
          <cell r="L26">
            <v>-1024205.8509386601</v>
          </cell>
          <cell r="M26">
            <v>-811878.65037213208</v>
          </cell>
          <cell r="N26">
            <v>-211616.06102823402</v>
          </cell>
          <cell r="O26">
            <v>-283515.08490702102</v>
          </cell>
          <cell r="P26">
            <v>-664313.18992592802</v>
          </cell>
          <cell r="Q26">
            <v>-1074017.3135031902</v>
          </cell>
          <cell r="R26">
            <v>-16988362.831785101</v>
          </cell>
          <cell r="S26">
            <v>-18494613.528853301</v>
          </cell>
          <cell r="T26">
            <v>-228327.11491025501</v>
          </cell>
          <cell r="U26">
            <v>-250686.12494999802</v>
          </cell>
          <cell r="V26">
            <v>-174566.25847544</v>
          </cell>
          <cell r="W26">
            <v>-163070.16151729101</v>
          </cell>
          <cell r="Y26">
            <v>-445792.25759815605</v>
          </cell>
          <cell r="Z26">
            <v>-323312.59744099504</v>
          </cell>
          <cell r="AA26">
            <v>-51659.042552035004</v>
          </cell>
          <cell r="AB26">
            <v>-122984.04900648101</v>
          </cell>
          <cell r="AC26">
            <v>-259806.17295759503</v>
          </cell>
          <cell r="AD26">
            <v>-331495.39482479403</v>
          </cell>
          <cell r="AE26">
            <v>-9469707.1574279405</v>
          </cell>
          <cell r="AF26">
            <v>-9413438.6493788809</v>
          </cell>
          <cell r="AG26">
            <v>-149317.61755630901</v>
          </cell>
          <cell r="AH26">
            <v>-155752.66996282802</v>
          </cell>
          <cell r="AI26">
            <v>-103300.98356160501</v>
          </cell>
          <cell r="AJ26">
            <v>-106395.98650642601</v>
          </cell>
          <cell r="AL26">
            <v>-415541.61368006602</v>
          </cell>
          <cell r="AM26">
            <v>-301392.35334262101</v>
          </cell>
        </row>
        <row r="27">
          <cell r="E27">
            <v>-26954026.795814246</v>
          </cell>
          <cell r="F27">
            <v>-17496086.523607872</v>
          </cell>
          <cell r="G27">
            <v>-222731.72823750001</v>
          </cell>
          <cell r="L27">
            <v>-512102.92546932906</v>
          </cell>
          <cell r="M27">
            <v>-405939.32518606604</v>
          </cell>
          <cell r="N27">
            <v>-70538.687009411209</v>
          </cell>
          <cell r="O27">
            <v>-94505.028302340303</v>
          </cell>
          <cell r="P27">
            <v>-221437.72997530902</v>
          </cell>
          <cell r="Q27">
            <v>-358005.77116773004</v>
          </cell>
          <cell r="R27">
            <v>-8494181.4158925302</v>
          </cell>
          <cell r="S27">
            <v>-9247306.7644266617</v>
          </cell>
          <cell r="T27">
            <v>-76109.038303418303</v>
          </cell>
          <cell r="U27">
            <v>-83562.041649999315</v>
          </cell>
          <cell r="V27">
            <v>-58188.752825146708</v>
          </cell>
          <cell r="W27">
            <v>-54356.720505763806</v>
          </cell>
          <cell r="Y27">
            <v>-297194.83839877101</v>
          </cell>
          <cell r="Z27">
            <v>-215541.73162733001</v>
          </cell>
          <cell r="AA27">
            <v>-25829.521276017502</v>
          </cell>
          <cell r="AB27">
            <v>-61492.024503240609</v>
          </cell>
          <cell r="AC27">
            <v>-129903.08647879702</v>
          </cell>
          <cell r="AD27">
            <v>-165747.69741239701</v>
          </cell>
          <cell r="AE27">
            <v>-4485650.7587816603</v>
          </cell>
          <cell r="AF27">
            <v>-4458997.2549689403</v>
          </cell>
          <cell r="AG27">
            <v>-74658.808778154402</v>
          </cell>
          <cell r="AH27">
            <v>-77876.334981414213</v>
          </cell>
          <cell r="AI27">
            <v>-51650.491780802506</v>
          </cell>
          <cell r="AJ27">
            <v>-53197.993253213208</v>
          </cell>
          <cell r="AL27">
            <v>-138513.87122668902</v>
          </cell>
          <cell r="AM27">
            <v>-100464.11778087402</v>
          </cell>
        </row>
        <row r="28">
          <cell r="D28">
            <v>-2957165.4803520958</v>
          </cell>
          <cell r="E28">
            <v>-6767753.0006685313</v>
          </cell>
          <cell r="F28">
            <v>-308444.76406559633</v>
          </cell>
          <cell r="G28">
            <v>-3489312.0040392601</v>
          </cell>
          <cell r="P28">
            <v>459150.50133326004</v>
          </cell>
          <cell r="Q28">
            <v>3113093.6623280863</v>
          </cell>
          <cell r="R28">
            <v>417746.62701110845</v>
          </cell>
          <cell r="S28">
            <v>454785.57857835985</v>
          </cell>
          <cell r="T28">
            <v>221179.72010841462</v>
          </cell>
          <cell r="AD28">
            <v>593929.24906108878</v>
          </cell>
          <cell r="AQ28">
            <v>94660.945262944006</v>
          </cell>
          <cell r="AR28">
            <v>112668.28196365043</v>
          </cell>
          <cell r="AS28">
            <v>106913.91065676541</v>
          </cell>
          <cell r="BD28">
            <v>132100.26265346512</v>
          </cell>
          <cell r="BE28">
            <v>25070.027310558002</v>
          </cell>
          <cell r="BF28">
            <v>26108.567864580804</v>
          </cell>
          <cell r="BR28">
            <v>22260.802232417704</v>
          </cell>
          <cell r="BS28">
            <v>25444.875871849203</v>
          </cell>
        </row>
        <row r="29">
          <cell r="D29">
            <v>-1631465.5560357398</v>
          </cell>
          <cell r="E29">
            <v>-11777249.775308462</v>
          </cell>
          <cell r="F29">
            <v>-1020295.9835151751</v>
          </cell>
          <cell r="G29">
            <v>-6234326.3474872438</v>
          </cell>
          <cell r="H29">
            <v>-143895.35663207102</v>
          </cell>
          <cell r="I29">
            <v>-185152.90266193001</v>
          </cell>
          <cell r="J29">
            <v>-113926.49366818201</v>
          </cell>
          <cell r="L29">
            <v>-402976.51200953202</v>
          </cell>
          <cell r="M29">
            <v>-364347.91520926805</v>
          </cell>
          <cell r="P29">
            <v>2603.4243008739004</v>
          </cell>
          <cell r="Q29">
            <v>624631.75440820353</v>
          </cell>
          <cell r="R29">
            <v>-6720666.7500891425</v>
          </cell>
          <cell r="S29">
            <v>-7316873.5428769616</v>
          </cell>
          <cell r="T29">
            <v>137657.49559430854</v>
          </cell>
          <cell r="U29">
            <v>0</v>
          </cell>
          <cell r="V29">
            <v>0</v>
          </cell>
          <cell r="W29">
            <v>5.9200803111977814E-3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8350.4523554854313</v>
          </cell>
          <cell r="AD29">
            <v>1916450.5856922308</v>
          </cell>
          <cell r="AE29">
            <v>-2056103.9953423054</v>
          </cell>
          <cell r="AF29">
            <v>-2044621.3116102554</v>
          </cell>
          <cell r="AG29">
            <v>132787.93039975502</v>
          </cell>
          <cell r="AH29">
            <v>0</v>
          </cell>
          <cell r="AI29">
            <v>0</v>
          </cell>
          <cell r="AJ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1.6043092709638905E-9</v>
          </cell>
          <cell r="AP29">
            <v>2349.3755144316801</v>
          </cell>
          <cell r="AQ29">
            <v>2399118.6933164154</v>
          </cell>
          <cell r="AR29">
            <v>17361.787240953592</v>
          </cell>
          <cell r="AS29">
            <v>16001.248727737227</v>
          </cell>
          <cell r="AT29">
            <v>90842.914320186406</v>
          </cell>
          <cell r="AU29">
            <v>0</v>
          </cell>
          <cell r="BD29">
            <v>2172124.6188109182</v>
          </cell>
          <cell r="BE29">
            <v>262357.83580498304</v>
          </cell>
          <cell r="BF29">
            <v>273226.16270283808</v>
          </cell>
          <cell r="BQ29">
            <v>260895.15401615301</v>
          </cell>
          <cell r="BR29">
            <v>-20257.330031499703</v>
          </cell>
          <cell r="BS29">
            <v>-23154.837043382304</v>
          </cell>
        </row>
        <row r="30">
          <cell r="E30">
            <v>-561212.87463425507</v>
          </cell>
          <cell r="F30">
            <v>339878.61217482906</v>
          </cell>
          <cell r="G30">
            <v>285211.27263215603</v>
          </cell>
          <cell r="H30">
            <v>-2401291.9049589601</v>
          </cell>
          <cell r="I30">
            <v>-675803.36105021113</v>
          </cell>
          <cell r="J30">
            <v>152587.69360724502</v>
          </cell>
          <cell r="L30">
            <v>76312.177244613908</v>
          </cell>
          <cell r="M30">
            <v>100563.17193295302</v>
          </cell>
          <cell r="N30">
            <v>99959.867475596417</v>
          </cell>
          <cell r="O30">
            <v>124694.13456558801</v>
          </cell>
        </row>
        <row r="31">
          <cell r="P31">
            <v>-44266.371241622452</v>
          </cell>
          <cell r="Q31">
            <v>-44009.508619221415</v>
          </cell>
          <cell r="R31">
            <v>-43745.513190096215</v>
          </cell>
          <cell r="S31">
            <v>-43482.920657150011</v>
          </cell>
          <cell r="T31">
            <v>-43230.675930753605</v>
          </cell>
          <cell r="U31">
            <v>-42971.572277311054</v>
          </cell>
          <cell r="V31">
            <v>-42721.981002820256</v>
          </cell>
          <cell r="W31">
            <v>-42465.249542652724</v>
          </cell>
          <cell r="Y31">
            <v>-42209.721937982533</v>
          </cell>
          <cell r="Z31">
            <v>-41980.738351623797</v>
          </cell>
          <cell r="AA31">
            <v>-41730.091048922579</v>
          </cell>
          <cell r="AB31">
            <v>-41489.647214544522</v>
          </cell>
          <cell r="AC31">
            <v>-41242.702354468995</v>
          </cell>
          <cell r="AD31">
            <v>-41005.289724421134</v>
          </cell>
          <cell r="AE31">
            <v>-40761.480533005939</v>
          </cell>
          <cell r="AF31">
            <v>-40519.277932932506</v>
          </cell>
          <cell r="AG31">
            <v>-40286.584847618018</v>
          </cell>
          <cell r="AH31">
            <v>-40047.711751259718</v>
          </cell>
          <cell r="AI31">
            <v>-39817.692983389883</v>
          </cell>
          <cell r="AJ31">
            <v>-39580.965599566014</v>
          </cell>
          <cell r="AL31">
            <v>-39345.447724008875</v>
          </cell>
          <cell r="AM31">
            <v>-39134.489738420561</v>
          </cell>
          <cell r="AN31">
            <v>-38903.375550208366</v>
          </cell>
          <cell r="AO31">
            <v>-38681.601336657477</v>
          </cell>
          <cell r="AP31">
            <v>-38453.820998708936</v>
          </cell>
          <cell r="AQ31">
            <v>-38234.650510117572</v>
          </cell>
          <cell r="AR31">
            <v>-38009.541145407202</v>
          </cell>
          <cell r="AS31">
            <v>-37785.794316936714</v>
          </cell>
          <cell r="AT31">
            <v>-37570.486942546435</v>
          </cell>
          <cell r="AU31">
            <v>-37349.332533019842</v>
          </cell>
        </row>
        <row r="32">
          <cell r="P32">
            <v>-32617.326178037605</v>
          </cell>
          <cell r="Q32">
            <v>-32428.058982584302</v>
          </cell>
          <cell r="R32">
            <v>-32233.536034807803</v>
          </cell>
          <cell r="S32">
            <v>-32040.046800005304</v>
          </cell>
          <cell r="T32">
            <v>-31854.182264765903</v>
          </cell>
          <cell r="U32">
            <v>-13569.970192835101</v>
          </cell>
          <cell r="V32">
            <v>-13491.151895627401</v>
          </cell>
          <cell r="W32">
            <v>-13410.078802943002</v>
          </cell>
          <cell r="Y32">
            <v>-13329.385875152402</v>
          </cell>
          <cell r="Z32">
            <v>-13257.075268933801</v>
          </cell>
          <cell r="AA32">
            <v>-13177.923489133402</v>
          </cell>
          <cell r="AB32">
            <v>-13101.993857224601</v>
          </cell>
          <cell r="AC32">
            <v>-30389.359629608702</v>
          </cell>
          <cell r="AD32">
            <v>-30214.424007468202</v>
          </cell>
          <cell r="AE32">
            <v>-30034.775129583304</v>
          </cell>
          <cell r="AF32">
            <v>-29856.310055845002</v>
          </cell>
          <cell r="AG32">
            <v>-29684.851992981705</v>
          </cell>
          <cell r="AH32">
            <v>-12646.645816187302</v>
          </cell>
          <cell r="AI32">
            <v>-12574.008310544201</v>
          </cell>
          <cell r="AJ32">
            <v>-12499.252294599801</v>
          </cell>
          <cell r="AL32">
            <v>-12424.878228634401</v>
          </cell>
          <cell r="AM32">
            <v>-12358.259917396001</v>
          </cell>
          <cell r="AN32">
            <v>-12285.276489539501</v>
          </cell>
          <cell r="AO32">
            <v>-12215.242527365501</v>
          </cell>
          <cell r="AP32">
            <v>-28334.394420101304</v>
          </cell>
          <cell r="AQ32">
            <v>-28172.900375876103</v>
          </cell>
          <cell r="AR32">
            <v>-28007.030317668505</v>
          </cell>
          <cell r="AS32">
            <v>-27842.164233532301</v>
          </cell>
          <cell r="AT32">
            <v>-27683.516694508002</v>
          </cell>
          <cell r="AU32">
            <v>-11794.526063058902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Brownsville Gas"/>
      <sheetName val="Brownsville Power"/>
      <sheetName val="Imbal"/>
      <sheetName val="Caledonia Gas"/>
      <sheetName val="Caledonia Power"/>
      <sheetName val="New Albany Gas"/>
      <sheetName val="New Albany Power"/>
      <sheetName val="TVA Power"/>
      <sheetName val="SE Hedges"/>
      <sheetName val="MW Hedges"/>
      <sheetName val="Other"/>
      <sheetName val="Lincoln Center Gas"/>
      <sheetName val="Lincoln Center Power"/>
      <sheetName val="Gleason Gas"/>
      <sheetName val="Gleason Power"/>
      <sheetName val="Wheatland Gas"/>
      <sheetName val="Wheatland Power"/>
    </sheetNames>
    <sheetDataSet>
      <sheetData sheetId="0">
        <row r="42">
          <cell r="C42">
            <v>757552.5</v>
          </cell>
          <cell r="E42">
            <v>740975.56</v>
          </cell>
          <cell r="G42">
            <v>483085</v>
          </cell>
          <cell r="I42">
            <v>520172.19999999995</v>
          </cell>
          <cell r="K42">
            <v>188385.75</v>
          </cell>
          <cell r="M42">
            <v>390065.61</v>
          </cell>
        </row>
        <row r="43">
          <cell r="C43">
            <v>0</v>
          </cell>
          <cell r="E43">
            <v>0</v>
          </cell>
          <cell r="G43">
            <v>0</v>
          </cell>
          <cell r="I43">
            <v>-1177.1199999999999</v>
          </cell>
          <cell r="K43">
            <v>0</v>
          </cell>
          <cell r="M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</row>
        <row r="48">
          <cell r="C48">
            <v>-607229.5</v>
          </cell>
          <cell r="E48">
            <v>-715384.875</v>
          </cell>
          <cell r="G48">
            <v>-413072.9</v>
          </cell>
          <cell r="I48">
            <v>-806821</v>
          </cell>
          <cell r="K48">
            <v>-78637.623649999994</v>
          </cell>
          <cell r="M48">
            <v>-579243</v>
          </cell>
          <cell r="Q48">
            <v>7634978.6900000004</v>
          </cell>
          <cell r="S48">
            <v>3184475.38</v>
          </cell>
        </row>
        <row r="49">
          <cell r="C49">
            <v>-13233.6504</v>
          </cell>
          <cell r="E49">
            <v>-63263.203499999996</v>
          </cell>
          <cell r="G49">
            <v>-12055</v>
          </cell>
          <cell r="I49">
            <v>0</v>
          </cell>
          <cell r="K49">
            <v>-1634.528</v>
          </cell>
          <cell r="M49">
            <v>-4598.3</v>
          </cell>
        </row>
        <row r="50">
          <cell r="C50">
            <v>0</v>
          </cell>
          <cell r="E50">
            <v>-3750</v>
          </cell>
          <cell r="G50">
            <v>-91239</v>
          </cell>
          <cell r="I50">
            <v>0</v>
          </cell>
          <cell r="K50">
            <v>0</v>
          </cell>
          <cell r="M50">
            <v>0</v>
          </cell>
        </row>
        <row r="51">
          <cell r="C51">
            <v>-16488</v>
          </cell>
          <cell r="E51">
            <v>-57383</v>
          </cell>
          <cell r="G51">
            <v>-19175</v>
          </cell>
          <cell r="I51">
            <v>0</v>
          </cell>
          <cell r="K51">
            <v>-1651.23</v>
          </cell>
          <cell r="M51">
            <v>-5810</v>
          </cell>
        </row>
        <row r="52">
          <cell r="C52">
            <v>-2270.0700000000002</v>
          </cell>
          <cell r="E52">
            <v>0</v>
          </cell>
          <cell r="G52">
            <v>0</v>
          </cell>
          <cell r="I52">
            <v>0</v>
          </cell>
          <cell r="K52">
            <v>-1476.76</v>
          </cell>
          <cell r="M52">
            <v>0</v>
          </cell>
        </row>
        <row r="53">
          <cell r="C53">
            <v>-115135</v>
          </cell>
          <cell r="E53">
            <v>137301</v>
          </cell>
          <cell r="G53">
            <v>-59554</v>
          </cell>
          <cell r="I53">
            <v>153539</v>
          </cell>
          <cell r="K53">
            <v>-27936.36</v>
          </cell>
          <cell r="M53">
            <v>213643</v>
          </cell>
        </row>
        <row r="54">
          <cell r="C54">
            <v>0</v>
          </cell>
          <cell r="E54">
            <v>457847.57</v>
          </cell>
          <cell r="G54">
            <v>87195.3</v>
          </cell>
          <cell r="I54">
            <v>-27000</v>
          </cell>
          <cell r="K54">
            <v>0</v>
          </cell>
          <cell r="M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</row>
        <row r="56">
          <cell r="C56">
            <v>-533120</v>
          </cell>
          <cell r="E56">
            <v>-632716</v>
          </cell>
          <cell r="G56">
            <v>-628046</v>
          </cell>
          <cell r="I56">
            <v>-1474376</v>
          </cell>
          <cell r="K56">
            <v>0</v>
          </cell>
          <cell r="M56">
            <v>-905813</v>
          </cell>
        </row>
        <row r="57">
          <cell r="C57">
            <v>-313768</v>
          </cell>
          <cell r="E57">
            <v>-381334</v>
          </cell>
          <cell r="G57">
            <v>-369706</v>
          </cell>
          <cell r="I57">
            <v>0</v>
          </cell>
          <cell r="K57">
            <v>0</v>
          </cell>
          <cell r="M57">
            <v>0</v>
          </cell>
        </row>
        <row r="58">
          <cell r="C58">
            <v>-165590</v>
          </cell>
          <cell r="E58">
            <v>-173621</v>
          </cell>
          <cell r="G58">
            <v>-207145</v>
          </cell>
          <cell r="I58">
            <v>-178412</v>
          </cell>
          <cell r="K58">
            <v>0</v>
          </cell>
          <cell r="M58">
            <v>-179241</v>
          </cell>
        </row>
        <row r="59">
          <cell r="C59">
            <v>-58380</v>
          </cell>
          <cell r="E59">
            <v>-88845</v>
          </cell>
          <cell r="G59">
            <v>-77043</v>
          </cell>
          <cell r="I59">
            <v>-81058</v>
          </cell>
          <cell r="K59">
            <v>0</v>
          </cell>
          <cell r="M59">
            <v>-40042</v>
          </cell>
        </row>
        <row r="60">
          <cell r="C60">
            <v>-111167</v>
          </cell>
          <cell r="E60">
            <v>-108667</v>
          </cell>
          <cell r="G60">
            <v>-113667</v>
          </cell>
          <cell r="I60">
            <v>-107714</v>
          </cell>
          <cell r="K60">
            <v>-6000</v>
          </cell>
          <cell r="M60">
            <v>-96215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-296774</v>
          </cell>
          <cell r="K61">
            <v>-325113</v>
          </cell>
          <cell r="M61">
            <v>-295417</v>
          </cell>
        </row>
        <row r="65">
          <cell r="Q65">
            <v>12178906.93</v>
          </cell>
          <cell r="S65">
            <v>-88772.620000000112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6"/>
  <sheetViews>
    <sheetView tabSelected="1" topLeftCell="A10" workbookViewId="0">
      <pane xSplit="1" topLeftCell="B1" activePane="topRight" state="frozen"/>
      <selection pane="topRight" activeCell="H39" sqref="H39"/>
    </sheetView>
  </sheetViews>
  <sheetFormatPr defaultRowHeight="12.75" x14ac:dyDescent="0.2"/>
  <cols>
    <col min="1" max="1" width="30.42578125" customWidth="1"/>
    <col min="2" max="14" width="13.7109375" customWidth="1"/>
    <col min="15" max="15" width="13.28515625" bestFit="1" customWidth="1"/>
    <col min="16" max="16" width="11.85546875" customWidth="1"/>
    <col min="17" max="27" width="16.7109375" customWidth="1"/>
  </cols>
  <sheetData>
    <row r="1" spans="1:11" x14ac:dyDescent="0.2">
      <c r="A1" s="7">
        <v>36693</v>
      </c>
    </row>
    <row r="2" spans="1:11" x14ac:dyDescent="0.2">
      <c r="A2" s="7"/>
    </row>
    <row r="3" spans="1:11" x14ac:dyDescent="0.2">
      <c r="B3" s="16" t="s">
        <v>46</v>
      </c>
      <c r="C3" s="15" t="s">
        <v>3</v>
      </c>
      <c r="D3" s="14" t="s">
        <v>4</v>
      </c>
      <c r="E3" s="16" t="s">
        <v>8</v>
      </c>
      <c r="F3" s="18" t="s">
        <v>9</v>
      </c>
      <c r="G3" s="18" t="s">
        <v>18</v>
      </c>
      <c r="H3" s="16" t="s">
        <v>48</v>
      </c>
      <c r="I3" s="16" t="s">
        <v>50</v>
      </c>
      <c r="J3" s="18" t="s">
        <v>51</v>
      </c>
      <c r="K3" s="6" t="s">
        <v>1</v>
      </c>
    </row>
    <row r="4" spans="1:11" x14ac:dyDescent="0.2">
      <c r="A4" s="9" t="s">
        <v>30</v>
      </c>
      <c r="C4" s="1">
        <f>3148821+895640-113317-388+291290+94047</f>
        <v>4316093</v>
      </c>
      <c r="D4" s="5">
        <f>30215545+28385898+18575000+4182750+289818+446969</f>
        <v>82095980</v>
      </c>
      <c r="E4" s="5">
        <f>1186816+1290475+518859+4182750+214580+469329</f>
        <v>7862809</v>
      </c>
      <c r="F4" s="5">
        <f>14360+54280-134596+90038+3750+44373</f>
        <v>72205</v>
      </c>
      <c r="G4" s="5">
        <f>SUM(D4:F4)</f>
        <v>90030994</v>
      </c>
      <c r="H4" s="5">
        <f>29914-691-24760+1844+5-253</f>
        <v>6059</v>
      </c>
      <c r="I4" s="5">
        <f>8700+1575-14707-418-246-980</f>
        <v>-6076</v>
      </c>
      <c r="J4" s="5">
        <f>1916-4612-577-135-665-443</f>
        <v>-4516</v>
      </c>
      <c r="K4" s="4">
        <f>SUM(C4:F4)+SUM(H4:J4)</f>
        <v>94342554</v>
      </c>
    </row>
    <row r="5" spans="1:11" x14ac:dyDescent="0.2">
      <c r="A5" s="8" t="s">
        <v>31</v>
      </c>
      <c r="C5" s="5"/>
      <c r="D5" s="5"/>
      <c r="E5" s="5"/>
      <c r="F5" s="5"/>
      <c r="G5" s="5"/>
      <c r="H5" s="5">
        <f>-454-267+2646</f>
        <v>1925</v>
      </c>
      <c r="I5" s="5">
        <f>444561-5493-370674-28332-6417-5181</f>
        <v>28464</v>
      </c>
      <c r="J5" s="5">
        <f>262392-20960-232027-20305-5030+10601</f>
        <v>-5329</v>
      </c>
      <c r="K5" s="4">
        <f>SUM(H5:J5)</f>
        <v>25060</v>
      </c>
    </row>
    <row r="6" spans="1:11" x14ac:dyDescent="0.2">
      <c r="A6" s="25" t="s">
        <v>32</v>
      </c>
      <c r="B6" s="34"/>
      <c r="C6" s="21"/>
      <c r="D6" s="21"/>
      <c r="E6" s="21"/>
      <c r="F6" s="21"/>
      <c r="G6" s="21"/>
      <c r="H6" s="21">
        <f>-2617-890-2-6441</f>
        <v>-9950</v>
      </c>
      <c r="I6" s="21">
        <v>-124</v>
      </c>
      <c r="J6" s="21">
        <f>3988-6828</f>
        <v>-2840</v>
      </c>
      <c r="K6" s="4">
        <f>SUM(H6:J6)</f>
        <v>-12914</v>
      </c>
    </row>
    <row r="7" spans="1:11" x14ac:dyDescent="0.2">
      <c r="A7" s="19" t="s">
        <v>36</v>
      </c>
      <c r="B7" s="42"/>
      <c r="C7" s="44">
        <f>SUM(C4:C6)</f>
        <v>4316093</v>
      </c>
      <c r="D7" s="44">
        <f>SUM(D4:D6)</f>
        <v>82095980</v>
      </c>
      <c r="E7" s="44">
        <f>SUM(E4:E6)</f>
        <v>7862809</v>
      </c>
      <c r="F7" s="44">
        <f>SUM(F4:F6)</f>
        <v>72205</v>
      </c>
      <c r="G7" s="44">
        <f>SUM(D7:F7)</f>
        <v>90030994</v>
      </c>
      <c r="H7" s="44">
        <f>SUM(H4:H6)</f>
        <v>-1966</v>
      </c>
      <c r="I7" s="44">
        <f>SUM(I4:I6)</f>
        <v>22264</v>
      </c>
      <c r="J7" s="44">
        <f>SUM(J4:J6)</f>
        <v>-12685</v>
      </c>
      <c r="K7" s="45">
        <f>SUM(K4:K6)</f>
        <v>94354700</v>
      </c>
    </row>
    <row r="8" spans="1:11" x14ac:dyDescent="0.2">
      <c r="A8" s="8"/>
      <c r="C8" s="5"/>
      <c r="D8" s="5"/>
      <c r="E8" s="5"/>
      <c r="F8" s="5"/>
      <c r="G8" s="5"/>
      <c r="H8" s="5"/>
      <c r="I8" s="5"/>
      <c r="J8" s="5"/>
      <c r="K8" s="4"/>
    </row>
    <row r="9" spans="1:11" x14ac:dyDescent="0.2">
      <c r="A9" s="11" t="s">
        <v>11</v>
      </c>
      <c r="C9" s="5">
        <f>555000+450000+250000-282600</f>
        <v>972400</v>
      </c>
      <c r="D9" s="5">
        <v>2973205</v>
      </c>
      <c r="E9" s="5">
        <v>1156800</v>
      </c>
      <c r="F9" s="5">
        <v>605800</v>
      </c>
      <c r="G9" s="5">
        <f t="shared" ref="G9:G16" si="0">SUM(D9:F9)</f>
        <v>4735805</v>
      </c>
      <c r="H9" s="5"/>
      <c r="I9" s="5"/>
      <c r="J9" s="3">
        <v>27187500</v>
      </c>
      <c r="K9" s="4">
        <f t="shared" ref="K9:K16" si="1">SUM(C9:F9)+SUM(H9:J9)</f>
        <v>32895705</v>
      </c>
    </row>
    <row r="10" spans="1:11" x14ac:dyDescent="0.2">
      <c r="A10" s="11" t="s">
        <v>52</v>
      </c>
      <c r="C10" s="5"/>
      <c r="D10" s="5"/>
      <c r="E10" s="5"/>
      <c r="F10" s="5"/>
      <c r="G10" s="5"/>
      <c r="H10" s="5"/>
      <c r="I10" s="5"/>
      <c r="J10" s="3">
        <v>49000000</v>
      </c>
      <c r="K10" s="4">
        <f>SUM(H10:J10)</f>
        <v>49000000</v>
      </c>
    </row>
    <row r="11" spans="1:11" x14ac:dyDescent="0.2">
      <c r="A11" s="11" t="s">
        <v>12</v>
      </c>
      <c r="C11" s="5">
        <v>-74000</v>
      </c>
      <c r="D11" s="5">
        <v>369250</v>
      </c>
      <c r="E11" s="5">
        <v>1702500</v>
      </c>
      <c r="F11" s="5">
        <f>2544500-420000</f>
        <v>2124500</v>
      </c>
      <c r="G11" s="5">
        <f t="shared" si="0"/>
        <v>4196250</v>
      </c>
      <c r="H11" s="5">
        <v>509081</v>
      </c>
      <c r="I11" s="5">
        <v>637575</v>
      </c>
      <c r="J11" s="3">
        <v>-9441</v>
      </c>
      <c r="K11" s="4">
        <f t="shared" si="1"/>
        <v>5259465</v>
      </c>
    </row>
    <row r="12" spans="1:11" x14ac:dyDescent="0.2">
      <c r="A12" s="8" t="s">
        <v>13</v>
      </c>
      <c r="F12" s="5">
        <f>-3875-93040</f>
        <v>-96915</v>
      </c>
      <c r="G12" s="5">
        <f t="shared" si="0"/>
        <v>-96915</v>
      </c>
      <c r="H12" s="5">
        <f>-3875-90038</f>
        <v>-93913</v>
      </c>
      <c r="I12" s="5">
        <f>-3625+90203</f>
        <v>86578</v>
      </c>
      <c r="J12" s="3">
        <v>-3875</v>
      </c>
      <c r="K12" s="4">
        <f t="shared" si="1"/>
        <v>-108125</v>
      </c>
    </row>
    <row r="13" spans="1:11" x14ac:dyDescent="0.2">
      <c r="A13" s="11" t="s">
        <v>14</v>
      </c>
      <c r="B13" s="5">
        <v>388080</v>
      </c>
      <c r="C13" s="5">
        <f>5654320-4056226-73670</f>
        <v>1524424</v>
      </c>
      <c r="D13" s="5">
        <f>582651-369250</f>
        <v>213401</v>
      </c>
      <c r="E13" s="5">
        <f>4844194-2116295</f>
        <v>2727899</v>
      </c>
      <c r="F13" s="5">
        <f>1366197-388080</f>
        <v>978117</v>
      </c>
      <c r="G13" s="5">
        <f>SUM(D13:F13)+B13</f>
        <v>4307497</v>
      </c>
      <c r="H13" s="5">
        <v>-106520</v>
      </c>
      <c r="I13" s="5">
        <v>-556619</v>
      </c>
      <c r="J13" s="5">
        <v>-913591</v>
      </c>
      <c r="K13" s="4">
        <f t="shared" si="1"/>
        <v>3867111</v>
      </c>
    </row>
    <row r="14" spans="1:11" x14ac:dyDescent="0.2">
      <c r="A14" s="28" t="s">
        <v>29</v>
      </c>
      <c r="C14" s="5"/>
      <c r="D14" s="5">
        <v>4232590</v>
      </c>
      <c r="E14" s="5">
        <v>2116295</v>
      </c>
      <c r="F14" s="5">
        <f>2155464+14300000</f>
        <v>16455464</v>
      </c>
      <c r="G14" s="5">
        <f t="shared" si="0"/>
        <v>22804349</v>
      </c>
      <c r="J14" s="3"/>
      <c r="K14" s="4">
        <f t="shared" si="1"/>
        <v>22804349</v>
      </c>
    </row>
    <row r="15" spans="1:11" x14ac:dyDescent="0.2">
      <c r="A15" s="11" t="s">
        <v>15</v>
      </c>
      <c r="C15" s="5">
        <f>243462-930000</f>
        <v>-686538</v>
      </c>
      <c r="D15" s="5">
        <f>-72499593-4232590-1860000</f>
        <v>-78592183</v>
      </c>
      <c r="E15" s="5">
        <f>-9187872-1702500-1860000</f>
        <v>-12750372</v>
      </c>
      <c r="F15" s="5">
        <f>4646894-2155464-2124500-930000</f>
        <v>-563070</v>
      </c>
      <c r="G15" s="5">
        <f t="shared" si="0"/>
        <v>-91905625</v>
      </c>
      <c r="H15" s="5">
        <v>13446</v>
      </c>
      <c r="I15" s="5">
        <v>-735</v>
      </c>
      <c r="J15" s="3">
        <f>611631-1280000+9441</f>
        <v>-658928</v>
      </c>
      <c r="K15" s="4">
        <f t="shared" si="1"/>
        <v>-93238380</v>
      </c>
    </row>
    <row r="16" spans="1:11" x14ac:dyDescent="0.2">
      <c r="A16" s="11" t="s">
        <v>16</v>
      </c>
      <c r="C16" s="5">
        <v>930000</v>
      </c>
      <c r="D16" s="5">
        <v>1860000</v>
      </c>
      <c r="E16" s="5">
        <v>1860000</v>
      </c>
      <c r="F16" s="5">
        <v>930000</v>
      </c>
      <c r="G16" s="5">
        <f t="shared" si="0"/>
        <v>4650000</v>
      </c>
      <c r="H16" s="5"/>
      <c r="I16" s="5"/>
      <c r="J16" s="3">
        <v>1280000</v>
      </c>
      <c r="K16" s="4">
        <f t="shared" si="1"/>
        <v>6860000</v>
      </c>
    </row>
    <row r="17" spans="1:12" x14ac:dyDescent="0.2">
      <c r="A17" s="35" t="s">
        <v>17</v>
      </c>
      <c r="B17" s="34"/>
      <c r="C17" s="21"/>
      <c r="D17" s="21"/>
      <c r="E17" s="21"/>
      <c r="F17" s="21"/>
      <c r="G17" s="21"/>
      <c r="H17" s="22"/>
      <c r="I17" s="22"/>
      <c r="J17" s="21"/>
      <c r="K17" s="12"/>
    </row>
    <row r="18" spans="1:12" x14ac:dyDescent="0.2">
      <c r="A18" s="43" t="s">
        <v>37</v>
      </c>
      <c r="B18" s="44">
        <f t="shared" ref="B18:I18" si="2">SUM(B9:B17)</f>
        <v>388080</v>
      </c>
      <c r="C18" s="44">
        <f t="shared" si="2"/>
        <v>2666286</v>
      </c>
      <c r="D18" s="44">
        <f t="shared" si="2"/>
        <v>-68943737</v>
      </c>
      <c r="E18" s="44">
        <f t="shared" si="2"/>
        <v>-3186878</v>
      </c>
      <c r="F18" s="44">
        <f t="shared" si="2"/>
        <v>20433896</v>
      </c>
      <c r="G18" s="44">
        <f t="shared" si="2"/>
        <v>-51308639</v>
      </c>
      <c r="H18" s="44">
        <f t="shared" si="2"/>
        <v>322094</v>
      </c>
      <c r="I18" s="44">
        <f t="shared" si="2"/>
        <v>166799</v>
      </c>
      <c r="J18" s="44">
        <f>SUM(J9:J17)</f>
        <v>75881665</v>
      </c>
      <c r="K18" s="4">
        <f>SUM(C18:F18)+SUM(H18:J18)</f>
        <v>27340125</v>
      </c>
    </row>
    <row r="19" spans="1:12" x14ac:dyDescent="0.2">
      <c r="A19" s="8"/>
      <c r="C19" s="5"/>
      <c r="D19" s="5"/>
      <c r="E19" s="5"/>
      <c r="F19" s="5"/>
      <c r="G19" s="5"/>
      <c r="H19" s="5"/>
      <c r="I19" s="5"/>
      <c r="J19" s="3"/>
      <c r="K19" s="4"/>
    </row>
    <row r="20" spans="1:12" x14ac:dyDescent="0.2">
      <c r="A20" s="8" t="s">
        <v>10</v>
      </c>
      <c r="C20" s="5">
        <f>-121597-78152-91541</f>
        <v>-291290</v>
      </c>
      <c r="D20" s="5">
        <f>-1488500-1436500-1257750</f>
        <v>-4182750</v>
      </c>
      <c r="E20" s="5">
        <f>-1488500-1436500-1257750</f>
        <v>-4182750</v>
      </c>
      <c r="F20" s="5">
        <v>-4245269</v>
      </c>
      <c r="G20" s="5">
        <f>SUM(D20:F20)</f>
        <v>-12610769</v>
      </c>
      <c r="H20" s="5"/>
      <c r="I20" s="5"/>
      <c r="J20" s="3"/>
      <c r="K20" s="4">
        <f>SUM(C20:F20)+SUM(H20:J20)</f>
        <v>-12902059</v>
      </c>
    </row>
    <row r="21" spans="1:12" x14ac:dyDescent="0.2">
      <c r="A21" s="8"/>
      <c r="C21" s="5"/>
      <c r="D21" s="5"/>
      <c r="E21" s="5"/>
      <c r="F21" s="5"/>
      <c r="G21" s="5"/>
      <c r="H21" s="5"/>
      <c r="I21" s="5"/>
      <c r="J21" s="17"/>
      <c r="K21" s="17"/>
    </row>
    <row r="22" spans="1:12" x14ac:dyDescent="0.2">
      <c r="A22" s="28" t="s">
        <v>22</v>
      </c>
      <c r="C22" s="5">
        <v>-473856</v>
      </c>
      <c r="D22" s="5">
        <v>-1696059</v>
      </c>
      <c r="E22" s="5">
        <v>-1775783</v>
      </c>
      <c r="F22" s="5">
        <v>-1834844</v>
      </c>
      <c r="G22" s="5">
        <f t="shared" ref="G22:G28" si="3">SUM(C22:F22)</f>
        <v>-5780542</v>
      </c>
      <c r="H22" s="3">
        <f>-606255-730115-699875</f>
        <v>-2036245</v>
      </c>
      <c r="I22" s="3">
        <f>-617226-740379-712297</f>
        <v>-2069902</v>
      </c>
      <c r="J22" s="3">
        <f>-650868-785646-756141</f>
        <v>-2192655</v>
      </c>
      <c r="K22" s="4">
        <f t="shared" ref="K22:K28" si="4">SUM(C22:F22)+SUM(H22:J22)</f>
        <v>-12079344</v>
      </c>
    </row>
    <row r="23" spans="1:12" x14ac:dyDescent="0.2">
      <c r="A23" s="28" t="s">
        <v>19</v>
      </c>
      <c r="C23" s="5">
        <v>0</v>
      </c>
      <c r="D23" s="5">
        <v>-348589</v>
      </c>
      <c r="E23" s="5">
        <v>-1060896</v>
      </c>
      <c r="F23" s="5">
        <v>-1060896</v>
      </c>
      <c r="G23" s="5">
        <f t="shared" si="3"/>
        <v>-2470381</v>
      </c>
      <c r="H23" s="3">
        <f>-309979-382721-369492</f>
        <v>-1062192</v>
      </c>
      <c r="I23" s="3">
        <f>-314223-376932-365979</f>
        <v>-1057134</v>
      </c>
      <c r="J23" s="3">
        <f>-313656-381703-366229</f>
        <v>-1061588</v>
      </c>
      <c r="K23" s="4">
        <f t="shared" si="4"/>
        <v>-5651295</v>
      </c>
    </row>
    <row r="24" spans="1:12" x14ac:dyDescent="0.2">
      <c r="A24" s="28" t="s">
        <v>20</v>
      </c>
      <c r="C24" s="5">
        <v>0</v>
      </c>
      <c r="D24" s="5">
        <f>-21393-18431-26065</f>
        <v>-65889</v>
      </c>
      <c r="E24" s="5">
        <f>-17462-15776-46770</f>
        <v>-80008</v>
      </c>
      <c r="F24" s="5">
        <f>-303715-193664-407081</f>
        <v>-904460</v>
      </c>
      <c r="G24" s="5">
        <f t="shared" si="3"/>
        <v>-1050357</v>
      </c>
      <c r="H24" s="3">
        <f>-193696-113588-214074</f>
        <v>-521358</v>
      </c>
      <c r="I24" s="3">
        <f>-76784-72773-114526</f>
        <v>-264083</v>
      </c>
      <c r="J24" s="3">
        <f>-421373-240711-230995</f>
        <v>-893079</v>
      </c>
      <c r="K24" s="4">
        <f t="shared" si="4"/>
        <v>-2728877</v>
      </c>
    </row>
    <row r="25" spans="1:12" x14ac:dyDescent="0.2">
      <c r="A25" s="28" t="s">
        <v>23</v>
      </c>
      <c r="C25" s="5">
        <v>-94047</v>
      </c>
      <c r="D25" s="5">
        <v>-446969</v>
      </c>
      <c r="E25" s="5">
        <v>-469329</v>
      </c>
      <c r="F25" s="5">
        <v>-44373</v>
      </c>
      <c r="G25" s="5">
        <f t="shared" si="3"/>
        <v>-1054718</v>
      </c>
      <c r="H25" s="3">
        <v>0</v>
      </c>
      <c r="I25" s="3"/>
      <c r="J25" s="3"/>
      <c r="K25" s="4">
        <f t="shared" si="4"/>
        <v>-1054718</v>
      </c>
    </row>
    <row r="26" spans="1:12" x14ac:dyDescent="0.2">
      <c r="A26" s="28" t="s">
        <v>39</v>
      </c>
      <c r="C26" s="5">
        <v>-1687465</v>
      </c>
      <c r="D26" s="5">
        <v>-268314</v>
      </c>
      <c r="E26" s="5">
        <v>-198899</v>
      </c>
      <c r="F26" s="5">
        <v>-83138</v>
      </c>
      <c r="G26" s="5">
        <f t="shared" si="3"/>
        <v>-2237816</v>
      </c>
      <c r="H26" s="3">
        <f>-1079-464-7825</f>
        <v>-9368</v>
      </c>
      <c r="I26" s="3">
        <f>555-2324</f>
        <v>-1769</v>
      </c>
      <c r="J26" s="3"/>
      <c r="K26" s="4">
        <f t="shared" si="4"/>
        <v>-2248953</v>
      </c>
    </row>
    <row r="27" spans="1:12" x14ac:dyDescent="0.2">
      <c r="A27" s="36" t="s">
        <v>21</v>
      </c>
      <c r="B27" s="34"/>
      <c r="C27" s="21">
        <v>-15330</v>
      </c>
      <c r="D27" s="21">
        <v>-316357</v>
      </c>
      <c r="E27" s="21">
        <v>-319593</v>
      </c>
      <c r="F27" s="21">
        <v>-322650</v>
      </c>
      <c r="G27" s="21">
        <f t="shared" si="3"/>
        <v>-973930</v>
      </c>
      <c r="H27" s="21">
        <f>-87454-21025-43793</f>
        <v>-152272</v>
      </c>
      <c r="I27" s="21">
        <f>-86051-24274-18519</f>
        <v>-128844</v>
      </c>
      <c r="J27" s="21">
        <f>-36554-19403-20405</f>
        <v>-76362</v>
      </c>
      <c r="K27" s="12">
        <f t="shared" si="4"/>
        <v>-1331408</v>
      </c>
    </row>
    <row r="28" spans="1:12" x14ac:dyDescent="0.2">
      <c r="A28" s="19" t="s">
        <v>38</v>
      </c>
      <c r="B28" s="42"/>
      <c r="C28" s="44">
        <f>SUM(C22:C27)</f>
        <v>-2270698</v>
      </c>
      <c r="D28" s="44">
        <f>SUM(D22:D27)</f>
        <v>-3142177</v>
      </c>
      <c r="E28" s="44">
        <f>SUM(E22:E27)</f>
        <v>-3904508</v>
      </c>
      <c r="F28" s="44">
        <f>SUM(F22:F27)</f>
        <v>-4250361</v>
      </c>
      <c r="G28" s="44">
        <f t="shared" si="3"/>
        <v>-13567744</v>
      </c>
      <c r="H28" s="44">
        <f>SUM(H22:H27)</f>
        <v>-3781435</v>
      </c>
      <c r="I28" s="44">
        <f>SUM(I22:I27)</f>
        <v>-3521732</v>
      </c>
      <c r="J28" s="46">
        <f>SUM(J22:J27)</f>
        <v>-4223684</v>
      </c>
      <c r="K28" s="4">
        <f t="shared" si="4"/>
        <v>-25094595</v>
      </c>
    </row>
    <row r="29" spans="1:12" x14ac:dyDescent="0.2">
      <c r="A29" s="19"/>
      <c r="B29" s="34"/>
      <c r="C29" s="21"/>
      <c r="D29" s="21"/>
      <c r="E29" s="21"/>
      <c r="F29" s="21"/>
      <c r="G29" s="21"/>
      <c r="J29" s="3"/>
      <c r="K29" s="4"/>
    </row>
    <row r="30" spans="1:12" x14ac:dyDescent="0.2">
      <c r="A30" s="19" t="s">
        <v>24</v>
      </c>
      <c r="B30" s="50">
        <f>B7+B18+B20</f>
        <v>388080</v>
      </c>
      <c r="C30" s="50">
        <f>C7+C18+C20</f>
        <v>6691089</v>
      </c>
      <c r="D30" s="49">
        <f t="shared" ref="D30:J30" si="5">D7+D18+D28</f>
        <v>10010066</v>
      </c>
      <c r="E30" s="49">
        <f t="shared" si="5"/>
        <v>771423</v>
      </c>
      <c r="F30" s="47">
        <f t="shared" si="5"/>
        <v>16255740</v>
      </c>
      <c r="G30" s="48">
        <f t="shared" si="5"/>
        <v>25154611</v>
      </c>
      <c r="H30" s="48">
        <f t="shared" si="5"/>
        <v>-3461307</v>
      </c>
      <c r="I30" s="48">
        <f t="shared" si="5"/>
        <v>-3332669</v>
      </c>
      <c r="J30" s="48">
        <f t="shared" si="5"/>
        <v>71645296</v>
      </c>
      <c r="K30" s="49">
        <f>K7+K18+K28</f>
        <v>96600230</v>
      </c>
    </row>
    <row r="31" spans="1:12" x14ac:dyDescent="0.2">
      <c r="A31" s="25" t="s">
        <v>25</v>
      </c>
      <c r="B31" s="13">
        <f t="shared" ref="B31:G31" si="6">B7+B18+B20</f>
        <v>388080</v>
      </c>
      <c r="C31" s="13">
        <f t="shared" si="6"/>
        <v>6691089</v>
      </c>
      <c r="D31" s="13">
        <f t="shared" si="6"/>
        <v>8969493</v>
      </c>
      <c r="E31" s="13">
        <f t="shared" si="6"/>
        <v>493181</v>
      </c>
      <c r="F31" s="24">
        <f t="shared" si="6"/>
        <v>16260832</v>
      </c>
      <c r="G31" s="23">
        <f t="shared" si="6"/>
        <v>26111586</v>
      </c>
      <c r="I31" s="5"/>
      <c r="J31" s="5"/>
      <c r="K31" s="5"/>
      <c r="L31" s="5"/>
    </row>
    <row r="32" spans="1:12" x14ac:dyDescent="0.2">
      <c r="A32" s="7"/>
    </row>
    <row r="33" spans="1:18" x14ac:dyDescent="0.2">
      <c r="A33" s="7"/>
    </row>
    <row r="35" spans="1:18" x14ac:dyDescent="0.2">
      <c r="B35" s="16" t="s">
        <v>54</v>
      </c>
      <c r="C35" s="18" t="s">
        <v>57</v>
      </c>
      <c r="D35" s="60" t="s">
        <v>64</v>
      </c>
      <c r="E35" s="60" t="s">
        <v>67</v>
      </c>
      <c r="F35" s="60" t="s">
        <v>70</v>
      </c>
      <c r="G35" s="16" t="s">
        <v>69</v>
      </c>
      <c r="H35" s="18" t="s">
        <v>68</v>
      </c>
      <c r="I35" s="52">
        <v>36708</v>
      </c>
      <c r="J35" s="52">
        <v>36739</v>
      </c>
      <c r="K35" s="52">
        <v>36770</v>
      </c>
      <c r="L35" s="52">
        <v>36800</v>
      </c>
      <c r="M35" s="52">
        <v>36831</v>
      </c>
      <c r="N35" s="52">
        <v>36861</v>
      </c>
      <c r="O35" s="6" t="s">
        <v>2</v>
      </c>
      <c r="P35" s="16" t="s">
        <v>47</v>
      </c>
      <c r="Q35" s="82" t="s">
        <v>65</v>
      </c>
      <c r="R35" s="83" t="s">
        <v>66</v>
      </c>
    </row>
    <row r="36" spans="1:18" x14ac:dyDescent="0.2">
      <c r="A36" s="9" t="s">
        <v>34</v>
      </c>
      <c r="B36" s="61"/>
      <c r="C36" s="62"/>
      <c r="D36" s="73"/>
      <c r="E36" s="73"/>
      <c r="F36" s="73">
        <f>21725-148546-1204+11479</f>
        <v>-116546</v>
      </c>
      <c r="G36" s="69">
        <f>SUM([2]Report!$M$42:$M$55)</f>
        <v>14057.309999999998</v>
      </c>
      <c r="H36" s="5">
        <f>[1]PL!D11</f>
        <v>2215588.4873742964</v>
      </c>
      <c r="I36" s="5">
        <f>[1]PL!E11</f>
        <v>29670713.61319153</v>
      </c>
      <c r="J36" s="5">
        <f>[1]PL!F11</f>
        <v>19527427.101975303</v>
      </c>
      <c r="K36" s="5">
        <f>[1]PL!G11</f>
        <v>1129150.0678008101</v>
      </c>
      <c r="L36" s="5">
        <f>[1]PL!H11</f>
        <v>19570.484251453901</v>
      </c>
      <c r="M36" s="5">
        <f>[1]PL!I11</f>
        <v>19933.531752577703</v>
      </c>
      <c r="N36" s="32">
        <f>[1]PL!J11</f>
        <v>14349.189862935402</v>
      </c>
      <c r="O36" s="17">
        <f t="shared" ref="O36:O41" si="7">SUM(B36:N36)</f>
        <v>52494243.786208913</v>
      </c>
      <c r="P36" s="56">
        <f>(SUM(I36:N36)/7)/(465*1000)</f>
        <v>15.478078030363939</v>
      </c>
      <c r="Q36" s="74"/>
      <c r="R36" s="75">
        <f>SUM(H36:N36)</f>
        <v>52596732.47620891</v>
      </c>
    </row>
    <row r="37" spans="1:18" x14ac:dyDescent="0.2">
      <c r="A37" s="8" t="s">
        <v>35</v>
      </c>
      <c r="B37" s="61"/>
      <c r="C37" s="62"/>
      <c r="D37" s="63"/>
      <c r="E37" s="61"/>
      <c r="F37" s="61">
        <f>148706-367768+95210-10458</f>
        <v>-134310</v>
      </c>
      <c r="G37" s="59">
        <f>SUM([2]Report!$I$42:$I$55)</f>
        <v>-161286.92000000004</v>
      </c>
      <c r="H37" s="5">
        <f>[1]PL!D12</f>
        <v>2521395.8536772002</v>
      </c>
      <c r="I37" s="5">
        <f>[1]PL!E12</f>
        <v>34423052.821525581</v>
      </c>
      <c r="J37" s="5">
        <f>[1]PL!F12</f>
        <v>23993788.155513801</v>
      </c>
      <c r="K37" s="5">
        <f>[1]PL!G12</f>
        <v>1316386.4215051802</v>
      </c>
      <c r="L37" s="5">
        <f>[1]PL!H12</f>
        <v>17264.4649368803</v>
      </c>
      <c r="M37" s="5">
        <f>[1]PL!I12</f>
        <v>29921.025772328601</v>
      </c>
      <c r="N37" s="17">
        <f>[1]PL!J12</f>
        <v>31535.395331746902</v>
      </c>
      <c r="O37" s="17">
        <f t="shared" si="7"/>
        <v>62037747.218262725</v>
      </c>
      <c r="P37" s="40">
        <f>(SUM(I37:N37)/7)/(600*1000)</f>
        <v>14.240940067758459</v>
      </c>
      <c r="Q37" s="74"/>
      <c r="R37" s="75">
        <f>SUM(H37:N37)</f>
        <v>62333344.138262719</v>
      </c>
    </row>
    <row r="38" spans="1:18" x14ac:dyDescent="0.2">
      <c r="A38" s="8" t="s">
        <v>31</v>
      </c>
      <c r="B38" s="61">
        <v>213762</v>
      </c>
      <c r="C38" s="62">
        <f>519110+51262-414714-25593-5433+15974</f>
        <v>140606</v>
      </c>
      <c r="D38" s="63">
        <f>182588-144638-189638-2810-154105-224</f>
        <v>-308827</v>
      </c>
      <c r="E38" s="61">
        <f>759-288-2436-1281</f>
        <v>-3246</v>
      </c>
      <c r="F38" s="61">
        <f>7983041-2802668-1625948-92930-60093-7663-3437</f>
        <v>3390302</v>
      </c>
      <c r="G38" s="59">
        <f>SUM([2]Report!$E$42:$E$55)+3750</f>
        <v>500093.05150000006</v>
      </c>
      <c r="H38" s="5">
        <f>[1]PL!D13</f>
        <v>1914554.8233097345</v>
      </c>
      <c r="I38" s="5">
        <f>[1]PL!E13</f>
        <v>24767767.154646244</v>
      </c>
      <c r="J38" s="5">
        <f>[1]PL!F13</f>
        <v>19567469.932419002</v>
      </c>
      <c r="K38" s="5">
        <f>[1]PL!G13</f>
        <v>777578.95266265003</v>
      </c>
      <c r="L38" s="5">
        <f>[1]PL!H13</f>
        <v>25981.297285330802</v>
      </c>
      <c r="M38" s="5">
        <f>[1]PL!I13</f>
        <v>18043.456388305003</v>
      </c>
      <c r="N38" s="17">
        <f>[1]PL!J13</f>
        <v>30634.027487749805</v>
      </c>
      <c r="O38" s="17">
        <f t="shared" si="7"/>
        <v>51034719.695699006</v>
      </c>
      <c r="P38" s="40">
        <f>(SUM(I38:N38)/12)/(440*1000)</f>
        <v>8.5582338675926657</v>
      </c>
      <c r="Q38" s="76">
        <f>SUM(H38:N38)</f>
        <v>47102029.644199014</v>
      </c>
      <c r="R38" s="77"/>
    </row>
    <row r="39" spans="1:18" x14ac:dyDescent="0.2">
      <c r="A39" s="8" t="s">
        <v>30</v>
      </c>
      <c r="B39" s="61">
        <v>119526</v>
      </c>
      <c r="C39" s="62">
        <f>209833+66563-172230-5060-2332-21858-1239</f>
        <v>73677</v>
      </c>
      <c r="D39" s="63">
        <f>36-34994-32-1624+6570</f>
        <v>-30044</v>
      </c>
      <c r="E39" s="61">
        <f>32023-56851-7331-1542+265-1087</f>
        <v>-34523</v>
      </c>
      <c r="F39" s="61">
        <f>6283590-2677344-1782400-46647-41203-10043+109233</f>
        <v>1835186</v>
      </c>
      <c r="G39" s="59">
        <f>SUM([2]Report!$C$42:$C$55)</f>
        <v>3196.2795999999798</v>
      </c>
      <c r="H39" s="5">
        <f>[1]PL!D14</f>
        <v>2067319.7981064566</v>
      </c>
      <c r="I39" s="5">
        <f>[1]PL!E14</f>
        <v>23617451.856032267</v>
      </c>
      <c r="J39" s="5">
        <f>[1]PL!F14</f>
        <v>20285339.438500002</v>
      </c>
      <c r="K39" s="5">
        <f>[1]PL!G14</f>
        <v>859324.05840443308</v>
      </c>
      <c r="L39" s="5">
        <f>[1]PL!H14</f>
        <v>34277.529908420503</v>
      </c>
      <c r="M39" s="5">
        <f>[1]PL!I14</f>
        <v>22643.266532775004</v>
      </c>
      <c r="N39" s="17">
        <f>[1]PL!J14</f>
        <v>36616.439692596905</v>
      </c>
      <c r="O39" s="17">
        <f t="shared" si="7"/>
        <v>48889990.66677694</v>
      </c>
      <c r="P39" s="40">
        <f>(SUM(I39:N39)/12)/(450*1000)</f>
        <v>8.3066023313093478</v>
      </c>
      <c r="Q39" s="76">
        <f>SUM(H39:N39)</f>
        <v>46922972.387176946</v>
      </c>
      <c r="R39" s="77"/>
    </row>
    <row r="40" spans="1:18" x14ac:dyDescent="0.2">
      <c r="A40" s="8" t="s">
        <v>32</v>
      </c>
      <c r="B40" s="61">
        <v>-12977</v>
      </c>
      <c r="C40" s="63">
        <f>11783+11208-15987</f>
        <v>7004</v>
      </c>
      <c r="D40" s="63">
        <f>-1241-364</f>
        <v>-1605</v>
      </c>
      <c r="E40" s="63">
        <f>117068-143760-1317-8163-72620</f>
        <v>-108792</v>
      </c>
      <c r="F40" s="63">
        <f>1649678-19620-927333-32418-38837+63499</f>
        <v>694969</v>
      </c>
      <c r="G40" s="57">
        <f>SUM([2]Report!$G$42:$G$55)+91239</f>
        <v>66423.39999999998</v>
      </c>
      <c r="H40" s="5">
        <f>[1]PL!D15</f>
        <v>1450771.18526976</v>
      </c>
      <c r="I40" s="5">
        <f>[1]PL!E15</f>
        <v>19794089.792940769</v>
      </c>
      <c r="J40" s="5">
        <f>[1]PL!F15</f>
        <v>15539823.879368201</v>
      </c>
      <c r="K40" s="5">
        <f>[1]PL!G15</f>
        <v>565523.355995666</v>
      </c>
      <c r="L40" s="5">
        <f>[1]PL!H15</f>
        <v>17955.693686979801</v>
      </c>
      <c r="M40" s="5">
        <f>[1]PL!I15</f>
        <v>14992.311608953001</v>
      </c>
      <c r="N40" s="17">
        <f>[1]PL!J15</f>
        <v>26303.503264588002</v>
      </c>
      <c r="O40" s="17">
        <f t="shared" si="7"/>
        <v>38054482.122134916</v>
      </c>
      <c r="P40" s="40">
        <f>(SUM(I40:N40)/12)/(355*1000)</f>
        <v>8.4410066987946362</v>
      </c>
      <c r="Q40" s="76">
        <f>SUM(H40:N40)</f>
        <v>37409459.722134918</v>
      </c>
      <c r="R40" s="77"/>
    </row>
    <row r="41" spans="1:18" x14ac:dyDescent="0.2">
      <c r="A41" s="25" t="s">
        <v>33</v>
      </c>
      <c r="B41" s="67"/>
      <c r="C41" s="67"/>
      <c r="D41" s="67"/>
      <c r="E41" s="67"/>
      <c r="F41" s="67"/>
      <c r="G41" s="57">
        <f>SUM([2]Report!$K$42:$K$55)</f>
        <v>77049.248350000009</v>
      </c>
      <c r="H41" s="21">
        <f>[1]PL!D16</f>
        <v>1758035.1366674269</v>
      </c>
      <c r="I41" s="21">
        <f>[1]PL!E16</f>
        <v>26786538.325464815</v>
      </c>
      <c r="J41" s="21">
        <f>[1]PL!F16</f>
        <v>23108423.347146701</v>
      </c>
      <c r="K41" s="21">
        <f>[1]PL!G16</f>
        <v>1128698.0949041802</v>
      </c>
      <c r="L41" s="21">
        <f>[1]PL!H16</f>
        <v>68682.438938905601</v>
      </c>
      <c r="M41" s="21">
        <f>[1]PL!I16</f>
        <v>43760.798595197906</v>
      </c>
      <c r="N41" s="31">
        <f>[1]PL!J16</f>
        <v>63045.176212010803</v>
      </c>
      <c r="O41" s="31">
        <f t="shared" si="7"/>
        <v>53034232.56627924</v>
      </c>
      <c r="P41" s="39">
        <f>(SUM(J41:N41)/7)/(510*1000)</f>
        <v>6.8382660660495782</v>
      </c>
      <c r="Q41" s="78">
        <f>SUM(H41:N41)</f>
        <v>52957183.317929238</v>
      </c>
      <c r="R41" s="79"/>
    </row>
    <row r="42" spans="1:18" x14ac:dyDescent="0.2">
      <c r="A42" s="19" t="s">
        <v>56</v>
      </c>
      <c r="B42" s="63">
        <f t="shared" ref="B42:G42" si="8">SUM(B36:B41)</f>
        <v>320311</v>
      </c>
      <c r="C42" s="63">
        <f t="shared" si="8"/>
        <v>221287</v>
      </c>
      <c r="D42" s="63">
        <f t="shared" si="8"/>
        <v>-340476</v>
      </c>
      <c r="E42" s="63">
        <f t="shared" si="8"/>
        <v>-146561</v>
      </c>
      <c r="F42" s="63">
        <f t="shared" si="8"/>
        <v>5669601</v>
      </c>
      <c r="G42" s="57">
        <f t="shared" si="8"/>
        <v>499532.36944999994</v>
      </c>
      <c r="H42" s="5">
        <f t="shared" ref="H42:O42" si="9">SUM(H36:H41)</f>
        <v>11927665.284404874</v>
      </c>
      <c r="I42" s="5">
        <f t="shared" si="9"/>
        <v>159059613.5638012</v>
      </c>
      <c r="J42" s="5">
        <f t="shared" si="9"/>
        <v>122022271.85492301</v>
      </c>
      <c r="K42" s="5">
        <f t="shared" si="9"/>
        <v>5776660.9512729198</v>
      </c>
      <c r="L42" s="5">
        <f t="shared" si="9"/>
        <v>183731.90900797091</v>
      </c>
      <c r="M42" s="5">
        <f t="shared" si="9"/>
        <v>149294.39065013721</v>
      </c>
      <c r="N42" s="17">
        <f t="shared" si="9"/>
        <v>202483.73185162782</v>
      </c>
      <c r="O42" s="17">
        <f t="shared" si="9"/>
        <v>305545416.05536175</v>
      </c>
      <c r="P42" s="40">
        <f>(SUM(I36:N41)/7)/(2833*1000)</f>
        <v>14.492161585472582</v>
      </c>
      <c r="Q42" s="76">
        <f>SUM(Q38:Q41)</f>
        <v>184391645.0714401</v>
      </c>
      <c r="R42" s="75">
        <f>SUM(R36:R41)</f>
        <v>114930076.61447163</v>
      </c>
    </row>
    <row r="43" spans="1:18" x14ac:dyDescent="0.2">
      <c r="A43" s="8"/>
      <c r="B43" s="62"/>
      <c r="C43" s="63"/>
      <c r="D43" s="61"/>
      <c r="E43" s="61"/>
      <c r="F43" s="61"/>
      <c r="G43" s="59"/>
      <c r="H43" s="3"/>
      <c r="I43" s="3"/>
      <c r="J43" s="3"/>
      <c r="K43" s="3"/>
      <c r="L43" s="3"/>
      <c r="M43" s="3"/>
      <c r="N43" s="17"/>
      <c r="O43" s="17"/>
      <c r="P43" s="8"/>
      <c r="Q43" s="74"/>
      <c r="R43" s="77"/>
    </row>
    <row r="44" spans="1:18" x14ac:dyDescent="0.2">
      <c r="A44" s="8" t="s">
        <v>11</v>
      </c>
      <c r="B44" s="62"/>
      <c r="C44" s="63"/>
      <c r="D44" s="63"/>
      <c r="E44" s="63"/>
      <c r="F44" s="63"/>
      <c r="G44" s="57"/>
      <c r="H44" s="5">
        <f>[1]PL!$D$18</f>
        <v>-25043.206966096059</v>
      </c>
      <c r="I44" s="5">
        <f>[1]PL!$E$18</f>
        <v>307980.38571808126</v>
      </c>
      <c r="J44" s="5">
        <f>[1]PL!$F$18</f>
        <v>306190.35493628634</v>
      </c>
      <c r="K44" s="5">
        <f>[1]PL!G$18</f>
        <v>-71615.378456814011</v>
      </c>
      <c r="L44" s="5">
        <f>[1]PL!H$18</f>
        <v>-71189.128998005006</v>
      </c>
      <c r="M44" s="5">
        <f>[1]PL!I$18</f>
        <v>-70785.574903144909</v>
      </c>
      <c r="N44" s="17">
        <f>[1]PL!J$18</f>
        <v>-70358.2814894037</v>
      </c>
      <c r="O44" s="17">
        <f t="shared" ref="O44:O56" si="10">SUM(B44:N44)</f>
        <v>305179.16984090395</v>
      </c>
      <c r="P44" s="8"/>
      <c r="Q44" s="76">
        <f>SUM(H44:N44)</f>
        <v>305179.16984090395</v>
      </c>
      <c r="R44" s="75"/>
    </row>
    <row r="45" spans="1:18" x14ac:dyDescent="0.2">
      <c r="A45" s="8" t="s">
        <v>55</v>
      </c>
      <c r="B45" s="62"/>
      <c r="C45" s="63">
        <f>12639994+7360006+12639994</f>
        <v>32639994</v>
      </c>
      <c r="D45" s="63"/>
      <c r="E45" s="63"/>
      <c r="F45" s="63"/>
      <c r="G45" s="57"/>
      <c r="H45" s="5"/>
      <c r="I45" s="5"/>
      <c r="J45" s="5"/>
      <c r="K45" s="5"/>
      <c r="L45" s="5"/>
      <c r="M45" s="5"/>
      <c r="N45" s="17"/>
      <c r="O45" s="17">
        <f t="shared" si="10"/>
        <v>32639994</v>
      </c>
      <c r="P45" s="8"/>
      <c r="Q45" s="76">
        <f>SUM(H45:N45)</f>
        <v>0</v>
      </c>
      <c r="R45" s="75"/>
    </row>
    <row r="46" spans="1:18" x14ac:dyDescent="0.2">
      <c r="A46" s="8" t="s">
        <v>13</v>
      </c>
      <c r="B46" s="62">
        <v>-3875</v>
      </c>
      <c r="C46" s="63">
        <v>-3625</v>
      </c>
      <c r="D46" s="63">
        <v>-3875</v>
      </c>
      <c r="E46" s="63">
        <v>-3750</v>
      </c>
      <c r="F46" s="63">
        <f>-3750-91239</f>
        <v>-94989</v>
      </c>
      <c r="G46" s="57">
        <f>-3750-91239</f>
        <v>-94989</v>
      </c>
      <c r="H46" s="5"/>
      <c r="I46" s="5">
        <v>-95860</v>
      </c>
      <c r="J46" s="5">
        <v>-95750</v>
      </c>
      <c r="K46" s="5">
        <v>-95460</v>
      </c>
      <c r="L46" s="5">
        <v>-95200</v>
      </c>
      <c r="M46" s="63">
        <v>-3875</v>
      </c>
      <c r="N46" s="86">
        <v>-3760</v>
      </c>
      <c r="O46" s="17">
        <f t="shared" si="10"/>
        <v>-595008</v>
      </c>
      <c r="P46" s="8"/>
      <c r="Q46" s="76">
        <f>SUM(H46:N46)</f>
        <v>-389905</v>
      </c>
      <c r="R46" s="75"/>
    </row>
    <row r="47" spans="1:18" x14ac:dyDescent="0.2">
      <c r="A47" s="11" t="s">
        <v>59</v>
      </c>
      <c r="B47" s="62">
        <f>-68619*0.1625</f>
        <v>-11150.5875</v>
      </c>
      <c r="C47" s="63">
        <f>-118854*0.1625</f>
        <v>-19313.775000000001</v>
      </c>
      <c r="D47" s="63">
        <f>-400524*0.33</f>
        <v>-132172.92000000001</v>
      </c>
      <c r="E47" s="63">
        <v>8800</v>
      </c>
      <c r="F47" s="63">
        <v>31812</v>
      </c>
      <c r="G47" s="57">
        <f>[2]Report!$S$48</f>
        <v>3184475.38</v>
      </c>
      <c r="H47" s="5">
        <f>[1]PL!D24</f>
        <v>0</v>
      </c>
      <c r="I47" s="5">
        <f>[1]PL!E24</f>
        <v>4591559.54</v>
      </c>
      <c r="J47" s="5">
        <f>[1]PL!F24</f>
        <v>3633568.4106000001</v>
      </c>
      <c r="K47" s="5">
        <f>[1]PL!G24</f>
        <v>1324752.2321000001</v>
      </c>
      <c r="L47" s="5">
        <f>[1]PL!H24</f>
        <v>592783.30480000004</v>
      </c>
      <c r="M47" s="5">
        <f>[1]PL!I24</f>
        <v>169433.35950000002</v>
      </c>
      <c r="N47" s="17">
        <f>[1]PL!J24</f>
        <v>154760.04990000001</v>
      </c>
      <c r="O47" s="17">
        <f t="shared" si="10"/>
        <v>13529306.9944</v>
      </c>
      <c r="P47" s="8"/>
      <c r="Q47" s="76"/>
      <c r="R47" s="75">
        <f>SUM(H47:N47)</f>
        <v>10466856.896900002</v>
      </c>
    </row>
    <row r="48" spans="1:18" x14ac:dyDescent="0.2">
      <c r="A48" s="11" t="s">
        <v>58</v>
      </c>
      <c r="B48" s="62">
        <f>-68619+11151</f>
        <v>-57468</v>
      </c>
      <c r="C48" s="63">
        <f>-118929+19314</f>
        <v>-99615</v>
      </c>
      <c r="D48" s="63">
        <f>-400524+132173</f>
        <v>-268351</v>
      </c>
      <c r="E48" s="63">
        <v>877692</v>
      </c>
      <c r="F48" s="63">
        <v>1591354</v>
      </c>
      <c r="G48" s="57">
        <f>[2]Report!$Q$48</f>
        <v>7634978.6900000004</v>
      </c>
      <c r="H48" s="5">
        <f>[1]PL!D25</f>
        <v>0</v>
      </c>
      <c r="I48" s="5">
        <f>[1]PL!E25</f>
        <v>11780453.3291</v>
      </c>
      <c r="J48" s="5">
        <f>[1]PL!F25</f>
        <v>11723397.7788</v>
      </c>
      <c r="K48" s="5">
        <f>[1]PL!G25</f>
        <v>15674251.572900001</v>
      </c>
      <c r="L48" s="5">
        <f>[1]PL!H25</f>
        <v>4935738.8081999999</v>
      </c>
      <c r="M48" s="5">
        <f>[1]PL!I25</f>
        <v>1158038.8347</v>
      </c>
      <c r="N48" s="17">
        <f>[1]PL!J25</f>
        <v>1255532.1344000001</v>
      </c>
      <c r="O48" s="17">
        <f t="shared" si="10"/>
        <v>56206003.148100011</v>
      </c>
      <c r="P48" s="8"/>
      <c r="Q48" s="76">
        <f>SUM(H48:N48)</f>
        <v>46527412.458100013</v>
      </c>
      <c r="R48" s="75"/>
    </row>
    <row r="49" spans="1:18" x14ac:dyDescent="0.2">
      <c r="A49" s="70" t="s">
        <v>61</v>
      </c>
      <c r="B49" s="62"/>
      <c r="C49" s="63"/>
      <c r="D49" s="63"/>
      <c r="E49" s="63"/>
      <c r="F49" s="63"/>
      <c r="G49" s="57"/>
      <c r="H49" s="5">
        <f>[1]PL!D26</f>
        <v>0</v>
      </c>
      <c r="I49" s="5">
        <f>[1]PL!E26</f>
        <v>-44146111.335666336</v>
      </c>
      <c r="J49" s="5">
        <f>[1]PL!F26</f>
        <v>-32308114.319162168</v>
      </c>
      <c r="K49" s="5">
        <f>[1]PL!G26</f>
        <v>-222731.72823750001</v>
      </c>
      <c r="L49" s="5">
        <f>[1]PL!H26</f>
        <v>0</v>
      </c>
      <c r="M49" s="5">
        <f>[1]PL!I26</f>
        <v>0</v>
      </c>
      <c r="N49" s="17">
        <f>[1]PL!J26</f>
        <v>0</v>
      </c>
      <c r="O49" s="17">
        <f t="shared" si="10"/>
        <v>-76676957.383065999</v>
      </c>
      <c r="P49" s="8"/>
      <c r="Q49" s="76"/>
      <c r="R49" s="75">
        <f>SUM(H49:N49)</f>
        <v>-76676957.383065999</v>
      </c>
    </row>
    <row r="50" spans="1:18" s="27" customFormat="1" x14ac:dyDescent="0.2">
      <c r="A50" s="70" t="s">
        <v>60</v>
      </c>
      <c r="B50" s="62"/>
      <c r="C50" s="63"/>
      <c r="D50" s="63"/>
      <c r="E50" s="63"/>
      <c r="F50" s="63"/>
      <c r="G50" s="57"/>
      <c r="H50" s="5">
        <f>[1]PL!D27</f>
        <v>0</v>
      </c>
      <c r="I50" s="5">
        <f>[1]PL!E27</f>
        <v>-26954026.795814246</v>
      </c>
      <c r="J50" s="5">
        <f>[1]PL!F27</f>
        <v>-17496086.523607872</v>
      </c>
      <c r="K50" s="5">
        <f>[1]PL!G27</f>
        <v>-222731.72823750001</v>
      </c>
      <c r="L50" s="5">
        <f>[1]PL!H27</f>
        <v>0</v>
      </c>
      <c r="M50" s="5">
        <f>[1]PL!I27</f>
        <v>0</v>
      </c>
      <c r="N50" s="17">
        <f>[1]PL!J27</f>
        <v>0</v>
      </c>
      <c r="O50" s="17">
        <f t="shared" si="10"/>
        <v>-44672845.047659621</v>
      </c>
      <c r="P50" s="8"/>
      <c r="Q50" s="76">
        <f>SUM(H50:N50)</f>
        <v>-44672845.047659621</v>
      </c>
      <c r="R50" s="75"/>
    </row>
    <row r="51" spans="1:18" s="27" customFormat="1" x14ac:dyDescent="0.2">
      <c r="A51" s="11" t="s">
        <v>63</v>
      </c>
      <c r="B51" s="62"/>
      <c r="C51" s="63"/>
      <c r="D51" s="63"/>
      <c r="E51" s="63"/>
      <c r="F51" s="63">
        <f>79012-31812</f>
        <v>47200</v>
      </c>
      <c r="G51" s="57">
        <f>[2]Report!$S$65-[2]Report!$S$48</f>
        <v>-3273248</v>
      </c>
      <c r="H51" s="5">
        <f>[1]PL!D28</f>
        <v>-2957165.4803520958</v>
      </c>
      <c r="I51" s="5">
        <f>[1]PL!E28</f>
        <v>-6767753.0006685313</v>
      </c>
      <c r="J51" s="5">
        <f>[1]PL!F28</f>
        <v>-308444.76406559633</v>
      </c>
      <c r="K51" s="5">
        <f>[1]PL!G28</f>
        <v>-3489312.0040392601</v>
      </c>
      <c r="L51" s="5">
        <f>[1]PL!H28</f>
        <v>0</v>
      </c>
      <c r="M51" s="5">
        <f>[1]PL!I28</f>
        <v>0</v>
      </c>
      <c r="N51" s="17">
        <f>[1]PL!J28</f>
        <v>0</v>
      </c>
      <c r="O51" s="17">
        <f t="shared" si="10"/>
        <v>-16748723.249125484</v>
      </c>
      <c r="P51" s="8"/>
      <c r="Q51" s="76"/>
      <c r="R51" s="75">
        <f>SUM(H51:N51)</f>
        <v>-13522675.249125484</v>
      </c>
    </row>
    <row r="52" spans="1:18" x14ac:dyDescent="0.2">
      <c r="A52" s="11" t="s">
        <v>62</v>
      </c>
      <c r="B52" s="62">
        <v>-654580</v>
      </c>
      <c r="C52" s="63">
        <f>-1973422-782856</f>
        <v>-2756278</v>
      </c>
      <c r="D52" s="63">
        <f>-1060409+400652</f>
        <v>-659757</v>
      </c>
      <c r="E52" s="63">
        <f>783700-877692</f>
        <v>-93992</v>
      </c>
      <c r="F52" s="63">
        <f>-1087693-1591354</f>
        <v>-2679047</v>
      </c>
      <c r="G52" s="57">
        <f>[2]Report!$Q$65-[2]Report!$Q$48</f>
        <v>4543928.2399999993</v>
      </c>
      <c r="H52" s="5">
        <f>SUM([1]PL!D$29:D$32)</f>
        <v>-1631465.5560357398</v>
      </c>
      <c r="I52" s="5">
        <f>SUM([1]PL!E$29:E$32)</f>
        <v>-12338462.649942717</v>
      </c>
      <c r="J52" s="5">
        <f>SUM([1]PL!F$29:F$32)</f>
        <v>-680417.37134034606</v>
      </c>
      <c r="K52" s="5">
        <f>SUM([1]PL!G$29:G$32)</f>
        <v>-5949115.0748550873</v>
      </c>
      <c r="L52" s="5">
        <f>SUM([1]PL!H$29:H$32)</f>
        <v>-2545187.2615910312</v>
      </c>
      <c r="M52" s="5">
        <f>SUM([1]PL!I$29:I$32)</f>
        <v>-860956.2637121412</v>
      </c>
      <c r="N52" s="5">
        <f>SUM([1]PL!J$29:J$32)</f>
        <v>38661.199939063008</v>
      </c>
      <c r="O52" s="17">
        <f t="shared" si="10"/>
        <v>-26266668.737537999</v>
      </c>
      <c r="P52" s="8"/>
      <c r="Q52" s="76">
        <f>SUM(H52:N52)</f>
        <v>-23966942.977538001</v>
      </c>
      <c r="R52" s="75"/>
    </row>
    <row r="53" spans="1:18" x14ac:dyDescent="0.2">
      <c r="A53" s="11" t="s">
        <v>15</v>
      </c>
      <c r="B53" s="62">
        <f>-297378-1240000+68619</f>
        <v>-1468759</v>
      </c>
      <c r="C53" s="63">
        <f>-247963+118929</f>
        <v>-129034</v>
      </c>
      <c r="D53" s="63"/>
      <c r="E53" s="63"/>
      <c r="F53" s="63"/>
      <c r="G53" s="57"/>
      <c r="H53" s="5"/>
      <c r="I53" s="5"/>
      <c r="J53" s="5"/>
      <c r="K53" s="5"/>
      <c r="L53" s="5"/>
      <c r="M53" s="5"/>
      <c r="N53" s="17"/>
      <c r="O53" s="17">
        <f t="shared" si="10"/>
        <v>-1597793</v>
      </c>
      <c r="P53" s="8"/>
      <c r="Q53" s="76"/>
      <c r="R53" s="75"/>
    </row>
    <row r="54" spans="1:18" x14ac:dyDescent="0.2">
      <c r="A54" s="11" t="s">
        <v>16</v>
      </c>
      <c r="B54" s="62">
        <v>1240000</v>
      </c>
      <c r="C54" s="63"/>
      <c r="D54" s="63"/>
      <c r="E54" s="61"/>
      <c r="F54" s="61"/>
      <c r="G54" s="59"/>
      <c r="H54" s="3"/>
      <c r="I54" s="3"/>
      <c r="J54" s="3"/>
      <c r="K54" s="3"/>
      <c r="L54" s="5"/>
      <c r="M54" s="5"/>
      <c r="N54" s="17"/>
      <c r="O54" s="17">
        <f t="shared" si="10"/>
        <v>1240000</v>
      </c>
      <c r="P54" s="8"/>
      <c r="Q54" s="76"/>
      <c r="R54" s="75"/>
    </row>
    <row r="55" spans="1:18" x14ac:dyDescent="0.2">
      <c r="A55" s="35" t="s">
        <v>53</v>
      </c>
      <c r="B55" s="71"/>
      <c r="C55" s="67"/>
      <c r="D55" s="67"/>
      <c r="E55" s="67"/>
      <c r="F55" s="67"/>
      <c r="G55" s="65"/>
      <c r="H55" s="21"/>
      <c r="I55" s="21"/>
      <c r="J55" s="21"/>
      <c r="K55" s="21"/>
      <c r="L55" s="21">
        <f>[1]PL!$H$18</f>
        <v>-71189.128998005006</v>
      </c>
      <c r="M55" s="21">
        <f>[1]PL!$I$18</f>
        <v>-70785.574903144909</v>
      </c>
      <c r="N55" s="21">
        <f>[1]PL!$J$18</f>
        <v>-70358.2814894037</v>
      </c>
      <c r="O55" s="12">
        <f t="shared" si="10"/>
        <v>-212332.9853905536</v>
      </c>
      <c r="P55" s="25"/>
      <c r="Q55" s="78">
        <f>SUM(H55:N55)*0.33</f>
        <v>-70069.885178882687</v>
      </c>
      <c r="R55" s="80">
        <f>SUM(H55:N55)*0.67</f>
        <v>-142263.10021167091</v>
      </c>
    </row>
    <row r="56" spans="1:18" x14ac:dyDescent="0.2">
      <c r="A56" s="43" t="s">
        <v>37</v>
      </c>
      <c r="B56" s="63">
        <f t="shared" ref="B56:G56" si="11">SUM(B44:B55)</f>
        <v>-955832.58749999991</v>
      </c>
      <c r="C56" s="63">
        <f t="shared" si="11"/>
        <v>29632128.225000001</v>
      </c>
      <c r="D56" s="63">
        <f t="shared" si="11"/>
        <v>-1064155.92</v>
      </c>
      <c r="E56" s="63">
        <f t="shared" si="11"/>
        <v>788750</v>
      </c>
      <c r="F56" s="63">
        <f t="shared" si="11"/>
        <v>-1103670</v>
      </c>
      <c r="G56" s="57">
        <f t="shared" si="11"/>
        <v>11995145.309999999</v>
      </c>
      <c r="H56" s="5">
        <f t="shared" ref="H56:N56" si="12">SUM(H44:H55)</f>
        <v>-4613674.2433539312</v>
      </c>
      <c r="I56" s="5">
        <f t="shared" si="12"/>
        <v>-73622220.527273744</v>
      </c>
      <c r="J56" s="5">
        <f t="shared" si="12"/>
        <v>-35225656.433839694</v>
      </c>
      <c r="K56" s="5">
        <f t="shared" si="12"/>
        <v>6948037.8911738396</v>
      </c>
      <c r="L56" s="5">
        <f t="shared" si="12"/>
        <v>2745756.593412959</v>
      </c>
      <c r="M56" s="5">
        <f t="shared" si="12"/>
        <v>321069.78068156895</v>
      </c>
      <c r="N56" s="5">
        <f t="shared" si="12"/>
        <v>1304476.8212602558</v>
      </c>
      <c r="O56" s="4">
        <f t="shared" si="10"/>
        <v>-62849845.090438746</v>
      </c>
      <c r="P56" s="8"/>
      <c r="Q56" s="76">
        <f>SUM(Q44:Q55)</f>
        <v>-22267171.282435589</v>
      </c>
      <c r="R56" s="75">
        <f>SUM(R44:R55)</f>
        <v>-79875038.835503146</v>
      </c>
    </row>
    <row r="57" spans="1:18" x14ac:dyDescent="0.2">
      <c r="A57" s="8"/>
      <c r="B57" s="62"/>
      <c r="C57" s="63"/>
      <c r="D57" s="61"/>
      <c r="E57" s="61"/>
      <c r="F57" s="61"/>
      <c r="G57" s="59"/>
      <c r="H57" s="3"/>
      <c r="I57" s="3"/>
      <c r="J57" s="3"/>
      <c r="K57" s="3"/>
      <c r="L57" s="3"/>
      <c r="M57" s="3"/>
      <c r="N57" s="3"/>
      <c r="O57" s="4"/>
      <c r="P57" s="8"/>
      <c r="Q57" s="74"/>
      <c r="R57" s="77"/>
    </row>
    <row r="58" spans="1:18" x14ac:dyDescent="0.2">
      <c r="A58" s="26" t="s">
        <v>40</v>
      </c>
      <c r="B58" s="62">
        <f>-670886-811957-777753</f>
        <v>-2260596</v>
      </c>
      <c r="C58" s="61">
        <f>-478000-529000-526000</f>
        <v>-1533000</v>
      </c>
      <c r="D58" s="61">
        <f>-417980-527830-512533</f>
        <v>-1458343</v>
      </c>
      <c r="E58" s="61">
        <f>-524396-628160-617878</f>
        <v>-1770434</v>
      </c>
      <c r="F58" s="61">
        <f>-554888-661154-642664</f>
        <v>-1858706</v>
      </c>
      <c r="G58" s="59">
        <f>SUM([2]Report!$C$56:$M$56)</f>
        <v>-4174071</v>
      </c>
      <c r="H58" s="3">
        <f>[1]PL!D17</f>
        <v>0</v>
      </c>
      <c r="I58" s="3">
        <f>[1]PL!E17</f>
        <v>-4768993.3506781161</v>
      </c>
      <c r="J58" s="3">
        <f>[1]PL!F17</f>
        <v>-4648084.6162145743</v>
      </c>
      <c r="K58" s="3">
        <f>[1]PL!G17</f>
        <v>-4606899.4999642456</v>
      </c>
      <c r="L58" s="3">
        <f>[1]PL!H17</f>
        <v>-4603105.6851725718</v>
      </c>
      <c r="M58" s="3">
        <f>[1]PL!I17</f>
        <v>-4604056.1775938701</v>
      </c>
      <c r="N58" s="3">
        <f>[1]PL!J17</f>
        <v>-4602352.8935948219</v>
      </c>
      <c r="O58" s="4">
        <f t="shared" ref="O58:O64" si="13">SUM(B58:N58)</f>
        <v>-40888642.223218203</v>
      </c>
      <c r="P58" s="40">
        <f t="shared" ref="P58:P63" si="14">(SUM(B58:N58)/12)/(2820*1000)</f>
        <v>-1.2082932099059753</v>
      </c>
      <c r="Q58" s="76">
        <f t="shared" ref="Q58:Q63" si="15">SUM(H58:N58)*0.667</f>
        <v>-18564939.312886544</v>
      </c>
      <c r="R58" s="75">
        <f t="shared" ref="R58:R63" si="16">SUM(H58:N58)*0.333</f>
        <v>-9268552.9103316627</v>
      </c>
    </row>
    <row r="59" spans="1:18" x14ac:dyDescent="0.2">
      <c r="A59" s="8" t="s">
        <v>41</v>
      </c>
      <c r="B59" s="62">
        <f>-323549-392899-371072</f>
        <v>-1087520</v>
      </c>
      <c r="C59" s="61">
        <f>-301224-366702-382501</f>
        <v>-1050427</v>
      </c>
      <c r="D59" s="61">
        <f>-313556-381816-369722</f>
        <v>-1065094</v>
      </c>
      <c r="E59" s="61">
        <f>-318547-383264-373966</f>
        <v>-1075777</v>
      </c>
      <c r="F59" s="61">
        <f>-339952-407518-395890</f>
        <v>-1143360</v>
      </c>
      <c r="G59" s="59">
        <f>SUM([2]Report!$C$57:$M$57)</f>
        <v>-1064808</v>
      </c>
      <c r="H59" s="3">
        <f>[1]PL!D19</f>
        <v>0</v>
      </c>
      <c r="I59" s="3">
        <f>[1]PL!E19</f>
        <v>-1051045.9927505481</v>
      </c>
      <c r="J59" s="3">
        <f>[1]PL!F19</f>
        <v>-2452583.7116161175</v>
      </c>
      <c r="K59" s="3">
        <f>[1]PL!G19</f>
        <v>-2438708.754150589</v>
      </c>
      <c r="L59" s="3">
        <f>[1]PL!H19</f>
        <v>-2424359.0665013003</v>
      </c>
      <c r="M59" s="3">
        <f>[1]PL!I19</f>
        <v>-2410451.566460399</v>
      </c>
      <c r="N59" s="3">
        <f>[1]PL!J19</f>
        <v>-2396064.3996229693</v>
      </c>
      <c r="O59" s="4">
        <f t="shared" si="13"/>
        <v>-19660199.491101921</v>
      </c>
      <c r="P59" s="40">
        <f t="shared" si="14"/>
        <v>-0.58097516226660528</v>
      </c>
      <c r="Q59" s="76">
        <f t="shared" si="15"/>
        <v>-8786533.3985649832</v>
      </c>
      <c r="R59" s="75">
        <f t="shared" si="16"/>
        <v>-4386680.0925369402</v>
      </c>
    </row>
    <row r="60" spans="1:18" x14ac:dyDescent="0.2">
      <c r="A60" s="11" t="s">
        <v>42</v>
      </c>
      <c r="B60" s="62">
        <f>-206284-213705-240860</f>
        <v>-660849</v>
      </c>
      <c r="C60" s="61">
        <f>-48123+8308+10427</f>
        <v>-29388</v>
      </c>
      <c r="D60" s="61">
        <f>-350449-308748-249908</f>
        <v>-909105</v>
      </c>
      <c r="E60" s="61">
        <f>-378342-379984-313828</f>
        <v>-1072154</v>
      </c>
      <c r="F60" s="61">
        <f>-339451-181206-339624</f>
        <v>-860281</v>
      </c>
      <c r="G60" s="59">
        <f>SUM([2]Report!$C$58:$M$58)</f>
        <v>-904009</v>
      </c>
      <c r="H60" s="3">
        <f>[1]PL!D20</f>
        <v>0</v>
      </c>
      <c r="I60" s="3">
        <f>[1]PL!E20</f>
        <v>-930489.95809276018</v>
      </c>
      <c r="J60" s="3">
        <f>[1]PL!F20</f>
        <v>-925081.80307907506</v>
      </c>
      <c r="K60" s="3">
        <f>[1]PL!G20</f>
        <v>-919848.35452885111</v>
      </c>
      <c r="L60" s="3">
        <f>[1]PL!H20</f>
        <v>-1096504.8452822482</v>
      </c>
      <c r="M60" s="3">
        <f>[1]PL!I20</f>
        <v>-755418.78958216449</v>
      </c>
      <c r="N60" s="3">
        <f>[1]PL!J20</f>
        <v>-751359.07740059774</v>
      </c>
      <c r="O60" s="4">
        <f t="shared" si="13"/>
        <v>-9814488.8279656954</v>
      </c>
      <c r="P60" s="40">
        <f t="shared" si="14"/>
        <v>-0.29002626560182315</v>
      </c>
      <c r="Q60" s="76">
        <f t="shared" si="15"/>
        <v>-3587594.7862531198</v>
      </c>
      <c r="R60" s="75">
        <f t="shared" si="16"/>
        <v>-1791108.041712577</v>
      </c>
    </row>
    <row r="61" spans="1:18" x14ac:dyDescent="0.2">
      <c r="A61" s="11" t="s">
        <v>43</v>
      </c>
      <c r="B61" s="62">
        <f>-133333-133333-133333</f>
        <v>-399999</v>
      </c>
      <c r="C61" s="61">
        <f>-133333-133333-133333</f>
        <v>-399999</v>
      </c>
      <c r="D61" s="61">
        <v>-6000</v>
      </c>
      <c r="E61" s="61">
        <f>-22500-35000</f>
        <v>-57500</v>
      </c>
      <c r="F61" s="61">
        <f>-162167-140667-139667-13000-7500</f>
        <v>-463001</v>
      </c>
      <c r="G61" s="59">
        <f>SUM([2]Report!$C$60:$M$60)</f>
        <v>-543430</v>
      </c>
      <c r="H61" s="3">
        <f>[1]PL!D21</f>
        <v>0</v>
      </c>
      <c r="I61" s="3">
        <f>[1]PL!E21</f>
        <v>-395222.3103511465</v>
      </c>
      <c r="J61" s="3">
        <f>[1]PL!F21</f>
        <v>-392925.21568542125</v>
      </c>
      <c r="K61" s="3">
        <f>[1]PL!G21</f>
        <v>-390702.32697057485</v>
      </c>
      <c r="L61" s="3">
        <f>[1]PL!H21</f>
        <v>-388403.3823564066</v>
      </c>
      <c r="M61" s="3">
        <f>[1]PL!I21</f>
        <v>-386175.28003829467</v>
      </c>
      <c r="N61" s="3">
        <f>[1]PL!J21</f>
        <v>-383870.33093261288</v>
      </c>
      <c r="O61" s="4">
        <f t="shared" si="13"/>
        <v>-4207227.8463344565</v>
      </c>
      <c r="P61" s="40">
        <f t="shared" si="14"/>
        <v>-0.12432706401697566</v>
      </c>
      <c r="Q61" s="76">
        <f t="shared" si="15"/>
        <v>-1558978.3305050828</v>
      </c>
      <c r="R61" s="75">
        <f t="shared" si="16"/>
        <v>-778320.5158293742</v>
      </c>
    </row>
    <row r="62" spans="1:18" x14ac:dyDescent="0.2">
      <c r="A62" s="11" t="s">
        <v>44</v>
      </c>
      <c r="B62" s="62">
        <f>-75000</f>
        <v>-75000</v>
      </c>
      <c r="C62" s="63">
        <f>-72063-67869-74388</f>
        <v>-214320</v>
      </c>
      <c r="D62" s="63">
        <f>-81589-92613-147932</f>
        <v>-322134</v>
      </c>
      <c r="E62" s="63">
        <f>-151712-175057-162493</f>
        <v>-489262</v>
      </c>
      <c r="F62" s="63">
        <f>-231342-159390-216684</f>
        <v>-607416</v>
      </c>
      <c r="G62" s="57">
        <f>SUM([2]Report!$C$61:$M$61)</f>
        <v>-917304</v>
      </c>
      <c r="H62" s="3">
        <f>[1]PL!D22</f>
        <v>0</v>
      </c>
      <c r="I62" s="3">
        <f>[1]PL!E22</f>
        <v>-0.98805083562368812</v>
      </c>
      <c r="J62" s="3">
        <f>[1]PL!F22</f>
        <v>-0.9823081276729152</v>
      </c>
      <c r="K62" s="3">
        <f>[1]PL!G22</f>
        <v>0</v>
      </c>
      <c r="L62" s="3">
        <f>[1]PL!H22</f>
        <v>0</v>
      </c>
      <c r="M62" s="3">
        <f>[1]PL!I22</f>
        <v>0</v>
      </c>
      <c r="N62" s="3">
        <f>[1]PL!J22</f>
        <v>0</v>
      </c>
      <c r="O62" s="4">
        <f t="shared" si="13"/>
        <v>-2625437.9703589631</v>
      </c>
      <c r="P62" s="40">
        <f t="shared" si="14"/>
        <v>-7.7583864372309783E-2</v>
      </c>
      <c r="Q62" s="76">
        <f t="shared" si="15"/>
        <v>-1.3142294285188345</v>
      </c>
      <c r="R62" s="75">
        <f t="shared" si="16"/>
        <v>-0.65612953477776903</v>
      </c>
    </row>
    <row r="63" spans="1:18" s="27" customFormat="1" x14ac:dyDescent="0.2">
      <c r="A63" s="35" t="s">
        <v>45</v>
      </c>
      <c r="B63" s="71">
        <f>-36555-64403-88285</f>
        <v>-189243</v>
      </c>
      <c r="C63" s="67">
        <f>-43021-125162-92232</f>
        <v>-260415</v>
      </c>
      <c r="D63" s="67">
        <f>-30758+6751-63485</f>
        <v>-87492</v>
      </c>
      <c r="E63" s="67">
        <f>-47244-109255+8371</f>
        <v>-148128</v>
      </c>
      <c r="F63" s="67">
        <f>-52770-74292-70011-100-100-100</f>
        <v>-197373</v>
      </c>
      <c r="G63" s="65">
        <f>SUM([2]Report!$C$59:$M$59)</f>
        <v>-345368</v>
      </c>
      <c r="H63" s="21">
        <f>[1]PL!D23</f>
        <v>0</v>
      </c>
      <c r="I63" s="21">
        <f>[1]PL!E23</f>
        <v>-509873.75321524811</v>
      </c>
      <c r="J63" s="21">
        <f>[1]PL!F23</f>
        <v>-506910.28620433103</v>
      </c>
      <c r="K63" s="21">
        <f>[1]PL!G23</f>
        <v>-504039.62155917857</v>
      </c>
      <c r="L63" s="21">
        <f>[1]PL!H23</f>
        <v>-501076.69819450926</v>
      </c>
      <c r="M63" s="21">
        <f>[1]PL!I23</f>
        <v>-498201.27233284223</v>
      </c>
      <c r="N63" s="21">
        <f>[1]PL!J23</f>
        <v>-495102.92088817904</v>
      </c>
      <c r="O63" s="12">
        <f t="shared" si="13"/>
        <v>-4243223.5523942886</v>
      </c>
      <c r="P63" s="39">
        <f t="shared" si="14"/>
        <v>-0.12539076691472484</v>
      </c>
      <c r="Q63" s="78">
        <f t="shared" si="15"/>
        <v>-2011141.4364469906</v>
      </c>
      <c r="R63" s="80">
        <f t="shared" si="16"/>
        <v>-1004063.1159472981</v>
      </c>
    </row>
    <row r="64" spans="1:18" x14ac:dyDescent="0.2">
      <c r="A64" s="43" t="s">
        <v>38</v>
      </c>
      <c r="B64" s="63">
        <f t="shared" ref="B64:G64" si="17">SUM(B58:B63)</f>
        <v>-4673207</v>
      </c>
      <c r="C64" s="63">
        <f t="shared" si="17"/>
        <v>-3487549</v>
      </c>
      <c r="D64" s="63">
        <f t="shared" si="17"/>
        <v>-3848168</v>
      </c>
      <c r="E64" s="63">
        <f t="shared" si="17"/>
        <v>-4613255</v>
      </c>
      <c r="F64" s="63">
        <f t="shared" si="17"/>
        <v>-5130137</v>
      </c>
      <c r="G64" s="57">
        <f t="shared" si="17"/>
        <v>-7948990</v>
      </c>
      <c r="H64" s="5">
        <f t="shared" ref="H64:N64" si="18">SUM(H58:H63)</f>
        <v>0</v>
      </c>
      <c r="I64" s="5">
        <f t="shared" si="18"/>
        <v>-7655626.3531386536</v>
      </c>
      <c r="J64" s="5">
        <f t="shared" si="18"/>
        <v>-8925586.6151076462</v>
      </c>
      <c r="K64" s="5">
        <f t="shared" si="18"/>
        <v>-8860198.5571734384</v>
      </c>
      <c r="L64" s="5">
        <f t="shared" si="18"/>
        <v>-9013449.6775070354</v>
      </c>
      <c r="M64" s="5">
        <f t="shared" si="18"/>
        <v>-8654303.0860075708</v>
      </c>
      <c r="N64" s="5">
        <f t="shared" si="18"/>
        <v>-8628749.6224391814</v>
      </c>
      <c r="O64" s="4">
        <f t="shared" si="13"/>
        <v>-81439219.911373526</v>
      </c>
      <c r="P64" s="38">
        <f>SUM(P58:P63)</f>
        <v>-2.4065963330784146</v>
      </c>
      <c r="Q64" s="76">
        <f>SUM(Q58:Q63)</f>
        <v>-34509188.578886151</v>
      </c>
      <c r="R64" s="75">
        <f>SUM(R58:R63)</f>
        <v>-17228725.332487389</v>
      </c>
    </row>
    <row r="65" spans="1:18" x14ac:dyDescent="0.2">
      <c r="A65" s="33"/>
      <c r="B65" s="62"/>
      <c r="C65" s="68"/>
      <c r="D65" s="68"/>
      <c r="E65" s="68"/>
      <c r="F65" s="68"/>
      <c r="G65" s="66"/>
      <c r="O65" s="25"/>
      <c r="P65" s="25"/>
      <c r="Q65" s="81"/>
      <c r="R65" s="79"/>
    </row>
    <row r="66" spans="1:18" x14ac:dyDescent="0.2">
      <c r="A66" s="51" t="s">
        <v>0</v>
      </c>
      <c r="B66" s="64">
        <f>B42+B56+B64</f>
        <v>-5308728.5875000004</v>
      </c>
      <c r="C66" s="64">
        <f>C42+C56+C64</f>
        <v>26365866.225000001</v>
      </c>
      <c r="D66" s="64">
        <f>D42+D56+D64</f>
        <v>-5252799.92</v>
      </c>
      <c r="E66" s="64">
        <f>E42+E56+E64</f>
        <v>-3971066</v>
      </c>
      <c r="F66" s="64">
        <f>F64+F56+F42</f>
        <v>-564206</v>
      </c>
      <c r="G66" s="58">
        <f>G42+G56+G64</f>
        <v>4545687.6794499978</v>
      </c>
      <c r="H66" s="13">
        <f t="shared" ref="H66:O66" si="19">H42+H56+H64</f>
        <v>7313991.0410509426</v>
      </c>
      <c r="I66" s="13">
        <f t="shared" si="19"/>
        <v>77781766.683388799</v>
      </c>
      <c r="J66" s="13">
        <f t="shared" si="19"/>
        <v>77871028.805975676</v>
      </c>
      <c r="K66" s="13">
        <f t="shared" si="19"/>
        <v>3864500.285273321</v>
      </c>
      <c r="L66" s="13">
        <f t="shared" si="19"/>
        <v>-6083961.1750861052</v>
      </c>
      <c r="M66" s="13">
        <f t="shared" si="19"/>
        <v>-8183938.9146758644</v>
      </c>
      <c r="N66" s="13">
        <f t="shared" si="19"/>
        <v>-7121789.0693272976</v>
      </c>
      <c r="O66" s="13">
        <f t="shared" si="19"/>
        <v>161256351.05354947</v>
      </c>
      <c r="P66" s="39"/>
      <c r="Q66" s="78">
        <f>Q64+Q56+Q42</f>
        <v>127615285.21011835</v>
      </c>
      <c r="R66" s="80">
        <f>R64+R56+R42</f>
        <v>17826312.446481094</v>
      </c>
    </row>
    <row r="67" spans="1:18" x14ac:dyDescent="0.2">
      <c r="A67" s="2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41"/>
    </row>
    <row r="68" spans="1:18" x14ac:dyDescent="0.2">
      <c r="A68" s="2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41"/>
    </row>
    <row r="69" spans="1:18" x14ac:dyDescent="0.2">
      <c r="A69" s="2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41"/>
    </row>
    <row r="70" spans="1:18" x14ac:dyDescent="0.2">
      <c r="A70" s="2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41"/>
    </row>
    <row r="71" spans="1:18" x14ac:dyDescent="0.2">
      <c r="B71" s="52">
        <v>36892</v>
      </c>
      <c r="C71" s="52">
        <v>36923</v>
      </c>
      <c r="D71" s="52">
        <v>36951</v>
      </c>
      <c r="E71" s="52">
        <v>36982</v>
      </c>
      <c r="F71" s="52">
        <v>37012</v>
      </c>
      <c r="G71" s="52">
        <v>37043</v>
      </c>
      <c r="H71" s="52">
        <v>37073</v>
      </c>
      <c r="I71" s="52">
        <v>37104</v>
      </c>
      <c r="J71" s="52">
        <v>37135</v>
      </c>
      <c r="K71" s="52">
        <v>37165</v>
      </c>
      <c r="L71" s="52">
        <v>37196</v>
      </c>
      <c r="M71" s="52">
        <v>37226</v>
      </c>
      <c r="N71" s="6" t="s">
        <v>5</v>
      </c>
      <c r="O71" s="16" t="s">
        <v>47</v>
      </c>
      <c r="Q71" s="84"/>
      <c r="R71" s="84"/>
    </row>
    <row r="72" spans="1:18" x14ac:dyDescent="0.2">
      <c r="A72" s="9" t="s">
        <v>34</v>
      </c>
      <c r="B72" s="5">
        <f>[1]PL!L11</f>
        <v>141933.41722129</v>
      </c>
      <c r="C72" s="5">
        <f>[1]PL!M11</f>
        <v>150685.56416661301</v>
      </c>
      <c r="D72" s="5">
        <f>[1]PL!N11</f>
        <v>14497.180170828602</v>
      </c>
      <c r="E72" s="5">
        <f>[1]PL!O11</f>
        <v>42263.042689414302</v>
      </c>
      <c r="F72" s="5">
        <f>[1]PL!P11</f>
        <v>426237.17219280504</v>
      </c>
      <c r="G72" s="5">
        <f>[1]PL!Q11</f>
        <v>4790541.5381244905</v>
      </c>
      <c r="H72" s="5">
        <f>[1]PL!R11</f>
        <v>13178107.5496273</v>
      </c>
      <c r="I72" s="5">
        <f>[1]PL!S11</f>
        <v>14125969.672215901</v>
      </c>
      <c r="J72" s="5">
        <f>[1]PL!T11</f>
        <v>771318.45637540403</v>
      </c>
      <c r="K72" s="5">
        <f>[1]PL!U11</f>
        <v>34938.024590763904</v>
      </c>
      <c r="L72" s="5">
        <f>[1]PL!V11</f>
        <v>39331.883150444402</v>
      </c>
      <c r="M72" s="32">
        <f>[1]PL!W11</f>
        <v>26260.355458209204</v>
      </c>
      <c r="N72" s="32">
        <f t="shared" ref="N72:N77" si="20">SUM(B72:M72)</f>
        <v>33742083.855983458</v>
      </c>
      <c r="O72" s="37">
        <f>(N72/12)/(465*1000)</f>
        <v>6.046968432971946</v>
      </c>
      <c r="Q72" s="85"/>
      <c r="R72" s="63"/>
    </row>
    <row r="73" spans="1:18" x14ac:dyDescent="0.2">
      <c r="A73" s="8" t="s">
        <v>35</v>
      </c>
      <c r="B73" s="5">
        <f>[1]PL!L12</f>
        <v>199341.87157356902</v>
      </c>
      <c r="C73" s="5">
        <f>[1]PL!M12</f>
        <v>212211.72579242304</v>
      </c>
      <c r="D73" s="5">
        <f>[1]PL!N12</f>
        <v>24396.160395006504</v>
      </c>
      <c r="E73" s="5">
        <f>[1]PL!O12</f>
        <v>41440.853411072807</v>
      </c>
      <c r="F73" s="5">
        <f>[1]PL!P12</f>
        <v>396145.67418346106</v>
      </c>
      <c r="G73" s="5">
        <f>[1]PL!Q12</f>
        <v>6008671.2871038001</v>
      </c>
      <c r="H73" s="5">
        <f>[1]PL!R12</f>
        <v>16798107.549119402</v>
      </c>
      <c r="I73" s="5">
        <f>[1]PL!S12</f>
        <v>18013334.451733902</v>
      </c>
      <c r="J73" s="5">
        <f>[1]PL!T12</f>
        <v>944752.82094751205</v>
      </c>
      <c r="K73" s="5">
        <f>[1]PL!U12</f>
        <v>32018.356033870703</v>
      </c>
      <c r="L73" s="5">
        <f>[1]PL!V12</f>
        <v>53738.103859098708</v>
      </c>
      <c r="M73" s="17">
        <f>[1]PL!W12</f>
        <v>39216.265171516206</v>
      </c>
      <c r="N73" s="17">
        <f t="shared" si="20"/>
        <v>42763375.119324632</v>
      </c>
      <c r="O73" s="38">
        <f>(N73/12)/(600*1000)</f>
        <v>5.9393576554617544</v>
      </c>
      <c r="Q73" s="85"/>
      <c r="R73" s="63"/>
    </row>
    <row r="74" spans="1:18" x14ac:dyDescent="0.2">
      <c r="A74" s="8" t="s">
        <v>31</v>
      </c>
      <c r="B74" s="5">
        <f>[1]PL!L13</f>
        <v>114656.26069911601</v>
      </c>
      <c r="C74" s="5">
        <f>[1]PL!M13</f>
        <v>119998.78102003802</v>
      </c>
      <c r="D74" s="5">
        <f>[1]PL!N13</f>
        <v>14004.492526028402</v>
      </c>
      <c r="E74" s="5">
        <f>[1]PL!O13</f>
        <v>40111.001066035307</v>
      </c>
      <c r="F74" s="5">
        <f>[1]PL!P13</f>
        <v>373775.41525151505</v>
      </c>
      <c r="G74" s="5">
        <f>[1]PL!Q13</f>
        <v>4122551.1804829002</v>
      </c>
      <c r="H74" s="5">
        <f>[1]PL!R13</f>
        <v>12358360.589715</v>
      </c>
      <c r="I74" s="5">
        <f>[1]PL!S13</f>
        <v>13268902.017115401</v>
      </c>
      <c r="J74" s="5">
        <f>[1]PL!T13</f>
        <v>683078.94320594007</v>
      </c>
      <c r="K74" s="5">
        <f>[1]PL!U13</f>
        <v>51017.711374455008</v>
      </c>
      <c r="L74" s="5">
        <f>[1]PL!V13</f>
        <v>35144.633280962706</v>
      </c>
      <c r="M74" s="17">
        <f>[1]PL!W13</f>
        <v>47037.662011091204</v>
      </c>
      <c r="N74" s="17">
        <f t="shared" si="20"/>
        <v>31228638.687748484</v>
      </c>
      <c r="O74" s="38">
        <f>(N74/12)/(440*1000)</f>
        <v>5.9145149029826669</v>
      </c>
      <c r="Q74" s="63"/>
      <c r="R74" s="85"/>
    </row>
    <row r="75" spans="1:18" x14ac:dyDescent="0.2">
      <c r="A75" s="8" t="s">
        <v>30</v>
      </c>
      <c r="B75" s="5">
        <f>[1]PL!L14</f>
        <v>129256.07745329301</v>
      </c>
      <c r="C75" s="5">
        <f>[1]PL!M14</f>
        <v>134797.344923169</v>
      </c>
      <c r="D75" s="5">
        <f>[1]PL!N14</f>
        <v>18055.661664777501</v>
      </c>
      <c r="E75" s="5">
        <f>[1]PL!O14</f>
        <v>47379.689484864008</v>
      </c>
      <c r="F75" s="5">
        <f>[1]PL!P14</f>
        <v>413356.66374859307</v>
      </c>
      <c r="G75" s="5">
        <f>[1]PL!Q14</f>
        <v>4347143.6188449999</v>
      </c>
      <c r="H75" s="5">
        <f>[1]PL!R14</f>
        <v>12824357.126715502</v>
      </c>
      <c r="I75" s="5">
        <f>[1]PL!S14</f>
        <v>13780574.0896479</v>
      </c>
      <c r="J75" s="5">
        <f>[1]PL!T14</f>
        <v>745704.96285634104</v>
      </c>
      <c r="K75" s="5">
        <f>[1]PL!U14</f>
        <v>63179.788235184504</v>
      </c>
      <c r="L75" s="5">
        <f>[1]PL!V14</f>
        <v>42436.080323448201</v>
      </c>
      <c r="M75" s="17">
        <f>[1]PL!W14</f>
        <v>54904.824083640109</v>
      </c>
      <c r="N75" s="17">
        <f t="shared" si="20"/>
        <v>32601145.927981712</v>
      </c>
      <c r="O75" s="38">
        <f>(N75/12)/(450*1000)</f>
        <v>6.0372492459225393</v>
      </c>
      <c r="Q75" s="63"/>
      <c r="R75" s="85"/>
    </row>
    <row r="76" spans="1:18" x14ac:dyDescent="0.2">
      <c r="A76" s="8" t="s">
        <v>32</v>
      </c>
      <c r="B76" s="5">
        <f>[1]PL!L15</f>
        <v>102808.77818723401</v>
      </c>
      <c r="C76" s="5">
        <f>[1]PL!M15</f>
        <v>108451.42840553902</v>
      </c>
      <c r="D76" s="5">
        <f>[1]PL!N15</f>
        <v>11988.018192232501</v>
      </c>
      <c r="E76" s="5">
        <f>[1]PL!O15</f>
        <v>29670.720351275202</v>
      </c>
      <c r="F76" s="5">
        <f>[1]PL!P15</f>
        <v>320982.12555154203</v>
      </c>
      <c r="G76" s="5">
        <f>[1]PL!Q15</f>
        <v>3183641.3483427204</v>
      </c>
      <c r="H76" s="5">
        <f>[1]PL!R15</f>
        <v>9755724.4239181206</v>
      </c>
      <c r="I76" s="5">
        <f>[1]PL!S15</f>
        <v>10477971.833963901</v>
      </c>
      <c r="J76" s="5">
        <f>[1]PL!T15</f>
        <v>502310.34373733803</v>
      </c>
      <c r="K76" s="5">
        <f>[1]PL!U15</f>
        <v>37545.999255666604</v>
      </c>
      <c r="L76" s="5">
        <f>[1]PL!V15</f>
        <v>30796.857929060305</v>
      </c>
      <c r="M76" s="17">
        <f>[1]PL!W15</f>
        <v>41796.331601393504</v>
      </c>
      <c r="N76" s="17">
        <f t="shared" si="20"/>
        <v>24603688.209436025</v>
      </c>
      <c r="O76" s="38">
        <f>(N76/12)/(355*1000)</f>
        <v>5.7755136641868603</v>
      </c>
      <c r="Q76" s="63"/>
      <c r="R76" s="85"/>
    </row>
    <row r="77" spans="1:18" x14ac:dyDescent="0.2">
      <c r="A77" s="25" t="s">
        <v>33</v>
      </c>
      <c r="B77" s="20">
        <f>[1]PL!L16</f>
        <v>192334.22553313003</v>
      </c>
      <c r="C77" s="21">
        <f>[1]PL!M16</f>
        <v>197981.68128022301</v>
      </c>
      <c r="D77" s="21">
        <f>[1]PL!N16</f>
        <v>36067.5804837713</v>
      </c>
      <c r="E77" s="21">
        <f>[1]PL!O16</f>
        <v>85923.788835431405</v>
      </c>
      <c r="F77" s="21">
        <f>[1]PL!P16</f>
        <v>578545.91791053209</v>
      </c>
      <c r="G77" s="21">
        <f>[1]PL!Q16</f>
        <v>5184208.9949808503</v>
      </c>
      <c r="H77" s="21">
        <f>[1]PL!R16</f>
        <v>14751716.827443002</v>
      </c>
      <c r="I77" s="21">
        <f>[1]PL!S16</f>
        <v>15838511.725463701</v>
      </c>
      <c r="J77" s="21">
        <f>[1]PL!T16</f>
        <v>962012.05625839205</v>
      </c>
      <c r="K77" s="21">
        <f>[1]PL!U16</f>
        <v>113569.29154962701</v>
      </c>
      <c r="L77" s="21">
        <f>[1]PL!V16</f>
        <v>73209.884927073203</v>
      </c>
      <c r="M77" s="31">
        <f>[1]PL!W16</f>
        <v>87989.141706978902</v>
      </c>
      <c r="N77" s="21">
        <f t="shared" si="20"/>
        <v>38102071.116372719</v>
      </c>
      <c r="O77" s="39">
        <f>(N77/12)/(510*1000)</f>
        <v>6.2258286137863923</v>
      </c>
      <c r="Q77" s="63"/>
      <c r="R77" s="85"/>
    </row>
    <row r="78" spans="1:18" x14ac:dyDescent="0.2">
      <c r="A78" s="19" t="s">
        <v>36</v>
      </c>
      <c r="B78" s="5">
        <f t="shared" ref="B78:N78" si="21">SUM(B72:B77)</f>
        <v>880330.6306676321</v>
      </c>
      <c r="C78" s="5">
        <f t="shared" si="21"/>
        <v>924126.52558800508</v>
      </c>
      <c r="D78" s="5">
        <f t="shared" si="21"/>
        <v>119009.09343264482</v>
      </c>
      <c r="E78" s="5">
        <f t="shared" si="21"/>
        <v>286789.09583809302</v>
      </c>
      <c r="F78" s="5">
        <f t="shared" si="21"/>
        <v>2509042.9688384486</v>
      </c>
      <c r="G78" s="5">
        <f t="shared" si="21"/>
        <v>27636757.967879761</v>
      </c>
      <c r="H78" s="5">
        <f t="shared" si="21"/>
        <v>79666374.066538334</v>
      </c>
      <c r="I78" s="5">
        <f t="shared" si="21"/>
        <v>85505263.790140703</v>
      </c>
      <c r="J78" s="5">
        <f t="shared" si="21"/>
        <v>4609177.5833809273</v>
      </c>
      <c r="K78" s="5">
        <f t="shared" si="21"/>
        <v>332269.17103956774</v>
      </c>
      <c r="L78" s="5">
        <f t="shared" si="21"/>
        <v>274657.44347008748</v>
      </c>
      <c r="M78" s="17">
        <f t="shared" si="21"/>
        <v>297204.58003282908</v>
      </c>
      <c r="N78" s="4">
        <f t="shared" si="21"/>
        <v>203041002.91684705</v>
      </c>
      <c r="O78" s="40">
        <f>(SUM(N72:N77)/12)/(2833*1000)</f>
        <v>5.9724968501249274</v>
      </c>
      <c r="Q78" s="63"/>
      <c r="R78" s="63"/>
    </row>
    <row r="79" spans="1:18" x14ac:dyDescent="0.2">
      <c r="A79" s="8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4"/>
      <c r="O79" s="8"/>
      <c r="Q79" s="85"/>
      <c r="R79" s="85"/>
    </row>
    <row r="80" spans="1:18" x14ac:dyDescent="0.2">
      <c r="A80" s="8" t="s">
        <v>13</v>
      </c>
      <c r="B80" s="5">
        <v>-3666.3485999999998</v>
      </c>
      <c r="C80" s="5">
        <v>-3665.3485999999998</v>
      </c>
      <c r="D80" s="5">
        <v>-3664.3485999999998</v>
      </c>
      <c r="E80" s="5">
        <v>-3663.3485999999998</v>
      </c>
      <c r="F80" s="5">
        <f>-3662.3486-90500</f>
        <v>-94162.348599999998</v>
      </c>
      <c r="G80" s="5">
        <f>-3661.3486-90000</f>
        <v>-93661.348599999998</v>
      </c>
      <c r="H80" s="5">
        <f>-3660.3486-89500</f>
        <v>-93160.348599999998</v>
      </c>
      <c r="I80" s="5">
        <f>-3659.3486-88000</f>
        <v>-91659.348599999998</v>
      </c>
      <c r="J80" s="5">
        <f>-3658.3486-87000</f>
        <v>-90658.348599999998</v>
      </c>
      <c r="K80" s="5">
        <v>-3657.3485999999998</v>
      </c>
      <c r="L80" s="5">
        <v>-3656.3485999999998</v>
      </c>
      <c r="M80" s="17">
        <v>-3655.3485999999998</v>
      </c>
      <c r="N80" s="17">
        <f>SUM(B80:M80)</f>
        <v>-488930.18320000009</v>
      </c>
      <c r="O80" s="8"/>
      <c r="Q80" s="63"/>
      <c r="R80" s="63"/>
    </row>
    <row r="81" spans="1:18" x14ac:dyDescent="0.2">
      <c r="A81" s="11" t="s">
        <v>59</v>
      </c>
      <c r="B81" s="5">
        <f>[1]PL!L24</f>
        <v>319086.16529999999</v>
      </c>
      <c r="C81" s="5">
        <f>[1]PL!M24</f>
        <v>277113.5135</v>
      </c>
      <c r="D81" s="5">
        <f>[1]PL!N24</f>
        <v>220124.56330000001</v>
      </c>
      <c r="E81" s="5">
        <f>[1]PL!O24</f>
        <v>162504.4645</v>
      </c>
      <c r="F81" s="5">
        <f>[1]PL!P24</f>
        <v>185641.4007</v>
      </c>
      <c r="G81" s="5">
        <f>[1]PL!Q24</f>
        <v>220660.00290000002</v>
      </c>
      <c r="H81" s="5">
        <f>[1]PL!R24</f>
        <v>250407.99290000001</v>
      </c>
      <c r="I81" s="5">
        <f>[1]PL!S24</f>
        <v>209034.18480000002</v>
      </c>
      <c r="J81" s="5">
        <f>[1]PL!T24</f>
        <v>81537.515100000004</v>
      </c>
      <c r="K81" s="5">
        <f>[1]PL!U24</f>
        <v>34697.347600000001</v>
      </c>
      <c r="L81" s="5">
        <f>[1]PL!V24</f>
        <v>2901.9219000000003</v>
      </c>
      <c r="M81" s="17">
        <f>[1]PL!W24</f>
        <v>-10718.3809</v>
      </c>
      <c r="N81" s="17">
        <f>SUM(B81:M81)</f>
        <v>1952990.6915999998</v>
      </c>
      <c r="O81" s="8"/>
      <c r="Q81" s="63"/>
      <c r="R81" s="63"/>
    </row>
    <row r="82" spans="1:18" x14ac:dyDescent="0.2">
      <c r="A82" s="11" t="s">
        <v>58</v>
      </c>
      <c r="B82" s="5">
        <f>[1]PL!L25</f>
        <v>3012443.3547</v>
      </c>
      <c r="C82" s="5">
        <f>[1]PL!M25</f>
        <v>3872625.9429000001</v>
      </c>
      <c r="D82" s="5">
        <f>[1]PL!N25</f>
        <v>1875521.5565000002</v>
      </c>
      <c r="E82" s="5">
        <f>[1]PL!O25</f>
        <v>1214275.1313</v>
      </c>
      <c r="F82" s="5">
        <f>[1]PL!P25</f>
        <v>1535250.1739000001</v>
      </c>
      <c r="G82" s="5">
        <f>[1]PL!Q25</f>
        <v>2023902.2192000002</v>
      </c>
      <c r="H82" s="5">
        <f>[1]PL!R25</f>
        <v>2759065.0194999999</v>
      </c>
      <c r="I82" s="5">
        <f>[1]PL!S25</f>
        <v>2721528.3359000003</v>
      </c>
      <c r="J82" s="5">
        <f>[1]PL!T25</f>
        <v>1424060.4678</v>
      </c>
      <c r="K82" s="5">
        <f>[1]PL!U25</f>
        <v>959046.96189999999</v>
      </c>
      <c r="L82" s="5">
        <f>[1]PL!V25</f>
        <v>1200508.1821000001</v>
      </c>
      <c r="M82" s="17">
        <f>[1]PL!W25</f>
        <v>1463775.1996000002</v>
      </c>
      <c r="N82" s="17">
        <f>SUM(B82:M82)</f>
        <v>24062002.545300003</v>
      </c>
      <c r="O82" s="8"/>
      <c r="Q82" s="63"/>
      <c r="R82" s="63"/>
    </row>
    <row r="83" spans="1:18" x14ac:dyDescent="0.2">
      <c r="A83" s="72" t="s">
        <v>61</v>
      </c>
      <c r="B83" s="5">
        <f>[1]PL!L26</f>
        <v>-1024205.8509386601</v>
      </c>
      <c r="C83" s="5">
        <f>[1]PL!M26</f>
        <v>-811878.65037213208</v>
      </c>
      <c r="D83" s="5">
        <f>[1]PL!N26</f>
        <v>-211616.06102823402</v>
      </c>
      <c r="E83" s="5">
        <f>[1]PL!O26</f>
        <v>-283515.08490702102</v>
      </c>
      <c r="F83" s="5">
        <f>[1]PL!P26</f>
        <v>-664313.18992592802</v>
      </c>
      <c r="G83" s="5">
        <f>[1]PL!Q26</f>
        <v>-1074017.3135031902</v>
      </c>
      <c r="H83" s="5">
        <f>[1]PL!R26</f>
        <v>-16988362.831785101</v>
      </c>
      <c r="I83" s="5">
        <f>[1]PL!S26</f>
        <v>-18494613.528853301</v>
      </c>
      <c r="J83" s="5">
        <f>[1]PL!T26</f>
        <v>-228327.11491025501</v>
      </c>
      <c r="K83" s="5">
        <f>[1]PL!U26</f>
        <v>-250686.12494999802</v>
      </c>
      <c r="L83" s="5">
        <f>[1]PL!V26</f>
        <v>-174566.25847544</v>
      </c>
      <c r="M83" s="17">
        <f>[1]PL!W26</f>
        <v>-163070.16151729101</v>
      </c>
      <c r="N83" s="17">
        <f t="shared" ref="N83:N88" si="22">SUM(B83:M83)</f>
        <v>-40369172.171166554</v>
      </c>
      <c r="O83" s="8"/>
      <c r="Q83" s="63"/>
      <c r="R83" s="63"/>
    </row>
    <row r="84" spans="1:18" x14ac:dyDescent="0.2">
      <c r="A84" s="72" t="s">
        <v>60</v>
      </c>
      <c r="B84" s="5">
        <f>[1]PL!L27</f>
        <v>-512102.92546932906</v>
      </c>
      <c r="C84" s="5">
        <f>[1]PL!M27</f>
        <v>-405939.32518606604</v>
      </c>
      <c r="D84" s="5">
        <f>[1]PL!N27</f>
        <v>-70538.687009411209</v>
      </c>
      <c r="E84" s="5">
        <f>[1]PL!O27</f>
        <v>-94505.028302340303</v>
      </c>
      <c r="F84" s="5">
        <f>[1]PL!P27</f>
        <v>-221437.72997530902</v>
      </c>
      <c r="G84" s="5">
        <f>[1]PL!Q27</f>
        <v>-358005.77116773004</v>
      </c>
      <c r="H84" s="5">
        <f>[1]PL!R27</f>
        <v>-8494181.4158925302</v>
      </c>
      <c r="I84" s="5">
        <f>[1]PL!S27</f>
        <v>-9247306.7644266617</v>
      </c>
      <c r="J84" s="5">
        <f>[1]PL!T27</f>
        <v>-76109.038303418303</v>
      </c>
      <c r="K84" s="5">
        <f>[1]PL!U27</f>
        <v>-83562.041649999315</v>
      </c>
      <c r="L84" s="5">
        <f>[1]PL!V27</f>
        <v>-58188.752825146708</v>
      </c>
      <c r="M84" s="17">
        <f>[1]PL!W27</f>
        <v>-54356.720505763806</v>
      </c>
      <c r="N84" s="17">
        <f t="shared" si="22"/>
        <v>-19676234.200713709</v>
      </c>
      <c r="O84" s="8"/>
      <c r="Q84" s="63"/>
      <c r="R84" s="63"/>
    </row>
    <row r="85" spans="1:18" x14ac:dyDescent="0.2">
      <c r="A85" s="72" t="s">
        <v>63</v>
      </c>
      <c r="B85" s="5">
        <f>[1]PL!L28</f>
        <v>0</v>
      </c>
      <c r="C85" s="5">
        <f>[1]PL!M28</f>
        <v>0</v>
      </c>
      <c r="D85" s="5">
        <f>[1]PL!N28</f>
        <v>0</v>
      </c>
      <c r="E85" s="5">
        <f>[1]PL!O28</f>
        <v>0</v>
      </c>
      <c r="F85" s="5">
        <f>[1]PL!P28</f>
        <v>459150.50133326004</v>
      </c>
      <c r="G85" s="5">
        <f>[1]PL!Q28</f>
        <v>3113093.6623280863</v>
      </c>
      <c r="H85" s="5">
        <f>[1]PL!R28</f>
        <v>417746.62701110845</v>
      </c>
      <c r="I85" s="5">
        <f>[1]PL!S28</f>
        <v>454785.57857835985</v>
      </c>
      <c r="J85" s="5">
        <f>[1]PL!T28</f>
        <v>221179.72010841462</v>
      </c>
      <c r="K85" s="5">
        <f>[1]PL!U28</f>
        <v>0</v>
      </c>
      <c r="L85" s="5">
        <f>[1]PL!V28</f>
        <v>0</v>
      </c>
      <c r="M85" s="17">
        <f>[1]PL!W28</f>
        <v>0</v>
      </c>
      <c r="N85" s="17">
        <f t="shared" si="22"/>
        <v>4665956.0893592294</v>
      </c>
      <c r="O85" s="8"/>
      <c r="Q85" s="63"/>
      <c r="R85" s="63"/>
    </row>
    <row r="86" spans="1:18" x14ac:dyDescent="0.2">
      <c r="A86" s="11" t="s">
        <v>62</v>
      </c>
      <c r="B86" s="5">
        <f>SUM([1]PL!L$29:L$32)</f>
        <v>-326664.33476491808</v>
      </c>
      <c r="C86" s="5">
        <f>SUM([1]PL!M$29:M$32)</f>
        <v>-263784.74327631504</v>
      </c>
      <c r="D86" s="5">
        <f>SUM([1]PL!N$29:N$32)</f>
        <v>99959.867475596417</v>
      </c>
      <c r="E86" s="5">
        <f>SUM([1]PL!O$29:O$32)</f>
        <v>124694.13456558801</v>
      </c>
      <c r="F86" s="5">
        <f>SUM([1]PL!P$29:P$32)</f>
        <v>-74280.273118786165</v>
      </c>
      <c r="G86" s="5">
        <f>SUM([1]PL!Q$29:Q$32)</f>
        <v>548194.18680639786</v>
      </c>
      <c r="H86" s="5">
        <f>SUM([1]PL!R$29:R$32)</f>
        <v>-6796645.7993140463</v>
      </c>
      <c r="I86" s="5">
        <f>SUM([1]PL!S$29:S$32)</f>
        <v>-7392396.5103341173</v>
      </c>
      <c r="J86" s="5">
        <f>SUM([1]PL!T$29:T$32)</f>
        <v>62572.637398789026</v>
      </c>
      <c r="K86" s="5">
        <f>SUM([1]PL!U$29:U$32)</f>
        <v>-56541.542470146152</v>
      </c>
      <c r="L86" s="5">
        <f>SUM([1]PL!V$29:V$32)</f>
        <v>-56213.132898447657</v>
      </c>
      <c r="M86" s="17">
        <f>SUM([1]PL!W$29:W$32)</f>
        <v>-55875.32242551542</v>
      </c>
      <c r="N86" s="17">
        <f t="shared" si="22"/>
        <v>-14186980.832355922</v>
      </c>
      <c r="O86" s="8"/>
      <c r="Q86" s="63"/>
      <c r="R86" s="63"/>
    </row>
    <row r="87" spans="1:18" x14ac:dyDescent="0.2">
      <c r="A87" s="35" t="s">
        <v>53</v>
      </c>
      <c r="B87" s="21">
        <f>[1]PL!L18</f>
        <v>-69935.340933610903</v>
      </c>
      <c r="C87" s="21">
        <f>[1]PL!M18</f>
        <v>-69544.1769374828</v>
      </c>
      <c r="D87" s="21">
        <f>[1]PL!N18</f>
        <v>-69137.336641258109</v>
      </c>
      <c r="E87" s="21">
        <f>[1]PL!O18</f>
        <v>-68741.157491345308</v>
      </c>
      <c r="F87" s="21">
        <f>[1]PL!P18</f>
        <v>-68323.979106937913</v>
      </c>
      <c r="G87" s="21">
        <f>[1]PL!Q18</f>
        <v>0</v>
      </c>
      <c r="H87" s="21">
        <f>[1]PL!R18</f>
        <v>0</v>
      </c>
      <c r="I87" s="21">
        <f>[1]PL!S18</f>
        <v>0</v>
      </c>
      <c r="J87" s="21">
        <f>[1]PL!T18</f>
        <v>0</v>
      </c>
      <c r="K87" s="21">
        <f>[1]PL!U18</f>
        <v>0</v>
      </c>
      <c r="L87" s="21">
        <f>[1]PL!V18</f>
        <v>0</v>
      </c>
      <c r="M87" s="31">
        <f>[1]PL!W18</f>
        <v>0</v>
      </c>
      <c r="N87" s="31">
        <f t="shared" si="22"/>
        <v>-345681.99111063499</v>
      </c>
      <c r="O87" s="8"/>
      <c r="Q87" s="63"/>
      <c r="R87" s="63"/>
    </row>
    <row r="88" spans="1:18" x14ac:dyDescent="0.2">
      <c r="A88" s="43" t="s">
        <v>37</v>
      </c>
      <c r="B88" s="5">
        <f t="shared" ref="B88:M88" si="23">SUM(B80:B87)</f>
        <v>1394954.7192934817</v>
      </c>
      <c r="C88" s="5">
        <f t="shared" si="23"/>
        <v>2594927.2120280047</v>
      </c>
      <c r="D88" s="5">
        <f t="shared" si="23"/>
        <v>1840649.5539966936</v>
      </c>
      <c r="E88" s="5">
        <f t="shared" si="23"/>
        <v>1051049.1110648816</v>
      </c>
      <c r="F88" s="5">
        <f t="shared" si="23"/>
        <v>1057524.5552062988</v>
      </c>
      <c r="G88" s="5">
        <f t="shared" si="23"/>
        <v>4380165.6379635641</v>
      </c>
      <c r="H88" s="5">
        <f t="shared" si="23"/>
        <v>-28945130.75618057</v>
      </c>
      <c r="I88" s="5">
        <f t="shared" si="23"/>
        <v>-31840628.052935719</v>
      </c>
      <c r="J88" s="5">
        <f t="shared" si="23"/>
        <v>1394255.8385935302</v>
      </c>
      <c r="K88" s="5">
        <f t="shared" si="23"/>
        <v>599297.25182985642</v>
      </c>
      <c r="L88" s="5">
        <f t="shared" si="23"/>
        <v>910785.61120096582</v>
      </c>
      <c r="M88" s="5">
        <f t="shared" si="23"/>
        <v>1176099.26565143</v>
      </c>
      <c r="N88" s="4">
        <f t="shared" si="22"/>
        <v>-44386050.052287586</v>
      </c>
      <c r="O88" s="8"/>
      <c r="Q88" s="63"/>
      <c r="R88" s="63"/>
    </row>
    <row r="89" spans="1:18" x14ac:dyDescent="0.2">
      <c r="A89" s="8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4"/>
      <c r="O89" s="8"/>
      <c r="Q89" s="63"/>
      <c r="R89" s="63"/>
    </row>
    <row r="90" spans="1:18" x14ac:dyDescent="0.2">
      <c r="A90" s="8" t="s">
        <v>40</v>
      </c>
      <c r="B90" s="5">
        <f>[1]PL!L17</f>
        <v>-4698037.0925810654</v>
      </c>
      <c r="C90" s="5">
        <f>[1]PL!M17</f>
        <v>-4699273.3838051027</v>
      </c>
      <c r="D90" s="5">
        <f>[1]PL!N17</f>
        <v>-4698995.492825578</v>
      </c>
      <c r="E90" s="5">
        <f>[1]PL!O17</f>
        <v>-4698559.3699209075</v>
      </c>
      <c r="F90" s="5">
        <f>[1]PL!P17</f>
        <v>-4693721.7697620941</v>
      </c>
      <c r="G90" s="5">
        <f>[1]PL!Q17</f>
        <v>-4663425.4243591186</v>
      </c>
      <c r="H90" s="5">
        <f>[1]PL!R17</f>
        <v>-4614518.9432906946</v>
      </c>
      <c r="I90" s="5">
        <f>[1]PL!S17</f>
        <v>-4607228.7387937382</v>
      </c>
      <c r="J90" s="5">
        <f>[1]PL!T17</f>
        <v>-4673240.6187119344</v>
      </c>
      <c r="K90" s="5">
        <f>[1]PL!U17</f>
        <v>-4675582.9864987005</v>
      </c>
      <c r="L90" s="5">
        <f>[1]PL!V17</f>
        <v>-4673875.5621312968</v>
      </c>
      <c r="M90" s="17">
        <f>[1]PL!W17</f>
        <v>-4669902.5982002616</v>
      </c>
      <c r="N90" s="17">
        <f t="shared" ref="N90:N96" si="24">SUM(B90:M90)</f>
        <v>-56066361.980880484</v>
      </c>
      <c r="O90" s="40">
        <f t="shared" ref="O90:O95" si="25">(N90/12)/(2820*1000)</f>
        <v>-1.6568073871418583</v>
      </c>
      <c r="Q90" s="63"/>
      <c r="R90" s="63"/>
    </row>
    <row r="91" spans="1:18" x14ac:dyDescent="0.2">
      <c r="A91" s="11" t="s">
        <v>41</v>
      </c>
      <c r="B91" s="5">
        <f>[1]PL!L19</f>
        <v>-2381661.080106914</v>
      </c>
      <c r="C91" s="5">
        <f>[1]PL!M19</f>
        <v>-2368695.3104021843</v>
      </c>
      <c r="D91" s="5">
        <f>[1]PL!N19</f>
        <v>-2354484.8950839643</v>
      </c>
      <c r="E91" s="5">
        <f>[1]PL!O19</f>
        <v>-2340833.2980559333</v>
      </c>
      <c r="F91" s="5">
        <f>[1]PL!P19</f>
        <v>-2326785.8525420679</v>
      </c>
      <c r="G91" s="5">
        <f>[1]PL!Q19</f>
        <v>-2313284.3095177449</v>
      </c>
      <c r="H91" s="5">
        <f>[1]PL!R19</f>
        <v>-2299407.842746356</v>
      </c>
      <c r="I91" s="5">
        <f>[1]PL!S19</f>
        <v>-2285605.1168055395</v>
      </c>
      <c r="J91" s="5">
        <f>[1]PL!T19</f>
        <v>-2272346.3055613632</v>
      </c>
      <c r="K91" s="5">
        <f>[1]PL!U19</f>
        <v>-2258726.9665854773</v>
      </c>
      <c r="L91" s="5">
        <f>[1]PL!V19</f>
        <v>-2245607.6294879476</v>
      </c>
      <c r="M91" s="17">
        <f>[1]PL!W19</f>
        <v>-2232112.9807813764</v>
      </c>
      <c r="N91" s="17">
        <f t="shared" si="24"/>
        <v>-27679551.587676868</v>
      </c>
      <c r="O91" s="40">
        <f t="shared" si="25"/>
        <v>-0.81795365211811077</v>
      </c>
      <c r="Q91" s="63"/>
      <c r="R91" s="63"/>
    </row>
    <row r="92" spans="1:18" x14ac:dyDescent="0.2">
      <c r="A92" s="11" t="s">
        <v>42</v>
      </c>
      <c r="B92" s="5">
        <f>[1]PL!L20</f>
        <v>-891065.81491224398</v>
      </c>
      <c r="C92" s="5">
        <f>[1]PL!M20</f>
        <v>-886214.85007748613</v>
      </c>
      <c r="D92" s="5">
        <f>[1]PL!N20</f>
        <v>-880898.21816392813</v>
      </c>
      <c r="E92" s="5">
        <f>[1]PL!O20</f>
        <v>-875790.66044623312</v>
      </c>
      <c r="F92" s="5">
        <f>[1]PL!P20</f>
        <v>-870535.0014489051</v>
      </c>
      <c r="G92" s="5">
        <f>[1]PL!Q20</f>
        <v>-865483.58437784121</v>
      </c>
      <c r="H92" s="5">
        <f>[1]PL!R20</f>
        <v>-860291.89473105408</v>
      </c>
      <c r="I92" s="5">
        <f>[1]PL!S20</f>
        <v>-855127.79420424323</v>
      </c>
      <c r="J92" s="5">
        <f>[1]PL!T20</f>
        <v>-850167.19189825514</v>
      </c>
      <c r="K92" s="5">
        <f>[1]PL!U20</f>
        <v>-845071.7030881641</v>
      </c>
      <c r="L92" s="5">
        <f>[1]PL!V20</f>
        <v>-840163.28312045196</v>
      </c>
      <c r="M92" s="17">
        <f>[1]PL!W20</f>
        <v>-835114.44546377915</v>
      </c>
      <c r="N92" s="17">
        <f t="shared" si="24"/>
        <v>-10355924.441932585</v>
      </c>
      <c r="O92" s="40">
        <f t="shared" si="25"/>
        <v>-0.30602613599091566</v>
      </c>
      <c r="Q92" s="63"/>
      <c r="R92" s="63"/>
    </row>
    <row r="93" spans="1:18" x14ac:dyDescent="0.2">
      <c r="A93" s="11" t="s">
        <v>43</v>
      </c>
      <c r="B93" s="5">
        <f>[1]PL!L21</f>
        <v>-381562.79402750044</v>
      </c>
      <c r="C93" s="5">
        <f>[1]PL!M21</f>
        <v>-379485.56508985866</v>
      </c>
      <c r="D93" s="5">
        <f>[1]PL!N21</f>
        <v>-377208.93311295786</v>
      </c>
      <c r="E93" s="5">
        <f>[1]PL!O21</f>
        <v>-375021.82868048351</v>
      </c>
      <c r="F93" s="5">
        <f>[1]PL!P21</f>
        <v>-372771.30588192545</v>
      </c>
      <c r="G93" s="5">
        <f>[1]PL!Q21</f>
        <v>-370608.24140433304</v>
      </c>
      <c r="H93" s="5">
        <f>[1]PL!R21</f>
        <v>-368385.11088557646</v>
      </c>
      <c r="I93" s="5">
        <f>[1]PL!S21</f>
        <v>-366173.79428844841</v>
      </c>
      <c r="J93" s="5">
        <f>[1]PL!T21</f>
        <v>-364049.61755059619</v>
      </c>
      <c r="K93" s="5">
        <f>[1]PL!U21</f>
        <v>-361867.68113829417</v>
      </c>
      <c r="L93" s="5">
        <f>[1]PL!V21</f>
        <v>-359765.84937031806</v>
      </c>
      <c r="M93" s="17">
        <f>[1]PL!W21</f>
        <v>-357603.88942231919</v>
      </c>
      <c r="N93" s="17">
        <f t="shared" si="24"/>
        <v>-4434504.6108526113</v>
      </c>
      <c r="O93" s="40">
        <f t="shared" si="25"/>
        <v>-0.13104328046254762</v>
      </c>
      <c r="Q93" s="85"/>
      <c r="R93" s="85"/>
    </row>
    <row r="94" spans="1:18" x14ac:dyDescent="0.2">
      <c r="A94" s="11" t="s">
        <v>44</v>
      </c>
      <c r="B94" s="5">
        <f>[1]PL!L22</f>
        <v>0</v>
      </c>
      <c r="C94" s="5">
        <f>[1]PL!M22</f>
        <v>0</v>
      </c>
      <c r="D94" s="5">
        <f>[1]PL!N22</f>
        <v>0</v>
      </c>
      <c r="E94" s="5">
        <f>[1]PL!O22</f>
        <v>0</v>
      </c>
      <c r="F94" s="5">
        <f>[1]PL!P22</f>
        <v>0</v>
      </c>
      <c r="G94" s="5">
        <f>[1]PL!Q22</f>
        <v>0</v>
      </c>
      <c r="H94" s="5">
        <f>[1]PL!R22</f>
        <v>0</v>
      </c>
      <c r="I94" s="5">
        <f>[1]PL!S22</f>
        <v>0</v>
      </c>
      <c r="J94" s="5">
        <f>[1]PL!T22</f>
        <v>0</v>
      </c>
      <c r="K94" s="5">
        <f>[1]PL!U22</f>
        <v>0</v>
      </c>
      <c r="L94" s="5">
        <f>[1]PL!V22</f>
        <v>0</v>
      </c>
      <c r="M94" s="17">
        <f>[1]PL!W22</f>
        <v>0</v>
      </c>
      <c r="N94" s="17">
        <f t="shared" si="24"/>
        <v>0</v>
      </c>
      <c r="O94" s="40">
        <f t="shared" si="25"/>
        <v>0</v>
      </c>
      <c r="Q94" s="63"/>
      <c r="R94" s="63"/>
    </row>
    <row r="95" spans="1:18" x14ac:dyDescent="0.2">
      <c r="A95" s="35" t="s">
        <v>45</v>
      </c>
      <c r="B95" s="21">
        <f>[1]PL!L23</f>
        <v>-506890.28271633032</v>
      </c>
      <c r="C95" s="21">
        <f>[1]PL!M23</f>
        <v>-504130.77057324647</v>
      </c>
      <c r="D95" s="21">
        <f>[1]PL!N23</f>
        <v>-501106.35979610658</v>
      </c>
      <c r="E95" s="21">
        <f>[1]PL!O23</f>
        <v>-498200.88263360551</v>
      </c>
      <c r="F95" s="21">
        <f>[1]PL!P23</f>
        <v>-495211.15681264747</v>
      </c>
      <c r="G95" s="21">
        <f>[1]PL!Q23</f>
        <v>-492337.61572912853</v>
      </c>
      <c r="H95" s="21">
        <f>[1]PL!R23</f>
        <v>-489384.27941121004</v>
      </c>
      <c r="I95" s="21">
        <f>[1]PL!S23</f>
        <v>-486446.63739621604</v>
      </c>
      <c r="J95" s="21">
        <f>[1]PL!T23</f>
        <v>-483624.75705556723</v>
      </c>
      <c r="K95" s="21">
        <f>[1]PL!U23</f>
        <v>-480726.14539265732</v>
      </c>
      <c r="L95" s="21">
        <f>[1]PL!V23</f>
        <v>-477933.94941399182</v>
      </c>
      <c r="M95" s="31">
        <f>[1]PL!W23</f>
        <v>-475061.87565204338</v>
      </c>
      <c r="N95" s="31">
        <f t="shared" si="24"/>
        <v>-5891054.7125827502</v>
      </c>
      <c r="O95" s="39">
        <f t="shared" si="25"/>
        <v>-0.17408554115197253</v>
      </c>
      <c r="P95" s="41"/>
      <c r="Q95" s="63"/>
      <c r="R95" s="63"/>
    </row>
    <row r="96" spans="1:18" x14ac:dyDescent="0.2">
      <c r="A96" s="43" t="s">
        <v>38</v>
      </c>
      <c r="B96" s="5">
        <f t="shared" ref="B96:M96" si="26">SUM(B90:B95)</f>
        <v>-8859217.0643440541</v>
      </c>
      <c r="C96" s="5">
        <f t="shared" si="26"/>
        <v>-8837799.8799478784</v>
      </c>
      <c r="D96" s="5">
        <f t="shared" si="26"/>
        <v>-8812693.8989825342</v>
      </c>
      <c r="E96" s="5">
        <f t="shared" si="26"/>
        <v>-8788406.0397371631</v>
      </c>
      <c r="F96" s="5">
        <f t="shared" si="26"/>
        <v>-8759025.0864476413</v>
      </c>
      <c r="G96" s="5">
        <f t="shared" si="26"/>
        <v>-8705139.1753881667</v>
      </c>
      <c r="H96" s="5">
        <f t="shared" si="26"/>
        <v>-8631988.0710648913</v>
      </c>
      <c r="I96" s="5">
        <f t="shared" si="26"/>
        <v>-8600582.0814881846</v>
      </c>
      <c r="J96" s="5">
        <f t="shared" si="26"/>
        <v>-8643428.490777716</v>
      </c>
      <c r="K96" s="5">
        <f t="shared" si="26"/>
        <v>-8621975.4827032946</v>
      </c>
      <c r="L96" s="5">
        <f t="shared" si="26"/>
        <v>-8597346.2735240068</v>
      </c>
      <c r="M96" s="17">
        <f t="shared" si="26"/>
        <v>-8569795.7895197794</v>
      </c>
      <c r="N96" s="10">
        <f t="shared" si="24"/>
        <v>-104427397.33392531</v>
      </c>
      <c r="O96" s="38">
        <f>SUM(O90:O95)</f>
        <v>-3.0859159968654044</v>
      </c>
      <c r="Q96" s="63"/>
      <c r="R96" s="63"/>
    </row>
    <row r="97" spans="1:18" x14ac:dyDescent="0.2">
      <c r="A97" s="33"/>
      <c r="M97" s="30"/>
      <c r="N97" s="25"/>
      <c r="O97" s="25"/>
      <c r="Q97" s="63"/>
      <c r="R97" s="63"/>
    </row>
    <row r="98" spans="1:18" x14ac:dyDescent="0.2">
      <c r="A98" s="51" t="s">
        <v>0</v>
      </c>
      <c r="B98" s="13">
        <f t="shared" ref="B98:N98" si="27">B78+B88+B96</f>
        <v>-6583931.7143829409</v>
      </c>
      <c r="C98" s="13">
        <f t="shared" si="27"/>
        <v>-5318746.1423318684</v>
      </c>
      <c r="D98" s="13">
        <f t="shared" si="27"/>
        <v>-6853035.2515531955</v>
      </c>
      <c r="E98" s="13">
        <f t="shared" si="27"/>
        <v>-7450567.8328341888</v>
      </c>
      <c r="F98" s="13">
        <f t="shared" si="27"/>
        <v>-5192457.5624028938</v>
      </c>
      <c r="G98" s="13">
        <f t="shared" si="27"/>
        <v>23311784.430455156</v>
      </c>
      <c r="H98" s="13">
        <f t="shared" si="27"/>
        <v>42089255.239292875</v>
      </c>
      <c r="I98" s="13">
        <f t="shared" si="27"/>
        <v>45064053.655716799</v>
      </c>
      <c r="J98" s="13">
        <f t="shared" si="27"/>
        <v>-2639995.0688032582</v>
      </c>
      <c r="K98" s="13">
        <f t="shared" si="27"/>
        <v>-7690409.0598338703</v>
      </c>
      <c r="L98" s="13">
        <f t="shared" si="27"/>
        <v>-7411903.218852954</v>
      </c>
      <c r="M98" s="13">
        <f t="shared" si="27"/>
        <v>-7096491.9438355202</v>
      </c>
      <c r="N98" s="13">
        <f t="shared" si="27"/>
        <v>54227555.530634165</v>
      </c>
      <c r="O98" s="39"/>
      <c r="Q98" s="63"/>
      <c r="R98" s="63"/>
    </row>
    <row r="99" spans="1:18" x14ac:dyDescent="0.2">
      <c r="Q99" s="63"/>
      <c r="R99" s="63"/>
    </row>
    <row r="100" spans="1:18" x14ac:dyDescent="0.2">
      <c r="Q100" s="63"/>
      <c r="R100" s="63"/>
    </row>
    <row r="101" spans="1:18" x14ac:dyDescent="0.2">
      <c r="Q101" s="85"/>
      <c r="R101" s="85"/>
    </row>
    <row r="102" spans="1:18" x14ac:dyDescent="0.2">
      <c r="B102" s="52">
        <v>37257</v>
      </c>
      <c r="C102" s="52">
        <v>37288</v>
      </c>
      <c r="D102" s="52">
        <v>37316</v>
      </c>
      <c r="E102" s="52">
        <v>37347</v>
      </c>
      <c r="F102" s="52">
        <v>37377</v>
      </c>
      <c r="G102" s="52">
        <v>37408</v>
      </c>
      <c r="H102" s="52">
        <v>37438</v>
      </c>
      <c r="I102" s="52">
        <v>37469</v>
      </c>
      <c r="J102" s="52">
        <v>37500</v>
      </c>
      <c r="K102" s="52">
        <v>37530</v>
      </c>
      <c r="L102" s="52">
        <v>37561</v>
      </c>
      <c r="M102" s="52">
        <v>37591</v>
      </c>
      <c r="N102" s="6" t="s">
        <v>6</v>
      </c>
      <c r="O102" s="16" t="s">
        <v>47</v>
      </c>
      <c r="Q102" s="63"/>
      <c r="R102" s="63"/>
    </row>
    <row r="103" spans="1:18" x14ac:dyDescent="0.2">
      <c r="A103" s="9" t="s">
        <v>34</v>
      </c>
      <c r="B103" s="5">
        <f>[1]PL!Y11</f>
        <v>127259.90514270001</v>
      </c>
      <c r="C103" s="5">
        <f>[1]PL!Z11</f>
        <v>130208.87959465501</v>
      </c>
      <c r="D103" s="5">
        <f>[1]PL!AA11</f>
        <v>30317.546446443004</v>
      </c>
      <c r="E103" s="5">
        <f>[1]PL!AB11</f>
        <v>80897.169504920006</v>
      </c>
      <c r="F103" s="5">
        <f>[1]PL!AC11</f>
        <v>361667.39141027303</v>
      </c>
      <c r="G103" s="5">
        <f>[1]PL!AD11</f>
        <v>3111310.2239580303</v>
      </c>
      <c r="H103" s="5">
        <f>[1]PL!AE11</f>
        <v>9398318.8109030109</v>
      </c>
      <c r="I103" s="5">
        <f>[1]PL!AF11</f>
        <v>9356609.0260606203</v>
      </c>
      <c r="J103" s="5">
        <f>[1]PL!AG11</f>
        <v>942662.82233349211</v>
      </c>
      <c r="K103" s="5">
        <f>[1]PL!AH11</f>
        <v>71842.030302003201</v>
      </c>
      <c r="L103" s="5">
        <f>[1]PL!AI11</f>
        <v>64833.678975790906</v>
      </c>
      <c r="M103" s="5">
        <f>[1]PL!AJ11</f>
        <v>50192.981156318005</v>
      </c>
      <c r="N103" s="32">
        <f t="shared" ref="N103:N108" si="28">SUM(B103:M103)</f>
        <v>23726120.46578826</v>
      </c>
      <c r="O103" s="37">
        <f>(N103/12)/(465*1000)</f>
        <v>4.2519929150158173</v>
      </c>
    </row>
    <row r="104" spans="1:18" x14ac:dyDescent="0.2">
      <c r="A104" s="8" t="s">
        <v>35</v>
      </c>
      <c r="B104" s="5">
        <f>[1]PL!Y12</f>
        <v>183782.92794371501</v>
      </c>
      <c r="C104" s="5">
        <f>[1]PL!Z12</f>
        <v>190726.82796518103</v>
      </c>
      <c r="D104" s="5">
        <f>[1]PL!AA12</f>
        <v>47002.907359119607</v>
      </c>
      <c r="E104" s="5">
        <f>[1]PL!AB12</f>
        <v>93283.74126644581</v>
      </c>
      <c r="F104" s="5">
        <f>[1]PL!AC12</f>
        <v>388259.85500588105</v>
      </c>
      <c r="G104" s="5">
        <f>[1]PL!AD12</f>
        <v>3886647.2001642501</v>
      </c>
      <c r="H104" s="5">
        <f>[1]PL!AE12</f>
        <v>11981423.298393901</v>
      </c>
      <c r="I104" s="5">
        <f>[1]PL!AF12</f>
        <v>11929624.452854201</v>
      </c>
      <c r="J104" s="5">
        <f>[1]PL!AG12</f>
        <v>1178072.94242798</v>
      </c>
      <c r="K104" s="5">
        <f>[1]PL!AH12</f>
        <v>72850.653714524611</v>
      </c>
      <c r="L104" s="5">
        <f>[1]PL!AI12</f>
        <v>84108.807159237214</v>
      </c>
      <c r="M104" s="5">
        <f>[1]PL!AJ12</f>
        <v>68431.571908356709</v>
      </c>
      <c r="N104" s="17">
        <f t="shared" si="28"/>
        <v>30104215.1861628</v>
      </c>
      <c r="O104" s="38">
        <f>(N104/12)/(600*1000)</f>
        <v>4.181140998078166</v>
      </c>
    </row>
    <row r="105" spans="1:18" x14ac:dyDescent="0.2">
      <c r="A105" s="8" t="s">
        <v>31</v>
      </c>
      <c r="B105" s="5">
        <f>[1]PL!Y13</f>
        <v>128253.00331183702</v>
      </c>
      <c r="C105" s="5">
        <f>[1]PL!Z13</f>
        <v>126967.96340356402</v>
      </c>
      <c r="D105" s="5">
        <f>[1]PL!AA13</f>
        <v>17791.480619264003</v>
      </c>
      <c r="E105" s="5">
        <f>[1]PL!AB13</f>
        <v>55254.108467222803</v>
      </c>
      <c r="F105" s="5">
        <f>[1]PL!AC13</f>
        <v>321453.02410620404</v>
      </c>
      <c r="G105" s="5">
        <f>[1]PL!AD13</f>
        <v>2686337.6159454202</v>
      </c>
      <c r="H105" s="5">
        <f>[1]PL!AE13</f>
        <v>8676992.6802740805</v>
      </c>
      <c r="I105" s="5">
        <f>[1]PL!AF13</f>
        <v>8626484.5621649604</v>
      </c>
      <c r="J105" s="5">
        <f>[1]PL!AG13</f>
        <v>797931.26161380706</v>
      </c>
      <c r="K105" s="5">
        <f>[1]PL!AH13</f>
        <v>109995.13027355501</v>
      </c>
      <c r="L105" s="5">
        <f>[1]PL!AI13</f>
        <v>68806.385681061205</v>
      </c>
      <c r="M105" s="5">
        <f>[1]PL!AJ13</f>
        <v>91014.762390315314</v>
      </c>
      <c r="N105" s="17">
        <f t="shared" si="28"/>
        <v>21707281.978251297</v>
      </c>
      <c r="O105" s="38">
        <f>(N105/12)/(440*1000)</f>
        <v>4.1112276473960794</v>
      </c>
    </row>
    <row r="106" spans="1:18" x14ac:dyDescent="0.2">
      <c r="A106" s="8" t="s">
        <v>30</v>
      </c>
      <c r="B106" s="5">
        <f>[1]PL!Y14</f>
        <v>142879.20152629301</v>
      </c>
      <c r="C106" s="5">
        <f>[1]PL!Z14</f>
        <v>141097.30138410302</v>
      </c>
      <c r="D106" s="5">
        <f>[1]PL!AA14</f>
        <v>22348.951707356704</v>
      </c>
      <c r="E106" s="5">
        <f>[1]PL!AB14</f>
        <v>63776.100283302105</v>
      </c>
      <c r="F106" s="5">
        <f>[1]PL!AC14</f>
        <v>349325.58140350302</v>
      </c>
      <c r="G106" s="5">
        <f>[1]PL!AD14</f>
        <v>2825535.9295906601</v>
      </c>
      <c r="H106" s="5">
        <f>[1]PL!AE14</f>
        <v>9009775.0237340312</v>
      </c>
      <c r="I106" s="5">
        <f>[1]PL!AF14</f>
        <v>8961323.0048140101</v>
      </c>
      <c r="J106" s="5">
        <f>[1]PL!AG14</f>
        <v>855277.62709634309</v>
      </c>
      <c r="K106" s="5">
        <f>[1]PL!AH14</f>
        <v>127043.68513614201</v>
      </c>
      <c r="L106" s="5">
        <f>[1]PL!AI14</f>
        <v>79775.152265937213</v>
      </c>
      <c r="M106" s="5">
        <f>[1]PL!AJ14</f>
        <v>102850.34230218001</v>
      </c>
      <c r="N106" s="17">
        <f t="shared" si="28"/>
        <v>22681007.901243865</v>
      </c>
      <c r="O106" s="38">
        <f>(N106/12)/(450*1000)</f>
        <v>4.2001866483784935</v>
      </c>
    </row>
    <row r="107" spans="1:18" x14ac:dyDescent="0.2">
      <c r="A107" s="8" t="s">
        <v>32</v>
      </c>
      <c r="B107" s="5">
        <f>[1]PL!Y15</f>
        <v>117189.58458812301</v>
      </c>
      <c r="C107" s="5">
        <f>[1]PL!Z15</f>
        <v>116530.98560805402</v>
      </c>
      <c r="D107" s="5">
        <f>[1]PL!AA15</f>
        <v>15537.094620032502</v>
      </c>
      <c r="E107" s="5">
        <f>[1]PL!AB15</f>
        <v>42429.175120064305</v>
      </c>
      <c r="F107" s="5">
        <f>[1]PL!AC15</f>
        <v>280762.43460473605</v>
      </c>
      <c r="G107" s="5">
        <f>[1]PL!AD15</f>
        <v>2076045.6664924202</v>
      </c>
      <c r="H107" s="5">
        <f>[1]PL!AE15</f>
        <v>6841769.1478593508</v>
      </c>
      <c r="I107" s="5">
        <f>[1]PL!AF15</f>
        <v>6801386.745497901</v>
      </c>
      <c r="J107" s="5">
        <f>[1]PL!AG15</f>
        <v>599452.49922700005</v>
      </c>
      <c r="K107" s="5">
        <f>[1]PL!AH15</f>
        <v>87583.306361681403</v>
      </c>
      <c r="L107" s="5">
        <f>[1]PL!AI15</f>
        <v>62214.982955532905</v>
      </c>
      <c r="M107" s="5">
        <f>[1]PL!AJ15</f>
        <v>83066.543416866014</v>
      </c>
      <c r="N107" s="17">
        <f t="shared" si="28"/>
        <v>17123968.166351762</v>
      </c>
      <c r="O107" s="38">
        <f>(N107/12)/(355*1000)</f>
        <v>4.0197108371717754</v>
      </c>
    </row>
    <row r="108" spans="1:18" x14ac:dyDescent="0.2">
      <c r="A108" s="25" t="s">
        <v>33</v>
      </c>
      <c r="B108" s="20">
        <f>[1]PL!Y16</f>
        <v>204904.02516260801</v>
      </c>
      <c r="C108" s="21">
        <f>[1]PL!Z16</f>
        <v>200697.51244656701</v>
      </c>
      <c r="D108" s="21">
        <f>[1]PL!AA16</f>
        <v>41788.671438000201</v>
      </c>
      <c r="E108" s="21">
        <f>[1]PL!AB16</f>
        <v>107498.54567475501</v>
      </c>
      <c r="F108" s="21">
        <f>[1]PL!AC16</f>
        <v>476230.38265389903</v>
      </c>
      <c r="G108" s="21">
        <f>[1]PL!AD16</f>
        <v>3364051.2045547003</v>
      </c>
      <c r="H108" s="21">
        <f>[1]PL!AE16</f>
        <v>10377817.6481435</v>
      </c>
      <c r="I108" s="21">
        <f>[1]PL!AF16</f>
        <v>10322691.6267651</v>
      </c>
      <c r="J108" s="21">
        <f>[1]PL!AG16</f>
        <v>1065683.8200993401</v>
      </c>
      <c r="K108" s="21">
        <f>[1]PL!AH16</f>
        <v>200283.80503084001</v>
      </c>
      <c r="L108" s="21">
        <f>[1]PL!AI16</f>
        <v>124230.80647928601</v>
      </c>
      <c r="M108" s="21">
        <f>[1]PL!AJ16</f>
        <v>151669.54570839403</v>
      </c>
      <c r="N108" s="31">
        <f t="shared" si="28"/>
        <v>26637547.594156992</v>
      </c>
      <c r="O108" s="88">
        <f>(N108/12)/(510*1000)</f>
        <v>4.3525404565616004</v>
      </c>
    </row>
    <row r="109" spans="1:18" x14ac:dyDescent="0.2">
      <c r="A109" s="19" t="s">
        <v>36</v>
      </c>
      <c r="B109" s="5">
        <f t="shared" ref="B109:N109" si="29">SUM(B103:B108)</f>
        <v>904268.64767527615</v>
      </c>
      <c r="C109" s="5">
        <f t="shared" si="29"/>
        <v>906229.47040212411</v>
      </c>
      <c r="D109" s="5">
        <f t="shared" si="29"/>
        <v>174786.652190216</v>
      </c>
      <c r="E109" s="5">
        <f t="shared" si="29"/>
        <v>443138.84031671</v>
      </c>
      <c r="F109" s="5">
        <f t="shared" si="29"/>
        <v>2177698.6691844962</v>
      </c>
      <c r="G109" s="5">
        <f t="shared" si="29"/>
        <v>17949927.84070548</v>
      </c>
      <c r="H109" s="5">
        <f t="shared" si="29"/>
        <v>56286096.60930787</v>
      </c>
      <c r="I109" s="5">
        <f t="shared" si="29"/>
        <v>55998119.418156788</v>
      </c>
      <c r="J109" s="5">
        <f t="shared" si="29"/>
        <v>5439080.9727979628</v>
      </c>
      <c r="K109" s="5">
        <f t="shared" si="29"/>
        <v>669598.61081874627</v>
      </c>
      <c r="L109" s="5">
        <f t="shared" si="29"/>
        <v>483969.81351684546</v>
      </c>
      <c r="M109" s="5">
        <f t="shared" si="29"/>
        <v>547225.74688243004</v>
      </c>
      <c r="N109" s="32">
        <f t="shared" si="29"/>
        <v>141980141.29195496</v>
      </c>
      <c r="O109" s="40">
        <f>(SUM(N103:N108)/12)/(2833*1000)</f>
        <v>4.1763778471571644</v>
      </c>
    </row>
    <row r="110" spans="1:18" x14ac:dyDescent="0.2">
      <c r="A110" s="8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17"/>
      <c r="O110" s="87"/>
    </row>
    <row r="111" spans="1:18" x14ac:dyDescent="0.2">
      <c r="A111" s="8" t="s">
        <v>13</v>
      </c>
      <c r="B111" s="5">
        <v>-3413.4648999999999</v>
      </c>
      <c r="C111" s="5">
        <v>-3412.4648999999999</v>
      </c>
      <c r="D111" s="5">
        <v>-3411.4648999999999</v>
      </c>
      <c r="E111" s="5">
        <v>-3410.4648999999999</v>
      </c>
      <c r="F111" s="5">
        <v>-3409.4648999999999</v>
      </c>
      <c r="G111" s="5">
        <v>-3408.4648999999999</v>
      </c>
      <c r="H111" s="5">
        <v>-3407.4648999999999</v>
      </c>
      <c r="I111" s="5">
        <v>-3406.4648999999999</v>
      </c>
      <c r="J111" s="5">
        <v>-3405.4648999999999</v>
      </c>
      <c r="K111" s="5">
        <v>-3404.4648999999999</v>
      </c>
      <c r="L111" s="5">
        <v>-3403.4648999999999</v>
      </c>
      <c r="M111" s="5">
        <v>-3402.4648999999999</v>
      </c>
      <c r="N111" s="17">
        <f t="shared" ref="N111:N119" si="30">SUM(B111:M111)</f>
        <v>-40895.578799999996</v>
      </c>
      <c r="O111" s="87"/>
    </row>
    <row r="112" spans="1:18" x14ac:dyDescent="0.2">
      <c r="A112" s="11" t="s">
        <v>59</v>
      </c>
      <c r="B112" s="5">
        <f>[1]PL!Y24</f>
        <v>86461.949200000003</v>
      </c>
      <c r="C112" s="5">
        <f>[1]PL!Z24</f>
        <v>56435.705700000006</v>
      </c>
      <c r="D112" s="5">
        <f>[1]PL!AA24</f>
        <v>31622.634600000001</v>
      </c>
      <c r="E112" s="5">
        <f>[1]PL!AB24</f>
        <v>-26218.393200000002</v>
      </c>
      <c r="F112" s="5">
        <f>[1]PL!AC24</f>
        <v>-55872.556300000004</v>
      </c>
      <c r="G112" s="5">
        <f>[1]PL!AD24</f>
        <v>-66177.174700000003</v>
      </c>
      <c r="H112" s="5">
        <f>[1]PL!AE24</f>
        <v>-71007.467300000004</v>
      </c>
      <c r="I112" s="5">
        <f>[1]PL!AF24</f>
        <v>-71651.362999999998</v>
      </c>
      <c r="J112" s="5">
        <f>[1]PL!AG24</f>
        <v>-83626.516499999998</v>
      </c>
      <c r="K112" s="5">
        <f>[1]PL!AH24</f>
        <v>-83296.488100000002</v>
      </c>
      <c r="L112" s="5">
        <f>[1]PL!AI24</f>
        <v>-55300.866500000004</v>
      </c>
      <c r="M112" s="5">
        <f>[1]PL!AJ24</f>
        <v>-46989.574800000002</v>
      </c>
      <c r="N112" s="17">
        <f t="shared" si="30"/>
        <v>-385620.11089999997</v>
      </c>
      <c r="O112" s="87"/>
    </row>
    <row r="113" spans="1:15" x14ac:dyDescent="0.2">
      <c r="A113" s="11" t="s">
        <v>58</v>
      </c>
      <c r="B113" s="5">
        <f>[1]PL!Y25</f>
        <v>1158405.5623000001</v>
      </c>
      <c r="C113" s="5">
        <f>[1]PL!Z25</f>
        <v>880972.03960000002</v>
      </c>
      <c r="D113" s="5">
        <f>[1]PL!AA25</f>
        <v>595335.34120000002</v>
      </c>
      <c r="E113" s="5">
        <f>[1]PL!AB25</f>
        <v>549437.28480000002</v>
      </c>
      <c r="F113" s="5">
        <f>[1]PL!AC25</f>
        <v>400381.48820000002</v>
      </c>
      <c r="G113" s="5">
        <f>[1]PL!AD25</f>
        <v>367698.71110000001</v>
      </c>
      <c r="H113" s="5">
        <f>[1]PL!AE25</f>
        <v>363990.91440000001</v>
      </c>
      <c r="I113" s="5">
        <f>[1]PL!AF25</f>
        <v>370041.37109999999</v>
      </c>
      <c r="J113" s="5">
        <f>[1]PL!AG25</f>
        <v>351400.56320000003</v>
      </c>
      <c r="K113" s="5">
        <f>[1]PL!AH25</f>
        <v>420332.8236</v>
      </c>
      <c r="L113" s="5">
        <f>[1]PL!AI25</f>
        <v>447995.6924</v>
      </c>
      <c r="M113" s="5">
        <f>[1]PL!AJ25</f>
        <v>672856.97140000004</v>
      </c>
      <c r="N113" s="17">
        <f t="shared" si="30"/>
        <v>6578848.7632999998</v>
      </c>
      <c r="O113" s="87"/>
    </row>
    <row r="114" spans="1:15" x14ac:dyDescent="0.2">
      <c r="A114" s="72" t="s">
        <v>61</v>
      </c>
      <c r="B114" s="5">
        <f>[1]PL!Y26</f>
        <v>-445792.25759815605</v>
      </c>
      <c r="C114" s="5">
        <f>[1]PL!Z26</f>
        <v>-323312.59744099504</v>
      </c>
      <c r="D114" s="5">
        <f>[1]PL!AA26</f>
        <v>-51659.042552035004</v>
      </c>
      <c r="E114" s="5">
        <f>[1]PL!AB26</f>
        <v>-122984.04900648101</v>
      </c>
      <c r="F114" s="5">
        <f>[1]PL!AC26</f>
        <v>-259806.17295759503</v>
      </c>
      <c r="G114" s="5">
        <f>[1]PL!AD26</f>
        <v>-331495.39482479403</v>
      </c>
      <c r="H114" s="5">
        <f>[1]PL!AE26</f>
        <v>-9469707.1574279405</v>
      </c>
      <c r="I114" s="5">
        <f>[1]PL!AF26</f>
        <v>-9413438.6493788809</v>
      </c>
      <c r="J114" s="5">
        <f>[1]PL!AG26</f>
        <v>-149317.61755630901</v>
      </c>
      <c r="K114" s="5">
        <f>[1]PL!AH26</f>
        <v>-155752.66996282802</v>
      </c>
      <c r="L114" s="5">
        <f>[1]PL!AI26</f>
        <v>-103300.98356160501</v>
      </c>
      <c r="M114" s="5">
        <f>[1]PL!AJ26</f>
        <v>-106395.98650642601</v>
      </c>
      <c r="N114" s="17">
        <f t="shared" si="30"/>
        <v>-20932962.578774042</v>
      </c>
      <c r="O114" s="87"/>
    </row>
    <row r="115" spans="1:15" x14ac:dyDescent="0.2">
      <c r="A115" s="72" t="s">
        <v>60</v>
      </c>
      <c r="B115" s="5">
        <f>[1]PL!Y27</f>
        <v>-297194.83839877101</v>
      </c>
      <c r="C115" s="5">
        <f>[1]PL!Z27</f>
        <v>-215541.73162733001</v>
      </c>
      <c r="D115" s="5">
        <f>[1]PL!AA27</f>
        <v>-25829.521276017502</v>
      </c>
      <c r="E115" s="5">
        <f>[1]PL!AB27</f>
        <v>-61492.024503240609</v>
      </c>
      <c r="F115" s="5">
        <f>[1]PL!AC27</f>
        <v>-129903.08647879702</v>
      </c>
      <c r="G115" s="5">
        <f>[1]PL!AD27</f>
        <v>-165747.69741239701</v>
      </c>
      <c r="H115" s="5">
        <f>[1]PL!AE27</f>
        <v>-4485650.7587816603</v>
      </c>
      <c r="I115" s="5">
        <f>[1]PL!AF27</f>
        <v>-4458997.2549689403</v>
      </c>
      <c r="J115" s="5">
        <f>[1]PL!AG27</f>
        <v>-74658.808778154402</v>
      </c>
      <c r="K115" s="5">
        <f>[1]PL!AH27</f>
        <v>-77876.334981414213</v>
      </c>
      <c r="L115" s="5">
        <f>[1]PL!AI27</f>
        <v>-51650.491780802506</v>
      </c>
      <c r="M115" s="5">
        <f>[1]PL!AJ27</f>
        <v>-53197.993253213208</v>
      </c>
      <c r="N115" s="17">
        <f t="shared" si="30"/>
        <v>-10097740.542240735</v>
      </c>
      <c r="O115" s="87"/>
    </row>
    <row r="116" spans="1:15" x14ac:dyDescent="0.2">
      <c r="A116" s="11" t="s">
        <v>63</v>
      </c>
      <c r="B116" s="5">
        <f>[1]PL!Y28</f>
        <v>0</v>
      </c>
      <c r="C116" s="5">
        <f>[1]PL!Z28</f>
        <v>0</v>
      </c>
      <c r="D116" s="5">
        <f>[1]PL!AA28</f>
        <v>0</v>
      </c>
      <c r="E116" s="5">
        <f>[1]PL!AB28</f>
        <v>0</v>
      </c>
      <c r="F116" s="5">
        <f>[1]PL!AC28</f>
        <v>0</v>
      </c>
      <c r="G116" s="5">
        <f>[1]PL!AD28</f>
        <v>593929.24906108878</v>
      </c>
      <c r="H116" s="5">
        <f>[1]PL!AE28</f>
        <v>0</v>
      </c>
      <c r="I116" s="5">
        <f>[1]PL!AF28</f>
        <v>0</v>
      </c>
      <c r="J116" s="5">
        <f>[1]PL!AG28</f>
        <v>0</v>
      </c>
      <c r="K116" s="5">
        <f>[1]PL!AH28</f>
        <v>0</v>
      </c>
      <c r="L116" s="5">
        <f>[1]PL!AI28</f>
        <v>0</v>
      </c>
      <c r="M116" s="5">
        <f>[1]PL!AJ28</f>
        <v>0</v>
      </c>
      <c r="N116" s="17">
        <f t="shared" si="30"/>
        <v>593929.24906108878</v>
      </c>
      <c r="O116" s="87"/>
    </row>
    <row r="117" spans="1:15" x14ac:dyDescent="0.2">
      <c r="A117" s="11" t="s">
        <v>62</v>
      </c>
      <c r="B117" s="5">
        <f>SUM([1]PL!Y$29:Y$32)</f>
        <v>-55539.107813134935</v>
      </c>
      <c r="C117" s="5">
        <f>SUM([1]PL!Z$29:Z$32)</f>
        <v>-55237.813620557601</v>
      </c>
      <c r="D117" s="5">
        <f>SUM([1]PL!AA$29:AA$32)</f>
        <v>-54908.014538055984</v>
      </c>
      <c r="E117" s="5">
        <f>SUM([1]PL!AB$29:AB$32)</f>
        <v>-54591.641071769125</v>
      </c>
      <c r="F117" s="5">
        <f>SUM([1]PL!AC$29:AC$32)</f>
        <v>-63281.609628592269</v>
      </c>
      <c r="G117" s="5">
        <f>SUM([1]PL!AD$29:AD$32)</f>
        <v>1845230.8719603415</v>
      </c>
      <c r="H117" s="5">
        <f>SUM([1]PL!AE$29:AE$32)</f>
        <v>-2126900.2510048947</v>
      </c>
      <c r="I117" s="5">
        <f>SUM([1]PL!AF$29:AF$32)</f>
        <v>-2114996.8995990329</v>
      </c>
      <c r="J117" s="5">
        <f>SUM([1]PL!AG$29:AG$32)</f>
        <v>62816.4935591553</v>
      </c>
      <c r="K117" s="5">
        <f>SUM([1]PL!AH$29:AH$32)</f>
        <v>-52694.357567447019</v>
      </c>
      <c r="L117" s="5">
        <f>SUM([1]PL!AI$29:AI$32)</f>
        <v>-52391.701293934086</v>
      </c>
      <c r="M117" s="5">
        <f>SUM([1]PL!AJ$29:AJ$32)</f>
        <v>-52080.217894165813</v>
      </c>
      <c r="N117" s="17">
        <f t="shared" si="30"/>
        <v>-2774574.2485120879</v>
      </c>
      <c r="O117" s="87"/>
    </row>
    <row r="118" spans="1:15" x14ac:dyDescent="0.2">
      <c r="A118" s="35" t="s">
        <v>53</v>
      </c>
      <c r="B118" s="21">
        <f>[1]PL!Y18</f>
        <v>0</v>
      </c>
      <c r="C118" s="21">
        <f>[1]PL!Z18</f>
        <v>0</v>
      </c>
      <c r="D118" s="21">
        <f>[1]PL!AA18</f>
        <v>0</v>
      </c>
      <c r="E118" s="21">
        <f>[1]PL!AB18</f>
        <v>0</v>
      </c>
      <c r="F118" s="21">
        <f>[1]PL!AC18</f>
        <v>0</v>
      </c>
      <c r="G118" s="21">
        <f>[1]PL!AD18</f>
        <v>0</v>
      </c>
      <c r="H118" s="21">
        <f>[1]PL!AE18</f>
        <v>0</v>
      </c>
      <c r="I118" s="21">
        <f>[1]PL!AF18</f>
        <v>0</v>
      </c>
      <c r="J118" s="21">
        <f>[1]PL!AG18</f>
        <v>0</v>
      </c>
      <c r="K118" s="21">
        <f>[1]PL!AH18</f>
        <v>0</v>
      </c>
      <c r="L118" s="21">
        <f>[1]PL!AI18</f>
        <v>0</v>
      </c>
      <c r="M118" s="21">
        <f>[1]PL!AJ18</f>
        <v>0</v>
      </c>
      <c r="N118" s="31">
        <f t="shared" si="30"/>
        <v>0</v>
      </c>
      <c r="O118" s="87"/>
    </row>
    <row r="119" spans="1:15" x14ac:dyDescent="0.2">
      <c r="A119" s="19" t="s">
        <v>37</v>
      </c>
      <c r="B119" s="5">
        <f>SUM(B111:B118)</f>
        <v>442927.84278993797</v>
      </c>
      <c r="C119" s="5">
        <f t="shared" ref="C119:H119" si="31">SUM(C111:C118)</f>
        <v>339903.13771111739</v>
      </c>
      <c r="D119" s="5">
        <f t="shared" si="31"/>
        <v>491149.93253389152</v>
      </c>
      <c r="E119" s="5">
        <f t="shared" si="31"/>
        <v>280740.71211850928</v>
      </c>
      <c r="F119" s="5">
        <f t="shared" si="31"/>
        <v>-111891.40206498432</v>
      </c>
      <c r="G119" s="5">
        <f t="shared" si="31"/>
        <v>2240030.1002842393</v>
      </c>
      <c r="H119" s="5">
        <f t="shared" si="31"/>
        <v>-15792682.185014496</v>
      </c>
      <c r="I119" s="5">
        <f>SUM(I111:I118)</f>
        <v>-15692449.260746853</v>
      </c>
      <c r="J119" s="5">
        <f>SUM(J111:J118)</f>
        <v>103208.64902469193</v>
      </c>
      <c r="K119" s="5">
        <f>SUM(K111:K118)</f>
        <v>47308.508088310773</v>
      </c>
      <c r="L119" s="5">
        <f>SUM(L111:L118)</f>
        <v>181948.18436365837</v>
      </c>
      <c r="M119" s="5">
        <f>SUM(M111:M118)</f>
        <v>410790.73404619499</v>
      </c>
      <c r="N119" s="17">
        <f t="shared" si="30"/>
        <v>-27059015.046865784</v>
      </c>
      <c r="O119" s="87"/>
    </row>
    <row r="120" spans="1:15" x14ac:dyDescent="0.2">
      <c r="A120" s="8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17"/>
      <c r="O120" s="87"/>
    </row>
    <row r="121" spans="1:15" x14ac:dyDescent="0.2">
      <c r="A121" s="8" t="s">
        <v>40</v>
      </c>
      <c r="B121" s="5">
        <f>[1]PL!Y17</f>
        <v>-4238096.9001449188</v>
      </c>
      <c r="C121" s="5">
        <f>[1]PL!Z17</f>
        <v>-4239505.7305978686</v>
      </c>
      <c r="D121" s="5">
        <f>[1]PL!AA17</f>
        <v>-4239561.1326253125</v>
      </c>
      <c r="E121" s="5">
        <f>[1]PL!AB17</f>
        <v>-4239383.3279956747</v>
      </c>
      <c r="F121" s="5">
        <f>[1]PL!AC17</f>
        <v>-4236010.1742701409</v>
      </c>
      <c r="G121" s="5">
        <f>[1]PL!AD17</f>
        <v>-4216696.526596766</v>
      </c>
      <c r="H121" s="5">
        <f>[1]PL!AE17</f>
        <v>-4183007.4925294863</v>
      </c>
      <c r="I121" s="5">
        <f>[1]PL!AF17</f>
        <v>-4180052.309229475</v>
      </c>
      <c r="J121" s="5">
        <f>[1]PL!AG17</f>
        <v>-4219714.4328817697</v>
      </c>
      <c r="K121" s="5">
        <f>[1]PL!AH17</f>
        <v>-4222330.5799921239</v>
      </c>
      <c r="L121" s="5">
        <f>[1]PL!AI17</f>
        <v>-4221729.1581357615</v>
      </c>
      <c r="M121" s="5">
        <f>[1]PL!AJ17</f>
        <v>-4218602.6431467095</v>
      </c>
      <c r="N121" s="17">
        <f t="shared" ref="N121:N127" si="32">SUM(B121:M121)</f>
        <v>-50654690.408146009</v>
      </c>
      <c r="O121" s="40">
        <f t="shared" ref="O121:O126" si="33">(N121/12)/(2820*1000)</f>
        <v>-1.4968880144251184</v>
      </c>
    </row>
    <row r="122" spans="1:15" x14ac:dyDescent="0.2">
      <c r="A122" s="11" t="s">
        <v>41</v>
      </c>
      <c r="B122" s="5">
        <f>[1]PL!Y19</f>
        <v>-2218681.6106734611</v>
      </c>
      <c r="C122" s="5">
        <f>[1]PL!Z19</f>
        <v>-2206645.4813441462</v>
      </c>
      <c r="D122" s="5">
        <f>[1]PL!AA19</f>
        <v>-2193470.6359356563</v>
      </c>
      <c r="E122" s="5">
        <f>[1]PL!AB19</f>
        <v>-2180832.1183325732</v>
      </c>
      <c r="F122" s="5">
        <f>[1]PL!AC19</f>
        <v>-2167851.8854680993</v>
      </c>
      <c r="G122" s="5">
        <f>[1]PL!AD19</f>
        <v>-2155372.6979197199</v>
      </c>
      <c r="H122" s="5">
        <f>[1]PL!AE19</f>
        <v>-2142557.2860982269</v>
      </c>
      <c r="I122" s="5">
        <f>[1]PL!AF19</f>
        <v>-2129826.3219940392</v>
      </c>
      <c r="J122" s="5">
        <f>[1]PL!AG19</f>
        <v>-2117595.2092168271</v>
      </c>
      <c r="K122" s="5">
        <f>[1]PL!AH19</f>
        <v>-2105039.2547626994</v>
      </c>
      <c r="L122" s="5">
        <f>[1]PL!AI19</f>
        <v>-2092948.7128934041</v>
      </c>
      <c r="M122" s="5">
        <f>[1]PL!AJ19</f>
        <v>-2080505.5441370541</v>
      </c>
      <c r="N122" s="17">
        <f t="shared" si="32"/>
        <v>-25791326.758775905</v>
      </c>
      <c r="O122" s="40">
        <f t="shared" si="33"/>
        <v>-0.76215504606311779</v>
      </c>
    </row>
    <row r="123" spans="1:15" x14ac:dyDescent="0.2">
      <c r="A123" s="11" t="s">
        <v>42</v>
      </c>
      <c r="B123" s="5">
        <f>[1]PL!Y20</f>
        <v>-854991.24131852202</v>
      </c>
      <c r="C123" s="5">
        <f>[1]PL!Z20</f>
        <v>-850352.99800031201</v>
      </c>
      <c r="D123" s="5">
        <f>[1]PL!AA20</f>
        <v>-845275.93900464918</v>
      </c>
      <c r="E123" s="5">
        <f>[1]PL!AB20</f>
        <v>-840405.55931524117</v>
      </c>
      <c r="F123" s="5">
        <f>[1]PL!AC20</f>
        <v>-835403.49621794408</v>
      </c>
      <c r="G123" s="5">
        <f>[1]PL!AD20</f>
        <v>-830594.51596530108</v>
      </c>
      <c r="H123" s="5">
        <f>[1]PL!AE20</f>
        <v>-825655.96831224603</v>
      </c>
      <c r="I123" s="5">
        <f>[1]PL!AF20</f>
        <v>-820749.96343518002</v>
      </c>
      <c r="J123" s="5">
        <f>[1]PL!AG20</f>
        <v>-816036.5812870661</v>
      </c>
      <c r="K123" s="5">
        <f>[1]PL!AH20</f>
        <v>-811198.01813630713</v>
      </c>
      <c r="L123" s="5">
        <f>[1]PL!AI20</f>
        <v>-806538.80639934004</v>
      </c>
      <c r="M123" s="5">
        <f>[1]PL!AJ20</f>
        <v>-801743.70634994702</v>
      </c>
      <c r="N123" s="17">
        <f t="shared" si="32"/>
        <v>-9938946.7937420532</v>
      </c>
      <c r="O123" s="40">
        <f t="shared" si="33"/>
        <v>-0.29370410146991882</v>
      </c>
    </row>
    <row r="124" spans="1:15" x14ac:dyDescent="0.2">
      <c r="A124" s="11" t="s">
        <v>43</v>
      </c>
      <c r="B124" s="5">
        <f>[1]PL!Y21</f>
        <v>-355452.06725551316</v>
      </c>
      <c r="C124" s="5">
        <f>[1]PL!Z21</f>
        <v>-353523.77478160511</v>
      </c>
      <c r="D124" s="5">
        <f>[1]PL!AA21</f>
        <v>-351413.0501000238</v>
      </c>
      <c r="E124" s="5">
        <f>[1]PL!AB21</f>
        <v>-349388.24979183672</v>
      </c>
      <c r="F124" s="5">
        <f>[1]PL!AC21</f>
        <v>-347308.70373036485</v>
      </c>
      <c r="G124" s="5">
        <f>[1]PL!AD21</f>
        <v>-345309.42948100797</v>
      </c>
      <c r="H124" s="5">
        <f>[1]PL!AE21</f>
        <v>-343256.28918238811</v>
      </c>
      <c r="I124" s="5">
        <f>[1]PL!AF21</f>
        <v>-341216.67814166046</v>
      </c>
      <c r="J124" s="5">
        <f>[1]PL!AG21</f>
        <v>-339257.14762561861</v>
      </c>
      <c r="K124" s="5">
        <f>[1]PL!AH21</f>
        <v>-337245.57465110283</v>
      </c>
      <c r="L124" s="5">
        <f>[1]PL!AI21</f>
        <v>-335308.56481561984</v>
      </c>
      <c r="M124" s="5">
        <f>[1]PL!AJ21</f>
        <v>-333315.06108963426</v>
      </c>
      <c r="N124" s="17">
        <f t="shared" si="32"/>
        <v>-4131994.5906463764</v>
      </c>
      <c r="O124" s="40">
        <f t="shared" si="33"/>
        <v>-0.12210385906165414</v>
      </c>
    </row>
    <row r="125" spans="1:15" x14ac:dyDescent="0.2">
      <c r="A125" s="11" t="s">
        <v>44</v>
      </c>
      <c r="B125" s="5">
        <f>[1]PL!Y22</f>
        <v>0</v>
      </c>
      <c r="C125" s="5">
        <f>[1]PL!Z22</f>
        <v>0</v>
      </c>
      <c r="D125" s="5">
        <f>[1]PL!AA22</f>
        <v>0</v>
      </c>
      <c r="E125" s="5">
        <f>[1]PL!AB22</f>
        <v>0</v>
      </c>
      <c r="F125" s="5">
        <f>[1]PL!AC22</f>
        <v>0</v>
      </c>
      <c r="G125" s="5">
        <f>[1]PL!AD22</f>
        <v>0</v>
      </c>
      <c r="H125" s="5">
        <f>[1]PL!AE22</f>
        <v>0</v>
      </c>
      <c r="I125" s="5">
        <f>[1]PL!AF22</f>
        <v>0</v>
      </c>
      <c r="J125" s="5">
        <f>[1]PL!AG22</f>
        <v>0</v>
      </c>
      <c r="K125" s="5">
        <f>[1]PL!AH22</f>
        <v>0</v>
      </c>
      <c r="L125" s="5">
        <f>[1]PL!AI22</f>
        <v>0</v>
      </c>
      <c r="M125" s="5">
        <f>[1]PL!AJ22</f>
        <v>0</v>
      </c>
      <c r="N125" s="17">
        <f t="shared" si="32"/>
        <v>0</v>
      </c>
      <c r="O125" s="40">
        <f t="shared" si="33"/>
        <v>0</v>
      </c>
    </row>
    <row r="126" spans="1:15" x14ac:dyDescent="0.2">
      <c r="A126" s="35" t="s">
        <v>45</v>
      </c>
      <c r="B126" s="21">
        <f>[1]PL!Y23</f>
        <v>-486368.85219263507</v>
      </c>
      <c r="C126" s="21">
        <f>[1]PL!Z23</f>
        <v>-483730.34904798254</v>
      </c>
      <c r="D126" s="21">
        <f>[1]PL!AA23</f>
        <v>-480842.22196912841</v>
      </c>
      <c r="E126" s="21">
        <f>[1]PL!AB23</f>
        <v>-478071.66612620995</v>
      </c>
      <c r="F126" s="21">
        <f>[1]PL!AC23</f>
        <v>-475226.20108556806</v>
      </c>
      <c r="G126" s="21">
        <f>[1]PL!AD23</f>
        <v>-472490.57282101561</v>
      </c>
      <c r="H126" s="21">
        <f>[1]PL!AE23</f>
        <v>-469681.23906712729</v>
      </c>
      <c r="I126" s="21">
        <f>[1]PL!AF23</f>
        <v>-466890.41754101403</v>
      </c>
      <c r="J126" s="21">
        <f>[1]PL!AG23</f>
        <v>-464209.17105036264</v>
      </c>
      <c r="K126" s="21">
        <f>[1]PL!AH23</f>
        <v>-461456.71430908889</v>
      </c>
      <c r="L126" s="21">
        <f>[1]PL!AI23</f>
        <v>-458806.28310568177</v>
      </c>
      <c r="M126" s="21">
        <f>[1]PL!AJ23</f>
        <v>-456078.5507097618</v>
      </c>
      <c r="N126" s="31">
        <f t="shared" si="32"/>
        <v>-5653852.239025576</v>
      </c>
      <c r="O126" s="39">
        <f t="shared" si="33"/>
        <v>-0.16707601179153592</v>
      </c>
    </row>
    <row r="127" spans="1:15" x14ac:dyDescent="0.2">
      <c r="A127" s="19" t="s">
        <v>38</v>
      </c>
      <c r="B127" s="3">
        <f t="shared" ref="B127:M127" si="34">SUM(B121:B126)</f>
        <v>-8153590.6715850495</v>
      </c>
      <c r="C127" s="3">
        <f t="shared" si="34"/>
        <v>-8133758.3337719142</v>
      </c>
      <c r="D127" s="3">
        <f t="shared" si="34"/>
        <v>-8110562.9796347702</v>
      </c>
      <c r="E127" s="3">
        <f t="shared" si="34"/>
        <v>-8088080.9215615354</v>
      </c>
      <c r="F127" s="3">
        <f t="shared" si="34"/>
        <v>-8061800.4607721176</v>
      </c>
      <c r="G127" s="3">
        <f t="shared" si="34"/>
        <v>-8020463.74278381</v>
      </c>
      <c r="H127" s="3">
        <f t="shared" si="34"/>
        <v>-7964158.2751894742</v>
      </c>
      <c r="I127" s="3">
        <f t="shared" si="34"/>
        <v>-7938735.6903413692</v>
      </c>
      <c r="J127" s="3">
        <f t="shared" si="34"/>
        <v>-7956812.5420616437</v>
      </c>
      <c r="K127" s="3">
        <f t="shared" si="34"/>
        <v>-7937270.1418513218</v>
      </c>
      <c r="L127" s="3">
        <f t="shared" si="34"/>
        <v>-7915331.525349807</v>
      </c>
      <c r="M127" s="17">
        <f t="shared" si="34"/>
        <v>-7890245.5054331059</v>
      </c>
      <c r="N127" s="10">
        <f t="shared" si="32"/>
        <v>-96170810.790335923</v>
      </c>
      <c r="O127" s="38">
        <f>SUM(O121:O126)</f>
        <v>-2.8419270328113453</v>
      </c>
    </row>
    <row r="128" spans="1:15" x14ac:dyDescent="0.2">
      <c r="A128" s="33"/>
      <c r="M128" s="30"/>
      <c r="N128" s="25"/>
      <c r="O128" s="25"/>
    </row>
    <row r="129" spans="1:15" x14ac:dyDescent="0.2">
      <c r="A129" s="51" t="s">
        <v>0</v>
      </c>
      <c r="B129" s="13">
        <f t="shared" ref="B129:N129" si="35">B109+B119+B127</f>
        <v>-6806394.181119835</v>
      </c>
      <c r="C129" s="13">
        <f t="shared" si="35"/>
        <v>-6887625.7256586729</v>
      </c>
      <c r="D129" s="13">
        <f t="shared" si="35"/>
        <v>-7444626.3949106624</v>
      </c>
      <c r="E129" s="13">
        <f t="shared" si="35"/>
        <v>-7364201.3691263162</v>
      </c>
      <c r="F129" s="13">
        <f t="shared" si="35"/>
        <v>-5995993.1936526056</v>
      </c>
      <c r="G129" s="13">
        <f t="shared" si="35"/>
        <v>12169494.198205907</v>
      </c>
      <c r="H129" s="13">
        <f t="shared" si="35"/>
        <v>32529256.149103902</v>
      </c>
      <c r="I129" s="13">
        <f t="shared" si="35"/>
        <v>32366934.467068568</v>
      </c>
      <c r="J129" s="13">
        <f t="shared" si="35"/>
        <v>-2414522.9202389885</v>
      </c>
      <c r="K129" s="13">
        <f t="shared" si="35"/>
        <v>-7220363.022944265</v>
      </c>
      <c r="L129" s="13">
        <f t="shared" si="35"/>
        <v>-7249413.5274693035</v>
      </c>
      <c r="M129" s="13">
        <f t="shared" si="35"/>
        <v>-6932229.0245044809</v>
      </c>
      <c r="N129" s="13">
        <f t="shared" si="35"/>
        <v>18750315.45475325</v>
      </c>
      <c r="O129" s="39"/>
    </row>
    <row r="130" spans="1:15" ht="12" customHeight="1" x14ac:dyDescent="0.2">
      <c r="A130" s="2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41"/>
    </row>
    <row r="131" spans="1:15" ht="12" customHeight="1" x14ac:dyDescent="0.2">
      <c r="A131" s="2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41"/>
    </row>
    <row r="132" spans="1:15" ht="12" customHeight="1" x14ac:dyDescent="0.2">
      <c r="A132" s="2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41"/>
    </row>
    <row r="133" spans="1:15" x14ac:dyDescent="0.2">
      <c r="B133" s="52">
        <v>37622</v>
      </c>
      <c r="C133" s="52">
        <v>37653</v>
      </c>
      <c r="D133" s="52">
        <v>37681</v>
      </c>
      <c r="E133" s="52">
        <v>37712</v>
      </c>
      <c r="F133" s="52">
        <v>37742</v>
      </c>
      <c r="G133" s="52">
        <v>37773</v>
      </c>
      <c r="H133" s="52">
        <v>37803</v>
      </c>
      <c r="I133" s="52">
        <v>37834</v>
      </c>
      <c r="J133" s="52">
        <v>37865</v>
      </c>
      <c r="K133" s="52">
        <v>37895</v>
      </c>
      <c r="L133" s="52">
        <v>37926</v>
      </c>
      <c r="M133" s="52">
        <v>37956</v>
      </c>
      <c r="N133" s="6" t="s">
        <v>7</v>
      </c>
      <c r="O133" s="16" t="s">
        <v>47</v>
      </c>
    </row>
    <row r="134" spans="1:15" x14ac:dyDescent="0.2">
      <c r="A134" s="9" t="s">
        <v>34</v>
      </c>
      <c r="B134" s="5">
        <f>[1]PL!AL11</f>
        <v>161093.03096498802</v>
      </c>
      <c r="C134" s="5">
        <f>[1]PL!AM11</f>
        <v>163935.14111063702</v>
      </c>
      <c r="D134" s="5">
        <f>[1]PL!AN11</f>
        <v>50235.583919537406</v>
      </c>
      <c r="E134" s="5">
        <f>[1]PL!AO11</f>
        <v>105017.77818346702</v>
      </c>
      <c r="F134" s="5">
        <f>[1]PL!AP11</f>
        <v>365502.70714138204</v>
      </c>
      <c r="G134" s="5">
        <f>[1]PL!AQ11</f>
        <v>2849523.5712721702</v>
      </c>
      <c r="H134" s="5">
        <f>[1]PL!AR11</f>
        <v>7377039.9869027706</v>
      </c>
      <c r="I134" s="5">
        <f>[1]PL!AS11</f>
        <v>7104679.2097423002</v>
      </c>
      <c r="J134" s="5">
        <f>[1]PL!AT11</f>
        <v>973577.01560491615</v>
      </c>
      <c r="K134" s="5">
        <f>[1]PL!AU11</f>
        <v>81455.619990108709</v>
      </c>
      <c r="L134" s="5">
        <f>[1]PL!AV11</f>
        <v>68887.183730406701</v>
      </c>
      <c r="M134" s="5">
        <f>[1]PL!AW11</f>
        <v>60672.050191575203</v>
      </c>
      <c r="N134" s="32">
        <f t="shared" ref="N134:N139" si="36">SUM(B134:M134)</f>
        <v>19361618.878754262</v>
      </c>
      <c r="O134" s="37">
        <f>(N134/12)/(465*1000)</f>
        <v>3.4698241718197602</v>
      </c>
    </row>
    <row r="135" spans="1:15" x14ac:dyDescent="0.2">
      <c r="A135" s="8" t="s">
        <v>35</v>
      </c>
      <c r="B135" s="5">
        <f>[1]PL!AL12</f>
        <v>224327.28649754703</v>
      </c>
      <c r="C135" s="5">
        <f>[1]PL!AM12</f>
        <v>230769.70652972203</v>
      </c>
      <c r="D135" s="5">
        <f>[1]PL!AN12</f>
        <v>72650.731208122801</v>
      </c>
      <c r="E135" s="5">
        <f>[1]PL!AO12</f>
        <v>125684.31362936401</v>
      </c>
      <c r="F135" s="5">
        <f>[1]PL!AP12</f>
        <v>399531.55756685801</v>
      </c>
      <c r="G135" s="5">
        <f>[1]PL!AQ12</f>
        <v>3565809.5050204801</v>
      </c>
      <c r="H135" s="5">
        <f>[1]PL!AR12</f>
        <v>9402320.1755280513</v>
      </c>
      <c r="I135" s="5">
        <f>[1]PL!AS12</f>
        <v>9054886.4828375615</v>
      </c>
      <c r="J135" s="5">
        <f>[1]PL!AT12</f>
        <v>1225576.6632252801</v>
      </c>
      <c r="K135" s="5">
        <f>[1]PL!AU12</f>
        <v>85785.519275901213</v>
      </c>
      <c r="L135" s="5">
        <f>[1]PL!AV12</f>
        <v>91238.080232772714</v>
      </c>
      <c r="M135" s="5">
        <f>[1]PL!AW12</f>
        <v>84285.409937365606</v>
      </c>
      <c r="N135" s="17">
        <f t="shared" si="36"/>
        <v>24562865.431489028</v>
      </c>
      <c r="O135" s="38">
        <f>(N135/12)/(600*1000)</f>
        <v>3.4115090877068095</v>
      </c>
    </row>
    <row r="136" spans="1:15" x14ac:dyDescent="0.2">
      <c r="A136" s="8" t="s">
        <v>31</v>
      </c>
      <c r="B136" s="5">
        <f>[1]PL!AL13</f>
        <v>166267.66077379102</v>
      </c>
      <c r="C136" s="5">
        <f>[1]PL!AM13</f>
        <v>162203.09813095603</v>
      </c>
      <c r="D136" s="5">
        <f>[1]PL!AN13</f>
        <v>36472.216762943601</v>
      </c>
      <c r="E136" s="5">
        <f>[1]PL!AO13</f>
        <v>89302.794617869411</v>
      </c>
      <c r="F136" s="5">
        <f>[1]PL!AP13</f>
        <v>330690.71940896206</v>
      </c>
      <c r="G136" s="5">
        <f>[1]PL!AQ13</f>
        <v>2295138.7727482803</v>
      </c>
      <c r="H136" s="5">
        <f>[1]PL!AR13</f>
        <v>6521247.9929675302</v>
      </c>
      <c r="I136" s="5">
        <f>[1]PL!AS13</f>
        <v>6287341.7961380808</v>
      </c>
      <c r="J136" s="5">
        <f>[1]PL!AT13</f>
        <v>813545.95961119514</v>
      </c>
      <c r="K136" s="5">
        <f>[1]PL!AU13</f>
        <v>109906.14399219501</v>
      </c>
      <c r="L136" s="5">
        <f>[1]PL!AV13</f>
        <v>64279.374426209804</v>
      </c>
      <c r="M136" s="5">
        <f>[1]PL!AW13</f>
        <v>83060.85188082041</v>
      </c>
      <c r="N136" s="17">
        <f t="shared" si="36"/>
        <v>16959457.381458834</v>
      </c>
      <c r="O136" s="38">
        <f>(N136/12)/(440*1000)</f>
        <v>3.2120184434581125</v>
      </c>
    </row>
    <row r="137" spans="1:15" x14ac:dyDescent="0.2">
      <c r="A137" s="8" t="s">
        <v>30</v>
      </c>
      <c r="B137" s="5">
        <f>[1]PL!AL14</f>
        <v>182380.23554678401</v>
      </c>
      <c r="C137" s="5">
        <f>[1]PL!AM14</f>
        <v>177586.86898896701</v>
      </c>
      <c r="D137" s="5">
        <f>[1]PL!AN14</f>
        <v>44011.812642137702</v>
      </c>
      <c r="E137" s="5">
        <f>[1]PL!AO14</f>
        <v>100299.71598210902</v>
      </c>
      <c r="F137" s="5">
        <f>[1]PL!AP14</f>
        <v>356875.41812642402</v>
      </c>
      <c r="G137" s="5">
        <f>[1]PL!AQ14</f>
        <v>2414349.03297234</v>
      </c>
      <c r="H137" s="5">
        <f>[1]PL!AR14</f>
        <v>6790387.6444996204</v>
      </c>
      <c r="I137" s="5">
        <f>[1]PL!AS14</f>
        <v>6551509.8982075909</v>
      </c>
      <c r="J137" s="5">
        <f>[1]PL!AT14</f>
        <v>870213.80211972608</v>
      </c>
      <c r="K137" s="5">
        <f>[1]PL!AU14</f>
        <v>126488.39810308302</v>
      </c>
      <c r="L137" s="5">
        <f>[1]PL!AV14</f>
        <v>74870.636649771404</v>
      </c>
      <c r="M137" s="5">
        <f>[1]PL!AW14</f>
        <v>94977.683574218405</v>
      </c>
      <c r="N137" s="17">
        <f t="shared" si="36"/>
        <v>17783951.147412773</v>
      </c>
      <c r="O137" s="38">
        <f>(N137/12)/(450*1000)</f>
        <v>3.2933242865579206</v>
      </c>
    </row>
    <row r="138" spans="1:15" x14ac:dyDescent="0.2">
      <c r="A138" s="8" t="s">
        <v>32</v>
      </c>
      <c r="B138" s="5">
        <f>[1]PL!AL15</f>
        <v>154479.49266142302</v>
      </c>
      <c r="C138" s="5">
        <f>[1]PL!AM15</f>
        <v>151230.51775841202</v>
      </c>
      <c r="D138" s="5">
        <f>[1]PL!AN15</f>
        <v>32683.662123518203</v>
      </c>
      <c r="E138" s="5">
        <f>[1]PL!AO15</f>
        <v>71667.123737509202</v>
      </c>
      <c r="F138" s="5">
        <f>[1]PL!AP15</f>
        <v>290063.22864029906</v>
      </c>
      <c r="G138" s="5">
        <f>[1]PL!AQ15</f>
        <v>1773677.6890496502</v>
      </c>
      <c r="H138" s="5">
        <f>[1]PL!AR15</f>
        <v>5115627.5720438501</v>
      </c>
      <c r="I138" s="5">
        <f>[1]PL!AS15</f>
        <v>4930423.7585720401</v>
      </c>
      <c r="J138" s="5">
        <f>[1]PL!AT15</f>
        <v>611628.28169631911</v>
      </c>
      <c r="K138" s="5">
        <f>[1]PL!AU15</f>
        <v>86890.656601386203</v>
      </c>
      <c r="L138" s="5">
        <f>[1]PL!AV15</f>
        <v>58558.889369702905</v>
      </c>
      <c r="M138" s="5">
        <f>[1]PL!AW15</f>
        <v>75912.302136438608</v>
      </c>
      <c r="N138" s="17">
        <f t="shared" si="36"/>
        <v>13352843.174390549</v>
      </c>
      <c r="O138" s="38">
        <f>(N138/12)/(355*1000)</f>
        <v>3.1344702287301756</v>
      </c>
    </row>
    <row r="139" spans="1:15" x14ac:dyDescent="0.2">
      <c r="A139" s="25" t="s">
        <v>33</v>
      </c>
      <c r="B139" s="20">
        <f>[1]PL!AL16</f>
        <v>250682.56427707901</v>
      </c>
      <c r="C139" s="21">
        <f>[1]PL!AM16</f>
        <v>242515.49492803903</v>
      </c>
      <c r="D139" s="21">
        <f>[1]PL!AN16</f>
        <v>74560.439777477412</v>
      </c>
      <c r="E139" s="21">
        <f>[1]PL!AO16</f>
        <v>156291.04041151702</v>
      </c>
      <c r="F139" s="21">
        <f>[1]PL!AP16</f>
        <v>480844.57199765707</v>
      </c>
      <c r="G139" s="21">
        <f>[1]PL!AQ16</f>
        <v>2872215.626412</v>
      </c>
      <c r="H139" s="21">
        <f>[1]PL!AR16</f>
        <v>7884283.2794524403</v>
      </c>
      <c r="I139" s="21">
        <f>[1]PL!AS16</f>
        <v>7610874.4344141809</v>
      </c>
      <c r="J139" s="21">
        <f>[1]PL!AT16</f>
        <v>1081648.26060527</v>
      </c>
      <c r="K139" s="21">
        <f>[1]PL!AU16</f>
        <v>200523.00790227501</v>
      </c>
      <c r="L139" s="21">
        <f>[1]PL!AV16</f>
        <v>116914.84086902702</v>
      </c>
      <c r="M139" s="21">
        <f>[1]PL!AW16</f>
        <v>143052.97007090002</v>
      </c>
      <c r="N139" s="31">
        <f t="shared" si="36"/>
        <v>21114406.531117864</v>
      </c>
      <c r="O139" s="39">
        <f>(N139/12)/(510*1000)</f>
        <v>3.4500664266532457</v>
      </c>
    </row>
    <row r="140" spans="1:15" x14ac:dyDescent="0.2">
      <c r="A140" s="19" t="s">
        <v>36</v>
      </c>
      <c r="B140" s="5">
        <f t="shared" ref="B140:N140" si="37">SUM(B134:B139)</f>
        <v>1139230.270721612</v>
      </c>
      <c r="C140" s="5">
        <f t="shared" si="37"/>
        <v>1128240.8274467331</v>
      </c>
      <c r="D140" s="5">
        <f t="shared" si="37"/>
        <v>310614.44643373712</v>
      </c>
      <c r="E140" s="5">
        <f t="shared" si="37"/>
        <v>648262.76656183566</v>
      </c>
      <c r="F140" s="5">
        <f t="shared" si="37"/>
        <v>2223508.2028815821</v>
      </c>
      <c r="G140" s="5">
        <f t="shared" si="37"/>
        <v>15770714.197474921</v>
      </c>
      <c r="H140" s="5">
        <f t="shared" si="37"/>
        <v>43090906.65139427</v>
      </c>
      <c r="I140" s="5">
        <f t="shared" si="37"/>
        <v>41539715.579911754</v>
      </c>
      <c r="J140" s="5">
        <f t="shared" si="37"/>
        <v>5576189.9828627072</v>
      </c>
      <c r="K140" s="5">
        <f t="shared" si="37"/>
        <v>691049.34586494917</v>
      </c>
      <c r="L140" s="5">
        <f t="shared" si="37"/>
        <v>474749.00527789054</v>
      </c>
      <c r="M140" s="5">
        <f t="shared" si="37"/>
        <v>541961.26779131824</v>
      </c>
      <c r="N140" s="32">
        <f t="shared" si="37"/>
        <v>113135142.54462332</v>
      </c>
      <c r="O140" s="40">
        <f>(SUM(N134:N139)/12)/(2833*1000)</f>
        <v>3.3278957096312309</v>
      </c>
    </row>
    <row r="141" spans="1:15" x14ac:dyDescent="0.2">
      <c r="A141" s="29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5"/>
      <c r="N141" s="17"/>
      <c r="O141" s="87"/>
    </row>
    <row r="142" spans="1:15" x14ac:dyDescent="0.2">
      <c r="A142" s="8" t="s">
        <v>13</v>
      </c>
      <c r="B142" s="5">
        <v>-3174.1409000000003</v>
      </c>
      <c r="C142" s="5">
        <v>-3173.1408999999999</v>
      </c>
      <c r="D142" s="5">
        <v>-3172.1408999999999</v>
      </c>
      <c r="E142" s="5">
        <v>-3171.1408999999999</v>
      </c>
      <c r="F142" s="5">
        <v>-3170.1408999999999</v>
      </c>
      <c r="G142" s="5">
        <v>-3169.1408999999999</v>
      </c>
      <c r="H142" s="5">
        <v>-3168.1408999999999</v>
      </c>
      <c r="I142" s="5">
        <v>-3167.1408999999999</v>
      </c>
      <c r="J142" s="5">
        <v>-3166.1408999999999</v>
      </c>
      <c r="K142" s="5">
        <v>-3165.1408999999999</v>
      </c>
      <c r="L142" s="5">
        <v>-3164.1408999999999</v>
      </c>
      <c r="M142" s="5">
        <v>-3163.1408999999999</v>
      </c>
      <c r="N142" s="17">
        <f t="shared" ref="N142:N150" si="38">SUM(B142:M142)</f>
        <v>-38023.690799999997</v>
      </c>
      <c r="O142" s="87"/>
    </row>
    <row r="143" spans="1:15" x14ac:dyDescent="0.2">
      <c r="A143" s="11" t="s">
        <v>59</v>
      </c>
      <c r="B143" s="5">
        <f>[1]PL!AL24</f>
        <v>0</v>
      </c>
      <c r="C143" s="5">
        <f>[1]PL!AM24</f>
        <v>0</v>
      </c>
      <c r="D143" s="5">
        <f>[1]PL!AN24</f>
        <v>0</v>
      </c>
      <c r="E143" s="5">
        <f>[1]PL!AO24</f>
        <v>0</v>
      </c>
      <c r="F143" s="5">
        <f>[1]PL!AP24</f>
        <v>0</v>
      </c>
      <c r="G143" s="5">
        <f>[1]PL!AQ24</f>
        <v>0</v>
      </c>
      <c r="H143" s="5">
        <f>[1]PL!AR24</f>
        <v>0</v>
      </c>
      <c r="I143" s="5">
        <f>[1]PL!AS24</f>
        <v>0</v>
      </c>
      <c r="J143" s="5">
        <f>[1]PL!AT24</f>
        <v>0</v>
      </c>
      <c r="K143" s="5">
        <f>[1]PL!AU24</f>
        <v>0</v>
      </c>
      <c r="L143" s="5">
        <f>[1]PL!AV24</f>
        <v>0</v>
      </c>
      <c r="M143" s="5">
        <f>[1]PL!AW24</f>
        <v>0</v>
      </c>
      <c r="N143" s="17">
        <f t="shared" si="38"/>
        <v>0</v>
      </c>
      <c r="O143" s="87"/>
    </row>
    <row r="144" spans="1:15" x14ac:dyDescent="0.2">
      <c r="A144" s="11" t="s">
        <v>58</v>
      </c>
      <c r="B144" s="5">
        <f>[1]PL!AL25</f>
        <v>0</v>
      </c>
      <c r="C144" s="5">
        <f>[1]PL!AM25</f>
        <v>0</v>
      </c>
      <c r="D144" s="5">
        <f>[1]PL!AN25</f>
        <v>0</v>
      </c>
      <c r="E144" s="5">
        <f>[1]PL!AO25</f>
        <v>0</v>
      </c>
      <c r="F144" s="5">
        <f>[1]PL!AP25</f>
        <v>0</v>
      </c>
      <c r="G144" s="5">
        <f>[1]PL!AQ25</f>
        <v>0</v>
      </c>
      <c r="H144" s="5">
        <f>[1]PL!AR25</f>
        <v>0</v>
      </c>
      <c r="I144" s="5">
        <f>[1]PL!AS25</f>
        <v>0</v>
      </c>
      <c r="J144" s="5">
        <f>[1]PL!AT25</f>
        <v>0</v>
      </c>
      <c r="K144" s="5">
        <f>[1]PL!AU25</f>
        <v>0</v>
      </c>
      <c r="L144" s="5">
        <f>[1]PL!AV25</f>
        <v>0</v>
      </c>
      <c r="M144" s="5">
        <f>[1]PL!AW25</f>
        <v>0</v>
      </c>
      <c r="N144" s="17">
        <f t="shared" si="38"/>
        <v>0</v>
      </c>
      <c r="O144" s="87"/>
    </row>
    <row r="145" spans="1:15" x14ac:dyDescent="0.2">
      <c r="A145" s="11" t="s">
        <v>61</v>
      </c>
      <c r="B145" s="5">
        <f>[1]PL!AL26</f>
        <v>-415541.61368006602</v>
      </c>
      <c r="C145" s="5">
        <f>[1]PL!AM26</f>
        <v>-301392.35334262101</v>
      </c>
      <c r="D145" s="5">
        <f>[1]PL!AN26</f>
        <v>0</v>
      </c>
      <c r="E145" s="5">
        <f>[1]PL!AO26</f>
        <v>0</v>
      </c>
      <c r="F145" s="5">
        <f>[1]PL!AP26</f>
        <v>0</v>
      </c>
      <c r="G145" s="5">
        <f>[1]PL!AQ26</f>
        <v>0</v>
      </c>
      <c r="H145" s="5">
        <f>[1]PL!AR26</f>
        <v>0</v>
      </c>
      <c r="I145" s="5">
        <f>[1]PL!AS26</f>
        <v>0</v>
      </c>
      <c r="J145" s="5">
        <f>[1]PL!AT26</f>
        <v>0</v>
      </c>
      <c r="K145" s="5">
        <f>[1]PL!AU26</f>
        <v>0</v>
      </c>
      <c r="L145" s="5">
        <f>[1]PL!AV26</f>
        <v>0</v>
      </c>
      <c r="M145" s="5">
        <f>[1]PL!AW26</f>
        <v>0</v>
      </c>
      <c r="N145" s="17">
        <f t="shared" si="38"/>
        <v>-716933.96702268696</v>
      </c>
      <c r="O145" s="87"/>
    </row>
    <row r="146" spans="1:15" x14ac:dyDescent="0.2">
      <c r="A146" s="11" t="s">
        <v>60</v>
      </c>
      <c r="B146" s="5">
        <f>[1]PL!AL27</f>
        <v>-138513.87122668902</v>
      </c>
      <c r="C146" s="5">
        <f>[1]PL!AM27</f>
        <v>-100464.11778087402</v>
      </c>
      <c r="D146" s="5">
        <f>[1]PL!AN27</f>
        <v>0</v>
      </c>
      <c r="E146" s="5">
        <f>[1]PL!AO27</f>
        <v>0</v>
      </c>
      <c r="F146" s="5">
        <f>[1]PL!AP27</f>
        <v>0</v>
      </c>
      <c r="G146" s="5">
        <f>[1]PL!AQ27</f>
        <v>0</v>
      </c>
      <c r="H146" s="5">
        <f>[1]PL!AR27</f>
        <v>0</v>
      </c>
      <c r="I146" s="5">
        <f>[1]PL!AS27</f>
        <v>0</v>
      </c>
      <c r="J146" s="5">
        <f>[1]PL!AT27</f>
        <v>0</v>
      </c>
      <c r="K146" s="5">
        <f>[1]PL!AU27</f>
        <v>0</v>
      </c>
      <c r="L146" s="5">
        <f>[1]PL!AV27</f>
        <v>0</v>
      </c>
      <c r="M146" s="5">
        <f>[1]PL!AW27</f>
        <v>0</v>
      </c>
      <c r="N146" s="17">
        <f t="shared" si="38"/>
        <v>-238977.98900756304</v>
      </c>
      <c r="O146" s="8"/>
    </row>
    <row r="147" spans="1:15" x14ac:dyDescent="0.2">
      <c r="A147" s="11" t="s">
        <v>63</v>
      </c>
      <c r="B147" s="5">
        <f>[1]PL!AL28</f>
        <v>0</v>
      </c>
      <c r="C147" s="5">
        <f>[1]PL!AM28</f>
        <v>0</v>
      </c>
      <c r="D147" s="5">
        <f>[1]PL!AN28</f>
        <v>0</v>
      </c>
      <c r="E147" s="5">
        <f>[1]PL!AO28</f>
        <v>0</v>
      </c>
      <c r="F147" s="5">
        <f>[1]PL!AP28</f>
        <v>0</v>
      </c>
      <c r="G147" s="5">
        <f>[1]PL!AQ28</f>
        <v>94660.945262944006</v>
      </c>
      <c r="H147" s="5">
        <f>[1]PL!AR28</f>
        <v>112668.28196365043</v>
      </c>
      <c r="I147" s="5">
        <f>[1]PL!AS28</f>
        <v>106913.91065676541</v>
      </c>
      <c r="J147" s="5">
        <f>[1]PL!AT28</f>
        <v>0</v>
      </c>
      <c r="K147" s="5">
        <f>[1]PL!AU28</f>
        <v>0</v>
      </c>
      <c r="L147" s="5">
        <f>[1]PL!AV28</f>
        <v>0</v>
      </c>
      <c r="M147" s="5">
        <f>[1]PL!AW28</f>
        <v>0</v>
      </c>
      <c r="N147" s="17">
        <f t="shared" si="38"/>
        <v>314243.13788335986</v>
      </c>
      <c r="O147" s="8"/>
    </row>
    <row r="148" spans="1:15" x14ac:dyDescent="0.2">
      <c r="A148" s="11" t="s">
        <v>62</v>
      </c>
      <c r="B148" s="5">
        <f>SUM([1]PL!AL$29:AL$32)</f>
        <v>-51770.325952643274</v>
      </c>
      <c r="C148" s="5">
        <f>SUM([1]PL!AM$29:AM$32)</f>
        <v>-51492.749655816559</v>
      </c>
      <c r="D148" s="5">
        <f>SUM([1]PL!AN$29:AN$32)</f>
        <v>-51188.652039747867</v>
      </c>
      <c r="E148" s="5">
        <f>SUM([1]PL!AO$29:AO$32)</f>
        <v>-50896.843864021379</v>
      </c>
      <c r="F148" s="5">
        <f>SUM([1]PL!AP$29:AP$32)</f>
        <v>-64438.839904378561</v>
      </c>
      <c r="G148" s="5">
        <f>SUM([1]PL!AQ$29:AQ$32)</f>
        <v>2332711.1424304219</v>
      </c>
      <c r="H148" s="5">
        <f>SUM([1]PL!AR$29:AR$32)</f>
        <v>-48654.784222122114</v>
      </c>
      <c r="I148" s="5">
        <f>SUM([1]PL!AS$29:AS$32)</f>
        <v>-49626.709822731791</v>
      </c>
      <c r="J148" s="5">
        <f>SUM([1]PL!AT$29:AT$32)</f>
        <v>25588.91068313197</v>
      </c>
      <c r="K148" s="5">
        <f>SUM([1]PL!AU$29:AU$32)</f>
        <v>-49143.858596078746</v>
      </c>
      <c r="L148" s="5">
        <f>SUM([1]PL!AV$29:AV$32)</f>
        <v>0</v>
      </c>
      <c r="M148" s="5">
        <f>SUM([1]PL!AW$29:AW$32)</f>
        <v>0</v>
      </c>
      <c r="N148" s="17">
        <f t="shared" si="38"/>
        <v>1941087.2890560136</v>
      </c>
      <c r="O148" s="8"/>
    </row>
    <row r="149" spans="1:15" x14ac:dyDescent="0.2">
      <c r="A149" s="35" t="s">
        <v>53</v>
      </c>
      <c r="B149" s="21">
        <f>[1]PL!AL18</f>
        <v>0</v>
      </c>
      <c r="C149" s="21">
        <f>[1]PL!AM18</f>
        <v>0</v>
      </c>
      <c r="D149" s="21">
        <f>[1]PL!AN18</f>
        <v>0</v>
      </c>
      <c r="E149" s="21">
        <f>[1]PL!AO18</f>
        <v>0</v>
      </c>
      <c r="F149" s="21">
        <f>[1]PL!AP18</f>
        <v>0</v>
      </c>
      <c r="G149" s="21">
        <f>[1]PL!AQ18</f>
        <v>0</v>
      </c>
      <c r="H149" s="21">
        <f>[1]PL!AR18</f>
        <v>0</v>
      </c>
      <c r="I149" s="21">
        <f>[1]PL!AS18</f>
        <v>0</v>
      </c>
      <c r="J149" s="21">
        <f>[1]PL!AT18</f>
        <v>0</v>
      </c>
      <c r="K149" s="21">
        <f>[1]PL!AU18</f>
        <v>0</v>
      </c>
      <c r="L149" s="21">
        <f>[1]PL!AV18</f>
        <v>0</v>
      </c>
      <c r="M149" s="21">
        <f>[1]PL!AW18</f>
        <v>0</v>
      </c>
      <c r="N149" s="31">
        <f t="shared" si="38"/>
        <v>0</v>
      </c>
      <c r="O149" s="8"/>
    </row>
    <row r="150" spans="1:15" x14ac:dyDescent="0.2">
      <c r="A150" s="19" t="s">
        <v>37</v>
      </c>
      <c r="B150" s="5">
        <f>SUM(B142:B149)</f>
        <v>-608999.95175939833</v>
      </c>
      <c r="C150" s="5">
        <f>SUM(C142:C149)</f>
        <v>-456522.36167931161</v>
      </c>
      <c r="D150" s="5">
        <f t="shared" ref="D150:I150" si="39">SUM(D142:D149)</f>
        <v>-54360.792939747866</v>
      </c>
      <c r="E150" s="5">
        <f t="shared" si="39"/>
        <v>-54067.984764021377</v>
      </c>
      <c r="F150" s="5">
        <f t="shared" si="39"/>
        <v>-67608.98080437856</v>
      </c>
      <c r="G150" s="5">
        <f t="shared" si="39"/>
        <v>2424202.9467933658</v>
      </c>
      <c r="H150" s="5">
        <f t="shared" si="39"/>
        <v>60845.356841528315</v>
      </c>
      <c r="I150" s="5">
        <f t="shared" si="39"/>
        <v>54120.059934033619</v>
      </c>
      <c r="J150" s="5">
        <f>SUM(J142:J149)</f>
        <v>22422.769783131971</v>
      </c>
      <c r="K150" s="5">
        <f>SUM(K142:K149)</f>
        <v>-52308.999496078744</v>
      </c>
      <c r="L150" s="5">
        <f>SUM(L142:L149)</f>
        <v>-3164.1408999999999</v>
      </c>
      <c r="M150" s="5">
        <f>SUM(M142:M149)</f>
        <v>-3163.1408999999999</v>
      </c>
      <c r="N150" s="17">
        <f t="shared" si="38"/>
        <v>1261394.7801091231</v>
      </c>
      <c r="O150" s="8"/>
    </row>
    <row r="151" spans="1:15" x14ac:dyDescent="0.2">
      <c r="A151" s="29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5"/>
      <c r="N151" s="17"/>
      <c r="O151" s="8"/>
    </row>
    <row r="152" spans="1:15" x14ac:dyDescent="0.2">
      <c r="A152" s="8" t="s">
        <v>40</v>
      </c>
      <c r="B152" s="5">
        <f>[1]PL!AL17</f>
        <v>-3822805.3575151362</v>
      </c>
      <c r="C152" s="5">
        <f>[1]PL!AM17</f>
        <v>-3824250.3492942783</v>
      </c>
      <c r="D152" s="5">
        <f>[1]PL!AN17</f>
        <v>-3824474.5497235432</v>
      </c>
      <c r="E152" s="5">
        <f>[1]PL!AO17</f>
        <v>-3824760.1913155206</v>
      </c>
      <c r="F152" s="5">
        <f>[1]PL!AP17</f>
        <v>-3822852.2085362831</v>
      </c>
      <c r="G152" s="5">
        <f>[1]PL!AQ17</f>
        <v>-3807277.7073957869</v>
      </c>
      <c r="H152" s="5">
        <f>[1]PL!AR17</f>
        <v>-3781745.2927471306</v>
      </c>
      <c r="I152" s="5">
        <f>[1]PL!AS17</f>
        <v>-3780137.7974003437</v>
      </c>
      <c r="J152" s="5">
        <f>[1]PL!AT17</f>
        <v>-3809835.6238877354</v>
      </c>
      <c r="K152" s="5">
        <f>[1]PL!AU17</f>
        <v>-3812128.4263847107</v>
      </c>
      <c r="L152" s="5">
        <f>[1]PL!AV17</f>
        <v>-3811767.5143240225</v>
      </c>
      <c r="M152" s="5">
        <f>[1]PL!AW17</f>
        <v>-3809161.7950450405</v>
      </c>
      <c r="N152" s="17">
        <f t="shared" ref="N152:N158" si="40">SUM(B152:M152)</f>
        <v>-45731196.813569538</v>
      </c>
      <c r="O152" s="40">
        <f t="shared" ref="O152:O157" si="41">(N152/12)/(2820*1000)</f>
        <v>-1.3513947048927168</v>
      </c>
    </row>
    <row r="153" spans="1:15" x14ac:dyDescent="0.2">
      <c r="A153" s="11" t="s">
        <v>41</v>
      </c>
      <c r="B153" s="5">
        <f>[1]PL!AL19</f>
        <v>-2068125.9511074852</v>
      </c>
      <c r="C153" s="5">
        <f>[1]PL!AM19</f>
        <v>-2057037.306554528</v>
      </c>
      <c r="D153" s="5">
        <f>[1]PL!AN19</f>
        <v>-2044889.1857944429</v>
      </c>
      <c r="E153" s="5">
        <f>[1]PL!AO19</f>
        <v>-2033232.0047770033</v>
      </c>
      <c r="F153" s="5">
        <f>[1]PL!AP19</f>
        <v>-2021259.1221358404</v>
      </c>
      <c r="G153" s="5">
        <f>[1]PL!AQ19</f>
        <v>-2009738.8014534542</v>
      </c>
      <c r="H153" s="5">
        <f>[1]PL!AR19</f>
        <v>-1997906.3139377341</v>
      </c>
      <c r="I153" s="5">
        <f>[1]PL!AS19</f>
        <v>-1986145.4458016353</v>
      </c>
      <c r="J153" s="5">
        <f>[1]PL!AT19</f>
        <v>-1974828.1830889373</v>
      </c>
      <c r="K153" s="5">
        <f>[1]PL!AU19</f>
        <v>-1963203.581006581</v>
      </c>
      <c r="L153" s="5">
        <f>[1]PL!AV19</f>
        <v>-1951998.2615260133</v>
      </c>
      <c r="M153" s="5">
        <f>[1]PL!AW19</f>
        <v>-1940446.9232117902</v>
      </c>
      <c r="N153" s="17">
        <f t="shared" si="40"/>
        <v>-24048811.080395449</v>
      </c>
      <c r="O153" s="40">
        <f t="shared" si="41"/>
        <v>-0.71066226596913262</v>
      </c>
    </row>
    <row r="154" spans="1:15" x14ac:dyDescent="0.2">
      <c r="A154" s="11" t="s">
        <v>42</v>
      </c>
      <c r="B154" s="5">
        <f>[1]PL!AL20</f>
        <v>-820883.54150855506</v>
      </c>
      <c r="C154" s="5">
        <f>[1]PL!AM20</f>
        <v>-816482.22068654001</v>
      </c>
      <c r="D154" s="5">
        <f>[1]PL!AN20</f>
        <v>-811660.371037164</v>
      </c>
      <c r="E154" s="5">
        <f>[1]PL!AO20</f>
        <v>-807033.38589997811</v>
      </c>
      <c r="F154" s="5">
        <f>[1]PL!AP20</f>
        <v>-802281.09201803303</v>
      </c>
      <c r="G154" s="5">
        <f>[1]PL!AQ20</f>
        <v>-797708.42968283303</v>
      </c>
      <c r="H154" s="5">
        <f>[1]PL!AR20</f>
        <v>-793011.86163698696</v>
      </c>
      <c r="I154" s="5">
        <f>[1]PL!AS20</f>
        <v>-788343.72085880814</v>
      </c>
      <c r="J154" s="5">
        <f>[1]PL!AT20</f>
        <v>-783854.02945927309</v>
      </c>
      <c r="K154" s="5">
        <f>[1]PL!AU20</f>
        <v>-779237.60272722517</v>
      </c>
      <c r="L154" s="5">
        <f>[1]PL!AV20</f>
        <v>-774789.97112431412</v>
      </c>
      <c r="M154" s="5">
        <f>[1]PL!AW20</f>
        <v>-770204.99722586316</v>
      </c>
      <c r="N154" s="17">
        <f t="shared" si="40"/>
        <v>-9545491.2238655742</v>
      </c>
      <c r="O154" s="40">
        <f t="shared" si="41"/>
        <v>-0.28207716382581488</v>
      </c>
    </row>
    <row r="155" spans="1:15" x14ac:dyDescent="0.2">
      <c r="A155" s="11" t="s">
        <v>43</v>
      </c>
      <c r="B155" s="5">
        <f>[1]PL!AL21</f>
        <v>-331331.74274734745</v>
      </c>
      <c r="C155" s="5">
        <f>[1]PL!AM21</f>
        <v>-329555.24556521524</v>
      </c>
      <c r="D155" s="5">
        <f>[1]PL!AN21</f>
        <v>-327609.01109125145</v>
      </c>
      <c r="E155" s="5">
        <f>[1]PL!AO21</f>
        <v>-325741.42942875123</v>
      </c>
      <c r="F155" s="5">
        <f>[1]PL!AP21</f>
        <v>-323823.26962369622</v>
      </c>
      <c r="G155" s="5">
        <f>[1]PL!AQ21</f>
        <v>-321977.61417574796</v>
      </c>
      <c r="H155" s="5">
        <f>[1]PL!AR21</f>
        <v>-320081.94688937225</v>
      </c>
      <c r="I155" s="5">
        <f>[1]PL!AS21</f>
        <v>-318197.75364975428</v>
      </c>
      <c r="J155" s="5">
        <f>[1]PL!AT21</f>
        <v>-316384.62985247339</v>
      </c>
      <c r="K155" s="5">
        <f>[1]PL!AU21</f>
        <v>-314522.26761837903</v>
      </c>
      <c r="L155" s="5">
        <f>[1]PL!AV21</f>
        <v>-312727.07809931284</v>
      </c>
      <c r="M155" s="5">
        <f>[1]PL!AW21</f>
        <v>-310876.45335730142</v>
      </c>
      <c r="N155" s="17">
        <f t="shared" si="40"/>
        <v>-3852828.4420986027</v>
      </c>
      <c r="O155" s="40">
        <f t="shared" si="41"/>
        <v>-0.11385426838352844</v>
      </c>
    </row>
    <row r="156" spans="1:15" x14ac:dyDescent="0.2">
      <c r="A156" s="11" t="s">
        <v>44</v>
      </c>
      <c r="B156" s="5">
        <f>[1]PL!AL22</f>
        <v>0</v>
      </c>
      <c r="C156" s="5">
        <f>[1]PL!AM22</f>
        <v>0</v>
      </c>
      <c r="D156" s="5">
        <f>[1]PL!AN22</f>
        <v>0</v>
      </c>
      <c r="E156" s="5">
        <f>[1]PL!AO22</f>
        <v>0</v>
      </c>
      <c r="F156" s="5">
        <f>[1]PL!AP22</f>
        <v>0</v>
      </c>
      <c r="G156" s="5">
        <f>[1]PL!AQ22</f>
        <v>0</v>
      </c>
      <c r="H156" s="5">
        <f>[1]PL!AR22</f>
        <v>0</v>
      </c>
      <c r="I156" s="5">
        <f>[1]PL!AS22</f>
        <v>0</v>
      </c>
      <c r="J156" s="5">
        <f>[1]PL!AT22</f>
        <v>0</v>
      </c>
      <c r="K156" s="5">
        <f>[1]PL!AU22</f>
        <v>0</v>
      </c>
      <c r="L156" s="5">
        <f>[1]PL!AV22</f>
        <v>0</v>
      </c>
      <c r="M156" s="5">
        <f>[1]PL!AW22</f>
        <v>0</v>
      </c>
      <c r="N156" s="17">
        <f t="shared" si="40"/>
        <v>0</v>
      </c>
      <c r="O156" s="40">
        <f t="shared" si="41"/>
        <v>0</v>
      </c>
    </row>
    <row r="157" spans="1:15" x14ac:dyDescent="0.2">
      <c r="A157" s="35" t="s">
        <v>45</v>
      </c>
      <c r="B157" s="20">
        <f>[1]PL!AL23</f>
        <v>-466965.8551171961</v>
      </c>
      <c r="C157" s="21">
        <f>[1]PL!AM23</f>
        <v>-464462.1302434816</v>
      </c>
      <c r="D157" s="21">
        <f>[1]PL!AN23</f>
        <v>-461719.18434322736</v>
      </c>
      <c r="E157" s="21">
        <f>[1]PL!AO23</f>
        <v>-459087.08860498259</v>
      </c>
      <c r="F157" s="21">
        <f>[1]PL!AP23</f>
        <v>-456383.71003282419</v>
      </c>
      <c r="G157" s="21">
        <f>[1]PL!AQ23</f>
        <v>-453782.51623425743</v>
      </c>
      <c r="H157" s="21">
        <f>[1]PL!AR23</f>
        <v>-451110.83772841812</v>
      </c>
      <c r="I157" s="21">
        <f>[1]PL!AS23</f>
        <v>-448455.33029031818</v>
      </c>
      <c r="J157" s="21">
        <f>[1]PL!AT23</f>
        <v>-445899.98531367863</v>
      </c>
      <c r="K157" s="21">
        <f>[1]PL!AU23</f>
        <v>-443275.24563141773</v>
      </c>
      <c r="L157" s="21">
        <f>[1]PL!AV23</f>
        <v>-440745.17651725066</v>
      </c>
      <c r="M157" s="21">
        <f>[1]PL!AW23</f>
        <v>-438136.97919215064</v>
      </c>
      <c r="N157" s="31">
        <f t="shared" si="40"/>
        <v>-5430024.0392492032</v>
      </c>
      <c r="O157" s="88">
        <f t="shared" si="41"/>
        <v>-0.160461703287506</v>
      </c>
    </row>
    <row r="158" spans="1:15" x14ac:dyDescent="0.2">
      <c r="A158" s="19" t="s">
        <v>38</v>
      </c>
      <c r="B158" s="3">
        <f t="shared" ref="B158:M158" si="42">SUM(B152:B157)</f>
        <v>-7510112.4479957204</v>
      </c>
      <c r="C158" s="3">
        <f t="shared" si="42"/>
        <v>-7491787.2523440439</v>
      </c>
      <c r="D158" s="3">
        <f t="shared" si="42"/>
        <v>-7470352.3019896289</v>
      </c>
      <c r="E158" s="3">
        <f t="shared" si="42"/>
        <v>-7449854.1000262359</v>
      </c>
      <c r="F158" s="3">
        <f t="shared" si="42"/>
        <v>-7426599.4023466771</v>
      </c>
      <c r="G158" s="3">
        <f t="shared" si="42"/>
        <v>-7390485.0689420793</v>
      </c>
      <c r="H158" s="3">
        <f t="shared" si="42"/>
        <v>-7343856.2529396424</v>
      </c>
      <c r="I158" s="3">
        <f t="shared" si="42"/>
        <v>-7321280.04800086</v>
      </c>
      <c r="J158" s="3">
        <f t="shared" si="42"/>
        <v>-7330802.4516020976</v>
      </c>
      <c r="K158" s="3">
        <f t="shared" si="42"/>
        <v>-7312367.1233683135</v>
      </c>
      <c r="L158" s="3">
        <f t="shared" si="42"/>
        <v>-7292028.0015909132</v>
      </c>
      <c r="M158" s="3">
        <f t="shared" si="42"/>
        <v>-7268827.1480321465</v>
      </c>
      <c r="N158" s="4">
        <f t="shared" si="40"/>
        <v>-88608351.599178344</v>
      </c>
      <c r="O158" s="38">
        <f>SUM(O152:O157)</f>
        <v>-2.6184501063586993</v>
      </c>
    </row>
    <row r="159" spans="1:15" x14ac:dyDescent="0.2">
      <c r="A159" s="33"/>
      <c r="M159" s="30"/>
      <c r="N159" s="25"/>
      <c r="O159" s="25"/>
    </row>
    <row r="160" spans="1:15" x14ac:dyDescent="0.2">
      <c r="A160" s="51" t="s">
        <v>0</v>
      </c>
      <c r="B160" s="13">
        <f t="shared" ref="B160:N160" si="43">B140+B150+B158</f>
        <v>-6979882.1290335068</v>
      </c>
      <c r="C160" s="13">
        <f t="shared" si="43"/>
        <v>-6820068.7865766222</v>
      </c>
      <c r="D160" s="13">
        <f t="shared" si="43"/>
        <v>-7214098.6484956397</v>
      </c>
      <c r="E160" s="13">
        <f t="shared" si="43"/>
        <v>-6855659.3182284217</v>
      </c>
      <c r="F160" s="13">
        <f t="shared" si="43"/>
        <v>-5270700.1802694742</v>
      </c>
      <c r="G160" s="13">
        <f t="shared" si="43"/>
        <v>10804432.075326206</v>
      </c>
      <c r="H160" s="13">
        <f t="shared" si="43"/>
        <v>35807895.755296156</v>
      </c>
      <c r="I160" s="13">
        <f t="shared" si="43"/>
        <v>34272555.591844931</v>
      </c>
      <c r="J160" s="13">
        <f t="shared" si="43"/>
        <v>-1732189.6989562586</v>
      </c>
      <c r="K160" s="13">
        <f t="shared" si="43"/>
        <v>-6673626.7769994428</v>
      </c>
      <c r="L160" s="13">
        <f t="shared" si="43"/>
        <v>-6820443.1372130224</v>
      </c>
      <c r="M160" s="13">
        <f t="shared" si="43"/>
        <v>-6730029.0211408287</v>
      </c>
      <c r="N160" s="13">
        <f t="shared" si="43"/>
        <v>25788185.725554094</v>
      </c>
      <c r="O160" s="39"/>
    </row>
    <row r="164" spans="1:15" x14ac:dyDescent="0.2">
      <c r="B164" s="52">
        <v>37987</v>
      </c>
      <c r="C164" s="52">
        <v>38018</v>
      </c>
      <c r="D164" s="52">
        <v>38047</v>
      </c>
      <c r="E164" s="52">
        <v>38078</v>
      </c>
      <c r="F164" s="52">
        <v>38108</v>
      </c>
      <c r="G164" s="52">
        <v>38139</v>
      </c>
      <c r="H164" s="52">
        <v>38169</v>
      </c>
      <c r="I164" s="52">
        <v>38200</v>
      </c>
      <c r="J164" s="52">
        <v>38231</v>
      </c>
      <c r="K164" s="52">
        <v>38261</v>
      </c>
      <c r="L164" s="52">
        <v>38292</v>
      </c>
      <c r="M164" s="52">
        <v>38322</v>
      </c>
      <c r="N164" s="6" t="s">
        <v>28</v>
      </c>
      <c r="O164" s="16" t="s">
        <v>47</v>
      </c>
    </row>
    <row r="165" spans="1:15" x14ac:dyDescent="0.2">
      <c r="A165" s="9" t="s">
        <v>34</v>
      </c>
      <c r="B165" s="5">
        <f>[1]PL!AY11</f>
        <v>125392.69837905701</v>
      </c>
      <c r="C165" s="5">
        <f>[1]PL!AZ11</f>
        <v>133274.55123295102</v>
      </c>
      <c r="D165" s="5">
        <f>[1]PL!BA11</f>
        <v>58442.487908522708</v>
      </c>
      <c r="E165" s="5">
        <f>[1]PL!BB11</f>
        <v>107128.29874031802</v>
      </c>
      <c r="F165" s="5">
        <f>[1]PL!BC11</f>
        <v>290428.08088352805</v>
      </c>
      <c r="G165" s="5">
        <f>[1]PL!BD11</f>
        <v>2445859.1530885203</v>
      </c>
      <c r="H165" s="5">
        <f>[1]PL!BE11</f>
        <v>5408180.4543322204</v>
      </c>
      <c r="I165" s="5">
        <f>[1]PL!BF11</f>
        <v>5543313.2620562306</v>
      </c>
      <c r="J165" s="5">
        <f>[1]PL!BG11</f>
        <v>878911.4011476991</v>
      </c>
      <c r="K165" s="5">
        <f>[1]PL!BH11</f>
        <v>75202.028416899804</v>
      </c>
      <c r="L165" s="5">
        <f>[1]PL!BI11</f>
        <v>79001.553508894809</v>
      </c>
      <c r="M165" s="5">
        <f>[1]PL!BJ11</f>
        <v>67220.651408265214</v>
      </c>
      <c r="N165" s="32">
        <f t="shared" ref="N165:N170" si="44">SUM(B165:M165)</f>
        <v>15212354.621103108</v>
      </c>
      <c r="O165" s="37">
        <f>(N165/12)/(465*1000)</f>
        <v>2.7262284267209869</v>
      </c>
    </row>
    <row r="166" spans="1:15" x14ac:dyDescent="0.2">
      <c r="A166" s="8" t="s">
        <v>35</v>
      </c>
      <c r="B166" s="5">
        <f>[1]PL!AY12</f>
        <v>179278.68601440502</v>
      </c>
      <c r="C166" s="5">
        <f>[1]PL!AZ12</f>
        <v>193583.12960800703</v>
      </c>
      <c r="D166" s="5">
        <f>[1]PL!BA12</f>
        <v>83522.885739060803</v>
      </c>
      <c r="E166" s="5">
        <f>[1]PL!BB12</f>
        <v>130460.93763766301</v>
      </c>
      <c r="F166" s="5">
        <f>[1]PL!BC12</f>
        <v>313175.10186843405</v>
      </c>
      <c r="G166" s="5">
        <f>[1]PL!BD12</f>
        <v>3053127.9818544001</v>
      </c>
      <c r="H166" s="5">
        <f>[1]PL!BE12</f>
        <v>6878218.1568291103</v>
      </c>
      <c r="I166" s="5">
        <f>[1]PL!BF12</f>
        <v>7054336.0574763604</v>
      </c>
      <c r="J166" s="5">
        <f>[1]PL!BG12</f>
        <v>1111390.1799547002</v>
      </c>
      <c r="K166" s="5">
        <f>[1]PL!BH12</f>
        <v>80963.903023372011</v>
      </c>
      <c r="L166" s="5">
        <f>[1]PL!BI12</f>
        <v>105067.77234170101</v>
      </c>
      <c r="M166" s="5">
        <f>[1]PL!BJ12</f>
        <v>93854.472178424214</v>
      </c>
      <c r="N166" s="17">
        <f t="shared" si="44"/>
        <v>19276979.264525641</v>
      </c>
      <c r="O166" s="38">
        <f>(N166/12)/(600*1000)</f>
        <v>2.6773582311841166</v>
      </c>
    </row>
    <row r="167" spans="1:15" x14ac:dyDescent="0.2">
      <c r="A167" s="8" t="s">
        <v>31</v>
      </c>
      <c r="B167" s="5">
        <f>[1]PL!AY13</f>
        <v>148941.447807855</v>
      </c>
      <c r="C167" s="5">
        <f>[1]PL!AZ13</f>
        <v>153962.59801269101</v>
      </c>
      <c r="D167" s="5">
        <f>[1]PL!BA13</f>
        <v>41927.776050218607</v>
      </c>
      <c r="E167" s="5">
        <f>[1]PL!BB13</f>
        <v>90375.327950763909</v>
      </c>
      <c r="F167" s="5">
        <f>[1]PL!BC13</f>
        <v>295010.43404494401</v>
      </c>
      <c r="G167" s="5">
        <f>[1]PL!BD13</f>
        <v>1963701.8190861302</v>
      </c>
      <c r="H167" s="5">
        <f>[1]PL!BE13</f>
        <v>5020064.9570176201</v>
      </c>
      <c r="I167" s="5">
        <f>[1]PL!BF13</f>
        <v>5123602.2292827703</v>
      </c>
      <c r="J167" s="5">
        <f>[1]PL!BG13</f>
        <v>717631.73607526906</v>
      </c>
      <c r="K167" s="5">
        <f>[1]PL!BH13</f>
        <v>101647.17758257702</v>
      </c>
      <c r="L167" s="5">
        <f>[1]PL!BI13</f>
        <v>73665.062111449704</v>
      </c>
      <c r="M167" s="5">
        <f>[1]PL!BJ13</f>
        <v>88763.430684952109</v>
      </c>
      <c r="N167" s="17">
        <f t="shared" si="44"/>
        <v>13819293.995707242</v>
      </c>
      <c r="O167" s="38">
        <f>(N167/12)/(440*1000)</f>
        <v>2.617290529490008</v>
      </c>
    </row>
    <row r="168" spans="1:15" x14ac:dyDescent="0.2">
      <c r="A168" s="8" t="s">
        <v>30</v>
      </c>
      <c r="B168" s="5">
        <f>[1]PL!AY14</f>
        <v>163757.31524016001</v>
      </c>
      <c r="C168" s="5">
        <f>[1]PL!AZ14</f>
        <v>168823.26084034602</v>
      </c>
      <c r="D168" s="5">
        <f>[1]PL!BA14</f>
        <v>50447.850124926103</v>
      </c>
      <c r="E168" s="5">
        <f>[1]PL!BB14</f>
        <v>101064.302872525</v>
      </c>
      <c r="F168" s="5">
        <f>[1]PL!BC14</f>
        <v>318563.84345512604</v>
      </c>
      <c r="G168" s="5">
        <f>[1]PL!BD14</f>
        <v>2070138.2197675502</v>
      </c>
      <c r="H168" s="5">
        <f>[1]PL!BE14</f>
        <v>5235903.32717539</v>
      </c>
      <c r="I168" s="5">
        <f>[1]PL!BF14</f>
        <v>5345612.5755275209</v>
      </c>
      <c r="J168" s="5">
        <f>[1]PL!BG14</f>
        <v>770381.26049970009</v>
      </c>
      <c r="K168" s="5">
        <f>[1]PL!BH14</f>
        <v>116008.72903964401</v>
      </c>
      <c r="L168" s="5">
        <f>[1]PL!BI14</f>
        <v>85506.151771954406</v>
      </c>
      <c r="M168" s="5">
        <f>[1]PL!BJ14</f>
        <v>101245.57519236401</v>
      </c>
      <c r="N168" s="17">
        <f t="shared" si="44"/>
        <v>14527452.411507208</v>
      </c>
      <c r="O168" s="38">
        <f>(N168/12)/(450*1000)</f>
        <v>2.6902689650939275</v>
      </c>
    </row>
    <row r="169" spans="1:15" x14ac:dyDescent="0.2">
      <c r="A169" s="8" t="s">
        <v>32</v>
      </c>
      <c r="B169" s="5">
        <f>[1]PL!AY15</f>
        <v>138439.01092754901</v>
      </c>
      <c r="C169" s="5">
        <f>[1]PL!AZ15</f>
        <v>143693.09700507202</v>
      </c>
      <c r="D169" s="5">
        <f>[1]PL!BA15</f>
        <v>37915.766221769401</v>
      </c>
      <c r="E169" s="5">
        <f>[1]PL!BB15</f>
        <v>73002.408094705708</v>
      </c>
      <c r="F169" s="5">
        <f>[1]PL!BC15</f>
        <v>257825.73035840603</v>
      </c>
      <c r="G169" s="5">
        <f>[1]PL!BD15</f>
        <v>1512573.5528217701</v>
      </c>
      <c r="H169" s="5">
        <f>[1]PL!BE15</f>
        <v>3927572.4094412904</v>
      </c>
      <c r="I169" s="5">
        <f>[1]PL!BF15</f>
        <v>4009516.9628665904</v>
      </c>
      <c r="J169" s="5">
        <f>[1]PL!BG15</f>
        <v>534489.7187668531</v>
      </c>
      <c r="K169" s="5">
        <f>[1]PL!BH15</f>
        <v>80939.73939098671</v>
      </c>
      <c r="L169" s="5">
        <f>[1]PL!BI15</f>
        <v>67587.716731545908</v>
      </c>
      <c r="M169" s="5">
        <f>[1]PL!BJ15</f>
        <v>81580.929476467107</v>
      </c>
      <c r="N169" s="17">
        <f t="shared" si="44"/>
        <v>10865137.042103006</v>
      </c>
      <c r="O169" s="38">
        <f>(N169/12)/(355*1000)</f>
        <v>2.5505016530758229</v>
      </c>
    </row>
    <row r="170" spans="1:15" x14ac:dyDescent="0.2">
      <c r="A170" s="25" t="s">
        <v>33</v>
      </c>
      <c r="B170" s="20">
        <f>[1]PL!AY16</f>
        <v>225981.64995516502</v>
      </c>
      <c r="C170" s="21">
        <f>[1]PL!AZ16</f>
        <v>231013.75617687203</v>
      </c>
      <c r="D170" s="21">
        <f>[1]PL!BA16</f>
        <v>84430.628089800113</v>
      </c>
      <c r="E170" s="21">
        <f>[1]PL!BB16</f>
        <v>156457.21986380703</v>
      </c>
      <c r="F170" s="21">
        <f>[1]PL!BC16</f>
        <v>432227.04354881606</v>
      </c>
      <c r="G170" s="21">
        <f>[1]PL!BD16</f>
        <v>2478111.1726758503</v>
      </c>
      <c r="H170" s="21">
        <f>[1]PL!BE16</f>
        <v>6110412.7321335906</v>
      </c>
      <c r="I170" s="21">
        <f>[1]PL!BF16</f>
        <v>6235294.8203646308</v>
      </c>
      <c r="J170" s="21">
        <f>[1]PL!BG16</f>
        <v>972179.2199869561</v>
      </c>
      <c r="K170" s="21">
        <f>[1]PL!BH16</f>
        <v>182733.05119786802</v>
      </c>
      <c r="L170" s="21">
        <f>[1]PL!BI16</f>
        <v>131966.82845520703</v>
      </c>
      <c r="M170" s="21">
        <f>[1]PL!BJ16</f>
        <v>151127.29192490302</v>
      </c>
      <c r="N170" s="21">
        <f t="shared" si="44"/>
        <v>17391935.414373465</v>
      </c>
      <c r="O170" s="39">
        <f>(N170/12)/(510*1000)</f>
        <v>2.8418195121525271</v>
      </c>
    </row>
    <row r="171" spans="1:15" x14ac:dyDescent="0.2">
      <c r="A171" s="19" t="s">
        <v>36</v>
      </c>
      <c r="B171" s="5">
        <f t="shared" ref="B171:N171" si="45">SUM(B165:B170)</f>
        <v>981790.80832419102</v>
      </c>
      <c r="C171" s="5">
        <f t="shared" si="45"/>
        <v>1024350.3928759391</v>
      </c>
      <c r="D171" s="5">
        <f t="shared" si="45"/>
        <v>356687.39413429773</v>
      </c>
      <c r="E171" s="5">
        <f t="shared" si="45"/>
        <v>658488.4951597827</v>
      </c>
      <c r="F171" s="5">
        <f t="shared" si="45"/>
        <v>1907230.2341592542</v>
      </c>
      <c r="G171" s="5">
        <f t="shared" si="45"/>
        <v>13523511.899294222</v>
      </c>
      <c r="H171" s="5">
        <f t="shared" si="45"/>
        <v>32580352.03692922</v>
      </c>
      <c r="I171" s="5">
        <f t="shared" si="45"/>
        <v>33311675.907574102</v>
      </c>
      <c r="J171" s="5">
        <f t="shared" si="45"/>
        <v>4984983.516431177</v>
      </c>
      <c r="K171" s="5">
        <f t="shared" si="45"/>
        <v>637494.62865134748</v>
      </c>
      <c r="L171" s="5">
        <f t="shared" si="45"/>
        <v>542795.08492075291</v>
      </c>
      <c r="M171" s="5">
        <f t="shared" si="45"/>
        <v>583792.35086537572</v>
      </c>
      <c r="N171" s="17">
        <f t="shared" si="45"/>
        <v>91093152.749319673</v>
      </c>
      <c r="O171" s="40">
        <f>(SUM(N165:N170)/12)/(2833*1000)</f>
        <v>2.6795256132874359</v>
      </c>
    </row>
    <row r="172" spans="1:15" x14ac:dyDescent="0.2">
      <c r="A172" s="29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5"/>
      <c r="N172" s="17"/>
      <c r="O172" s="8"/>
    </row>
    <row r="173" spans="1:15" x14ac:dyDescent="0.2">
      <c r="A173" s="8" t="s">
        <v>13</v>
      </c>
      <c r="B173" s="5">
        <v>-2951.1476000000002</v>
      </c>
      <c r="C173" s="5">
        <v>-2950.1475999999998</v>
      </c>
      <c r="D173" s="5">
        <v>-2949.1475999999998</v>
      </c>
      <c r="E173" s="5">
        <v>-2948.1475999999998</v>
      </c>
      <c r="F173" s="5">
        <v>-2947.1475999999998</v>
      </c>
      <c r="G173" s="5">
        <v>-2946.1475999999998</v>
      </c>
      <c r="H173" s="5">
        <v>-2945.1475999999998</v>
      </c>
      <c r="I173" s="5">
        <v>-2944.1475999999998</v>
      </c>
      <c r="J173" s="5">
        <v>-2943.1475999999998</v>
      </c>
      <c r="K173" s="5">
        <v>-2942.1475999999998</v>
      </c>
      <c r="L173" s="5">
        <v>-2941.1475999999998</v>
      </c>
      <c r="M173" s="5">
        <v>-2940.1475999999998</v>
      </c>
      <c r="N173" s="17">
        <f t="shared" ref="N173:N181" si="46">SUM(B173:M173)</f>
        <v>-35347.771200000003</v>
      </c>
      <c r="O173" s="8"/>
    </row>
    <row r="174" spans="1:15" x14ac:dyDescent="0.2">
      <c r="A174" s="11" t="s">
        <v>59</v>
      </c>
      <c r="B174" s="5">
        <f>[1]PL!AY24</f>
        <v>0</v>
      </c>
      <c r="C174" s="5">
        <f>[1]PL!AZ24</f>
        <v>0</v>
      </c>
      <c r="D174" s="5">
        <f>[1]PL!BA24</f>
        <v>0</v>
      </c>
      <c r="E174" s="5">
        <f>[1]PL!BB24</f>
        <v>0</v>
      </c>
      <c r="F174" s="5">
        <f>[1]PL!BC24</f>
        <v>0</v>
      </c>
      <c r="G174" s="5">
        <f>[1]PL!BD24</f>
        <v>0</v>
      </c>
      <c r="H174" s="5">
        <f>[1]PL!BE24</f>
        <v>0</v>
      </c>
      <c r="I174" s="5">
        <f>[1]PL!BF24</f>
        <v>0</v>
      </c>
      <c r="J174" s="5">
        <f>[1]PL!BG24</f>
        <v>0</v>
      </c>
      <c r="K174" s="5">
        <f>[1]PL!BH24</f>
        <v>0</v>
      </c>
      <c r="L174" s="5">
        <f>[1]PL!BI24</f>
        <v>0</v>
      </c>
      <c r="M174" s="5">
        <f>[1]PL!BJ24</f>
        <v>0</v>
      </c>
      <c r="N174" s="17">
        <f t="shared" si="46"/>
        <v>0</v>
      </c>
      <c r="O174" s="8"/>
    </row>
    <row r="175" spans="1:15" x14ac:dyDescent="0.2">
      <c r="A175" s="11" t="s">
        <v>58</v>
      </c>
      <c r="B175" s="5">
        <f>[1]PL!AY25</f>
        <v>0</v>
      </c>
      <c r="C175" s="5">
        <f>[1]PL!AZ25</f>
        <v>0</v>
      </c>
      <c r="D175" s="5">
        <f>[1]PL!BA25</f>
        <v>0</v>
      </c>
      <c r="E175" s="5">
        <f>[1]PL!BB25</f>
        <v>0</v>
      </c>
      <c r="F175" s="5">
        <f>[1]PL!BC25</f>
        <v>0</v>
      </c>
      <c r="G175" s="5">
        <f>[1]PL!BD25</f>
        <v>0</v>
      </c>
      <c r="H175" s="5">
        <f>[1]PL!BE25</f>
        <v>0</v>
      </c>
      <c r="I175" s="5">
        <f>[1]PL!BF25</f>
        <v>0</v>
      </c>
      <c r="J175" s="5">
        <f>[1]PL!BG25</f>
        <v>0</v>
      </c>
      <c r="K175" s="5">
        <f>[1]PL!BH25</f>
        <v>0</v>
      </c>
      <c r="L175" s="5">
        <f>[1]PL!BI25</f>
        <v>0</v>
      </c>
      <c r="M175" s="5">
        <f>[1]PL!BJ25</f>
        <v>0</v>
      </c>
      <c r="N175" s="17">
        <f t="shared" si="46"/>
        <v>0</v>
      </c>
      <c r="O175" s="8"/>
    </row>
    <row r="176" spans="1:15" x14ac:dyDescent="0.2">
      <c r="A176" s="11" t="s">
        <v>61</v>
      </c>
      <c r="B176" s="5">
        <f>[1]PL!AY26</f>
        <v>0</v>
      </c>
      <c r="C176" s="5">
        <f>[1]PL!AZ26</f>
        <v>0</v>
      </c>
      <c r="D176" s="5">
        <f>[1]PL!BA26</f>
        <v>0</v>
      </c>
      <c r="E176" s="5">
        <f>[1]PL!BB26</f>
        <v>0</v>
      </c>
      <c r="F176" s="5">
        <f>[1]PL!BC26</f>
        <v>0</v>
      </c>
      <c r="G176" s="5">
        <f>[1]PL!BD26</f>
        <v>0</v>
      </c>
      <c r="H176" s="5">
        <f>[1]PL!BE26</f>
        <v>0</v>
      </c>
      <c r="I176" s="5">
        <f>[1]PL!BF26</f>
        <v>0</v>
      </c>
      <c r="J176" s="5">
        <f>[1]PL!BG26</f>
        <v>0</v>
      </c>
      <c r="K176" s="5">
        <f>[1]PL!BH26</f>
        <v>0</v>
      </c>
      <c r="L176" s="5">
        <f>[1]PL!BI26</f>
        <v>0</v>
      </c>
      <c r="M176" s="5">
        <f>[1]PL!BJ26</f>
        <v>0</v>
      </c>
      <c r="N176" s="17">
        <f t="shared" si="46"/>
        <v>0</v>
      </c>
      <c r="O176" s="8"/>
    </row>
    <row r="177" spans="1:15" x14ac:dyDescent="0.2">
      <c r="A177" s="11" t="s">
        <v>60</v>
      </c>
      <c r="B177" s="5">
        <f>[1]PL!AY27</f>
        <v>0</v>
      </c>
      <c r="C177" s="5">
        <f>[1]PL!AZ27</f>
        <v>0</v>
      </c>
      <c r="D177" s="5">
        <f>[1]PL!BA27</f>
        <v>0</v>
      </c>
      <c r="E177" s="5">
        <f>[1]PL!BB27</f>
        <v>0</v>
      </c>
      <c r="F177" s="5">
        <f>[1]PL!BC27</f>
        <v>0</v>
      </c>
      <c r="G177" s="5">
        <f>[1]PL!BD27</f>
        <v>0</v>
      </c>
      <c r="H177" s="5">
        <f>[1]PL!BE27</f>
        <v>0</v>
      </c>
      <c r="I177" s="5">
        <f>[1]PL!BF27</f>
        <v>0</v>
      </c>
      <c r="J177" s="5">
        <f>[1]PL!BG27</f>
        <v>0</v>
      </c>
      <c r="K177" s="5">
        <f>[1]PL!BH27</f>
        <v>0</v>
      </c>
      <c r="L177" s="5">
        <f>[1]PL!BI27</f>
        <v>0</v>
      </c>
      <c r="M177" s="5">
        <f>[1]PL!BJ27</f>
        <v>0</v>
      </c>
      <c r="N177" s="17">
        <f t="shared" si="46"/>
        <v>0</v>
      </c>
      <c r="O177" s="8"/>
    </row>
    <row r="178" spans="1:15" x14ac:dyDescent="0.2">
      <c r="A178" s="11" t="s">
        <v>63</v>
      </c>
      <c r="B178" s="5">
        <f>[1]PL!AY28</f>
        <v>0</v>
      </c>
      <c r="C178" s="5">
        <f>[1]PL!AZ28</f>
        <v>0</v>
      </c>
      <c r="D178" s="5">
        <f>[1]PL!BA28</f>
        <v>0</v>
      </c>
      <c r="E178" s="5">
        <f>[1]PL!BB28</f>
        <v>0</v>
      </c>
      <c r="F178" s="5">
        <f>[1]PL!BC28</f>
        <v>0</v>
      </c>
      <c r="G178" s="5">
        <f>[1]PL!BD28</f>
        <v>132100.26265346512</v>
      </c>
      <c r="H178" s="5">
        <f>[1]PL!BE28</f>
        <v>25070.027310558002</v>
      </c>
      <c r="I178" s="5">
        <f>[1]PL!BF28</f>
        <v>26108.567864580804</v>
      </c>
      <c r="J178" s="5">
        <f>[1]PL!BG28</f>
        <v>0</v>
      </c>
      <c r="K178" s="5">
        <f>[1]PL!BH28</f>
        <v>0</v>
      </c>
      <c r="L178" s="5">
        <f>[1]PL!BI28</f>
        <v>0</v>
      </c>
      <c r="M178" s="5">
        <f>[1]PL!BJ28</f>
        <v>0</v>
      </c>
      <c r="N178" s="17">
        <f t="shared" si="46"/>
        <v>183278.85782860394</v>
      </c>
      <c r="O178" s="8"/>
    </row>
    <row r="179" spans="1:15" x14ac:dyDescent="0.2">
      <c r="A179" s="11" t="s">
        <v>62</v>
      </c>
      <c r="B179" s="5">
        <f>SUM([1]PL!AY$29:AY$32)</f>
        <v>0</v>
      </c>
      <c r="C179" s="5">
        <f>SUM([1]PL!AZ$29:AZ$32)</f>
        <v>0</v>
      </c>
      <c r="D179" s="5">
        <f>SUM([1]PL!BA$29:BA$32)</f>
        <v>0</v>
      </c>
      <c r="E179" s="5">
        <f>SUM([1]PL!BB$29:BB$32)</f>
        <v>0</v>
      </c>
      <c r="F179" s="5">
        <f>SUM([1]PL!BC$29:BC$32)</f>
        <v>0</v>
      </c>
      <c r="G179" s="5">
        <f>SUM([1]PL!BD$29:BD$32)</f>
        <v>2172124.6188109182</v>
      </c>
      <c r="H179" s="5">
        <f>SUM([1]PL!BE$29:BE$32)</f>
        <v>262357.83580498304</v>
      </c>
      <c r="I179" s="5">
        <f>SUM([1]PL!BF$29:BF$32)</f>
        <v>273226.16270283808</v>
      </c>
      <c r="J179" s="5">
        <f>SUM([1]PL!BG$29:BG$32)</f>
        <v>0</v>
      </c>
      <c r="K179" s="5">
        <f>SUM([1]PL!BH$29:BH$32)</f>
        <v>0</v>
      </c>
      <c r="L179" s="5">
        <f>SUM([1]PL!BI$29:BI$32)</f>
        <v>0</v>
      </c>
      <c r="M179" s="5">
        <f>SUM([1]PL!BJ$29:BJ$32)</f>
        <v>0</v>
      </c>
      <c r="N179" s="17">
        <f t="shared" si="46"/>
        <v>2707708.6173187392</v>
      </c>
      <c r="O179" s="8"/>
    </row>
    <row r="180" spans="1:15" x14ac:dyDescent="0.2">
      <c r="A180" s="35" t="s">
        <v>53</v>
      </c>
      <c r="B180" s="21">
        <f>[1]PL!AY18</f>
        <v>0</v>
      </c>
      <c r="C180" s="21">
        <f>[1]PL!AZ18</f>
        <v>0</v>
      </c>
      <c r="D180" s="21">
        <f>[1]PL!BA18</f>
        <v>0</v>
      </c>
      <c r="E180" s="21">
        <f>[1]PL!BB18</f>
        <v>0</v>
      </c>
      <c r="F180" s="21">
        <f>[1]PL!BC18</f>
        <v>0</v>
      </c>
      <c r="G180" s="21">
        <f>[1]PL!BD18</f>
        <v>0</v>
      </c>
      <c r="H180" s="21">
        <f>[1]PL!BE18</f>
        <v>0</v>
      </c>
      <c r="I180" s="21">
        <f>[1]PL!BF18</f>
        <v>0</v>
      </c>
      <c r="J180" s="21">
        <f>[1]PL!BG18</f>
        <v>0</v>
      </c>
      <c r="K180" s="21">
        <f>[1]PL!BH18</f>
        <v>0</v>
      </c>
      <c r="L180" s="21">
        <f>[1]PL!BI18</f>
        <v>0</v>
      </c>
      <c r="M180" s="21">
        <f>[1]PL!BJ18</f>
        <v>0</v>
      </c>
      <c r="N180" s="31">
        <f t="shared" si="46"/>
        <v>0</v>
      </c>
      <c r="O180" s="8"/>
    </row>
    <row r="181" spans="1:15" x14ac:dyDescent="0.2">
      <c r="A181" s="19" t="s">
        <v>37</v>
      </c>
      <c r="B181" s="5">
        <f>SUM(B173:B180)</f>
        <v>-2951.1476000000002</v>
      </c>
      <c r="C181" s="5">
        <f t="shared" ref="C181:I181" si="47">SUM(C173:C180)</f>
        <v>-2950.1475999999998</v>
      </c>
      <c r="D181" s="5">
        <f t="shared" si="47"/>
        <v>-2949.1475999999998</v>
      </c>
      <c r="E181" s="5">
        <f t="shared" si="47"/>
        <v>-2948.1475999999998</v>
      </c>
      <c r="F181" s="5">
        <f t="shared" si="47"/>
        <v>-2947.1475999999998</v>
      </c>
      <c r="G181" s="5">
        <f t="shared" si="47"/>
        <v>2301278.7338643833</v>
      </c>
      <c r="H181" s="5">
        <f t="shared" si="47"/>
        <v>284482.71551554103</v>
      </c>
      <c r="I181" s="5">
        <f t="shared" si="47"/>
        <v>296390.58296741889</v>
      </c>
      <c r="J181" s="5">
        <f>SUM(J173:J180)</f>
        <v>-2943.1475999999998</v>
      </c>
      <c r="K181" s="5">
        <f>SUM(K173:K180)</f>
        <v>-2942.1475999999998</v>
      </c>
      <c r="L181" s="5">
        <f>SUM(L173:L180)</f>
        <v>-2941.1475999999998</v>
      </c>
      <c r="M181" s="5">
        <f>SUM(M173:M180)</f>
        <v>-2940.1475999999998</v>
      </c>
      <c r="N181" s="17">
        <f t="shared" si="46"/>
        <v>2855639.7039473439</v>
      </c>
      <c r="O181" s="8"/>
    </row>
    <row r="182" spans="1:15" x14ac:dyDescent="0.2">
      <c r="A182" s="29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17"/>
      <c r="O182" s="8"/>
    </row>
    <row r="183" spans="1:15" x14ac:dyDescent="0.2">
      <c r="A183" s="8" t="s">
        <v>40</v>
      </c>
      <c r="B183" s="5">
        <f>[1]PL!AY17</f>
        <v>-3446014.3326043156</v>
      </c>
      <c r="C183" s="5">
        <f>[1]PL!AZ17</f>
        <v>-3446708.9128459641</v>
      </c>
      <c r="D183" s="5">
        <f>[1]PL!BA17</f>
        <v>-3446896.3782873973</v>
      </c>
      <c r="E183" s="5">
        <f>[1]PL!BB17</f>
        <v>-3447267.5779992556</v>
      </c>
      <c r="F183" s="5">
        <f>[1]PL!BC17</f>
        <v>-3445957.8972875685</v>
      </c>
      <c r="G183" s="5">
        <f>[1]PL!BD17</f>
        <v>-3433277.5700971284</v>
      </c>
      <c r="H183" s="5">
        <f>[1]PL!BE17</f>
        <v>-3414389.985608418</v>
      </c>
      <c r="I183" s="5">
        <f>[1]PL!BF17</f>
        <v>-3411674.0594464797</v>
      </c>
      <c r="J183" s="5">
        <f>[1]PL!BG17</f>
        <v>-3443335.1903372509</v>
      </c>
      <c r="K183" s="5">
        <f>[1]PL!BH17</f>
        <v>-3437569.0685553821</v>
      </c>
      <c r="L183" s="5">
        <f>[1]PL!BI17</f>
        <v>-3437383.1375766248</v>
      </c>
      <c r="M183" s="5">
        <f>[1]PL!BJ17</f>
        <v>-3435320.8611941594</v>
      </c>
      <c r="N183" s="17">
        <f t="shared" ref="N183:N189" si="48">SUM(B183:M183)</f>
        <v>-41245794.971839949</v>
      </c>
      <c r="O183" s="40">
        <f t="shared" ref="O183:O188" si="49">(N183/12)/(2820*1000)</f>
        <v>-1.2188473691442065</v>
      </c>
    </row>
    <row r="184" spans="1:15" x14ac:dyDescent="0.2">
      <c r="A184" s="8" t="s">
        <v>41</v>
      </c>
      <c r="B184" s="5">
        <f>[1]PL!AY19</f>
        <v>-1928947.668245038</v>
      </c>
      <c r="C184" s="5">
        <f>[1]PL!AZ19</f>
        <v>-1918257.9888455872</v>
      </c>
      <c r="D184" s="5">
        <f>[1]PL!BA19</f>
        <v>-1906906.3867114242</v>
      </c>
      <c r="E184" s="5">
        <f>[1]PL!BB19</f>
        <v>-1895989.8019010392</v>
      </c>
      <c r="F184" s="5">
        <f>[1]PL!BC19</f>
        <v>-1884776.435179563</v>
      </c>
      <c r="G184" s="5">
        <f>[1]PL!BD19</f>
        <v>-1873989.3373955321</v>
      </c>
      <c r="H184" s="5">
        <f>[1]PL!BE19</f>
        <v>-1862908.961541614</v>
      </c>
      <c r="I184" s="5">
        <f>[1]PL!BF19</f>
        <v>-1851895.5530482822</v>
      </c>
      <c r="J184" s="5">
        <f>[1]PL!BG19</f>
        <v>-1841300.7885046292</v>
      </c>
      <c r="K184" s="5">
        <f>[1]PL!BH19</f>
        <v>-1830417.9506727415</v>
      </c>
      <c r="L184" s="5">
        <f>[1]PL!BI19</f>
        <v>-1819948.777981244</v>
      </c>
      <c r="M184" s="5">
        <f>[1]PL!BJ19</f>
        <v>-1809194.9309117701</v>
      </c>
      <c r="N184" s="17">
        <f t="shared" si="48"/>
        <v>-22424534.580938466</v>
      </c>
      <c r="O184" s="40">
        <f t="shared" si="49"/>
        <v>-0.66266355144617217</v>
      </c>
    </row>
    <row r="185" spans="1:15" x14ac:dyDescent="0.2">
      <c r="A185" s="11" t="s">
        <v>42</v>
      </c>
      <c r="B185" s="5">
        <f>[1]PL!AY20</f>
        <v>-788608.00121241901</v>
      </c>
      <c r="C185" s="5">
        <f>[1]PL!AZ20</f>
        <v>-784237.75994378317</v>
      </c>
      <c r="D185" s="5">
        <f>[1]PL!BA20</f>
        <v>-779596.90606425412</v>
      </c>
      <c r="E185" s="5">
        <f>[1]PL!BB20</f>
        <v>-775133.89948864514</v>
      </c>
      <c r="F185" s="5">
        <f>[1]PL!BC20</f>
        <v>-770549.56012959406</v>
      </c>
      <c r="G185" s="5">
        <f>[1]PL!BD20</f>
        <v>-766139.49148833903</v>
      </c>
      <c r="H185" s="5">
        <f>[1]PL!BE20</f>
        <v>-761609.52253237111</v>
      </c>
      <c r="I185" s="5">
        <f>[1]PL!BF20</f>
        <v>-757106.93171487818</v>
      </c>
      <c r="J185" s="5">
        <f>[1]PL!BG20</f>
        <v>-752775.49430595816</v>
      </c>
      <c r="K185" s="5">
        <f>[1]PL!BH20</f>
        <v>-748326.28444329102</v>
      </c>
      <c r="L185" s="5">
        <f>[1]PL!BI20</f>
        <v>-744046.19251207809</v>
      </c>
      <c r="M185" s="5">
        <f>[1]PL!BJ20</f>
        <v>-739649.71769712504</v>
      </c>
      <c r="N185" s="17">
        <f t="shared" si="48"/>
        <v>-9167779.7615327351</v>
      </c>
      <c r="O185" s="40">
        <f t="shared" si="49"/>
        <v>-0.27091547758666473</v>
      </c>
    </row>
    <row r="186" spans="1:15" x14ac:dyDescent="0.2">
      <c r="A186" s="11" t="s">
        <v>43</v>
      </c>
      <c r="B186" s="5">
        <f>[1]PL!AY21</f>
        <v>-309034.17281999224</v>
      </c>
      <c r="C186" s="5">
        <f>[1]PL!AZ21</f>
        <v>-307321.59332117881</v>
      </c>
      <c r="D186" s="5">
        <f>[1]PL!BA21</f>
        <v>-305502.96805027925</v>
      </c>
      <c r="E186" s="5">
        <f>[1]PL!BB21</f>
        <v>-303754.03633355466</v>
      </c>
      <c r="F186" s="5">
        <f>[1]PL!BC21</f>
        <v>-301957.55757658923</v>
      </c>
      <c r="G186" s="5">
        <f>[1]PL!BD21</f>
        <v>-300229.37080631341</v>
      </c>
      <c r="H186" s="5">
        <f>[1]PL!BE21</f>
        <v>-298454.19834159542</v>
      </c>
      <c r="I186" s="5">
        <f>[1]PL!BF21</f>
        <v>-296689.75462977483</v>
      </c>
      <c r="J186" s="5">
        <f>[1]PL!BG21</f>
        <v>-294992.38131536642</v>
      </c>
      <c r="K186" s="5">
        <f>[1]PL!BH21</f>
        <v>-293248.85615774943</v>
      </c>
      <c r="L186" s="5">
        <f>[1]PL!BI21</f>
        <v>-291571.60374904622</v>
      </c>
      <c r="M186" s="5">
        <f>[1]PL!BJ21</f>
        <v>-289848.74403208384</v>
      </c>
      <c r="N186" s="17">
        <f t="shared" si="48"/>
        <v>-3592605.2371335239</v>
      </c>
      <c r="O186" s="40">
        <f t="shared" si="49"/>
        <v>-0.10616445736210178</v>
      </c>
    </row>
    <row r="187" spans="1:15" x14ac:dyDescent="0.2">
      <c r="A187" s="11" t="s">
        <v>44</v>
      </c>
      <c r="B187" s="5">
        <f>[1]PL!AY22</f>
        <v>0</v>
      </c>
      <c r="C187" s="5">
        <f>[1]PL!AZ22</f>
        <v>0</v>
      </c>
      <c r="D187" s="5">
        <f>[1]PL!BA22</f>
        <v>0</v>
      </c>
      <c r="E187" s="5">
        <f>[1]PL!BB22</f>
        <v>0</v>
      </c>
      <c r="F187" s="5">
        <f>[1]PL!BC22</f>
        <v>0</v>
      </c>
      <c r="G187" s="5">
        <f>[1]PL!BD22</f>
        <v>0</v>
      </c>
      <c r="H187" s="5">
        <f>[1]PL!BE22</f>
        <v>0</v>
      </c>
      <c r="I187" s="5">
        <f>[1]PL!BF22</f>
        <v>0</v>
      </c>
      <c r="J187" s="5">
        <f>[1]PL!BG22</f>
        <v>0</v>
      </c>
      <c r="K187" s="5">
        <f>[1]PL!BH22</f>
        <v>0</v>
      </c>
      <c r="L187" s="5">
        <f>[1]PL!BI22</f>
        <v>0</v>
      </c>
      <c r="M187" s="5">
        <f>[1]PL!BJ22</f>
        <v>0</v>
      </c>
      <c r="N187" s="17">
        <f t="shared" si="48"/>
        <v>0</v>
      </c>
      <c r="O187" s="40">
        <f t="shared" si="49"/>
        <v>0</v>
      </c>
    </row>
    <row r="188" spans="1:15" x14ac:dyDescent="0.2">
      <c r="A188" s="35" t="s">
        <v>45</v>
      </c>
      <c r="B188" s="20">
        <f>[1]PL!AY23</f>
        <v>-448607.98651964054</v>
      </c>
      <c r="C188" s="21">
        <f>[1]PL!AZ23</f>
        <v>-446121.92863902927</v>
      </c>
      <c r="D188" s="21">
        <f>[1]PL!BA23</f>
        <v>-443481.92991795845</v>
      </c>
      <c r="E188" s="21">
        <f>[1]PL!BB23</f>
        <v>-440943.10151318734</v>
      </c>
      <c r="F188" s="21">
        <f>[1]PL!BC23</f>
        <v>-438335.25167369167</v>
      </c>
      <c r="G188" s="21">
        <f>[1]PL!BD23</f>
        <v>-435826.53757172369</v>
      </c>
      <c r="H188" s="21">
        <f>[1]PL!BE23</f>
        <v>-433249.6169099884</v>
      </c>
      <c r="I188" s="21">
        <f>[1]PL!BF23</f>
        <v>-430688.27059134655</v>
      </c>
      <c r="J188" s="21">
        <f>[1]PL!BG23</f>
        <v>-428224.28669597139</v>
      </c>
      <c r="K188" s="21">
        <f>[1]PL!BH23</f>
        <v>-425693.30669700383</v>
      </c>
      <c r="L188" s="21">
        <f>[1]PL!BI23</f>
        <v>-423258.53121865622</v>
      </c>
      <c r="M188" s="21">
        <f>[1]PL!BJ23</f>
        <v>-420757.55010828434</v>
      </c>
      <c r="N188" s="31">
        <f t="shared" si="48"/>
        <v>-5215188.2980564814</v>
      </c>
      <c r="O188" s="88">
        <f t="shared" si="49"/>
        <v>-0.15411312937519153</v>
      </c>
    </row>
    <row r="189" spans="1:15" x14ac:dyDescent="0.2">
      <c r="A189" s="43" t="s">
        <v>38</v>
      </c>
      <c r="B189" s="5">
        <f t="shared" ref="B189:M189" si="50">SUM(B183:B188)</f>
        <v>-6921212.161401405</v>
      </c>
      <c r="C189" s="5">
        <f t="shared" si="50"/>
        <v>-6902648.1835955428</v>
      </c>
      <c r="D189" s="5">
        <f t="shared" si="50"/>
        <v>-6882384.569031314</v>
      </c>
      <c r="E189" s="5">
        <f t="shared" si="50"/>
        <v>-6863088.4172356818</v>
      </c>
      <c r="F189" s="5">
        <f t="shared" si="50"/>
        <v>-6841576.7018470066</v>
      </c>
      <c r="G189" s="5">
        <f t="shared" si="50"/>
        <v>-6809462.3073590361</v>
      </c>
      <c r="H189" s="5">
        <f t="shared" si="50"/>
        <v>-6770612.2849339861</v>
      </c>
      <c r="I189" s="5">
        <f t="shared" si="50"/>
        <v>-6748054.569430762</v>
      </c>
      <c r="J189" s="5">
        <f t="shared" si="50"/>
        <v>-6760628.1411591759</v>
      </c>
      <c r="K189" s="5">
        <f t="shared" si="50"/>
        <v>-6735255.4665261675</v>
      </c>
      <c r="L189" s="5">
        <f t="shared" si="50"/>
        <v>-6716208.2430376494</v>
      </c>
      <c r="M189" s="5">
        <f t="shared" si="50"/>
        <v>-6694771.8039434236</v>
      </c>
      <c r="N189" s="4">
        <f t="shared" si="48"/>
        <v>-81645902.849501163</v>
      </c>
      <c r="O189" s="38">
        <f>SUM(O183:O188)</f>
        <v>-2.4127039849143368</v>
      </c>
    </row>
    <row r="190" spans="1:15" x14ac:dyDescent="0.2">
      <c r="A190" s="33"/>
      <c r="M190" s="30"/>
      <c r="N190" s="30"/>
      <c r="O190" s="25"/>
    </row>
    <row r="191" spans="1:15" x14ac:dyDescent="0.2">
      <c r="A191" s="51" t="s">
        <v>0</v>
      </c>
      <c r="B191" s="13">
        <f t="shared" ref="B191:N191" si="51">B171+B181+B189</f>
        <v>-5942372.500677214</v>
      </c>
      <c r="C191" s="13">
        <f t="shared" si="51"/>
        <v>-5881247.9383196039</v>
      </c>
      <c r="D191" s="13">
        <f t="shared" si="51"/>
        <v>-6528646.3224970158</v>
      </c>
      <c r="E191" s="13">
        <f t="shared" si="51"/>
        <v>-6207548.0696758991</v>
      </c>
      <c r="F191" s="13">
        <f t="shared" si="51"/>
        <v>-4937293.6152877528</v>
      </c>
      <c r="G191" s="13">
        <f t="shared" si="51"/>
        <v>9015328.3257995695</v>
      </c>
      <c r="H191" s="13">
        <f t="shared" si="51"/>
        <v>26094222.467510775</v>
      </c>
      <c r="I191" s="13">
        <f t="shared" si="51"/>
        <v>26860011.921110757</v>
      </c>
      <c r="J191" s="13">
        <f t="shared" si="51"/>
        <v>-1778587.7723279987</v>
      </c>
      <c r="K191" s="13">
        <f t="shared" si="51"/>
        <v>-6100702.9854748202</v>
      </c>
      <c r="L191" s="13">
        <f t="shared" si="51"/>
        <v>-6176354.3057168964</v>
      </c>
      <c r="M191" s="13">
        <f t="shared" si="51"/>
        <v>-6113919.6006780481</v>
      </c>
      <c r="N191" s="13">
        <f t="shared" si="51"/>
        <v>12302889.60376586</v>
      </c>
      <c r="O191" s="39"/>
    </row>
    <row r="196" spans="1:15" x14ac:dyDescent="0.2">
      <c r="B196" s="52">
        <v>38353</v>
      </c>
      <c r="C196" s="52">
        <v>38384</v>
      </c>
      <c r="D196" s="52">
        <v>38412</v>
      </c>
      <c r="E196" s="52">
        <v>38443</v>
      </c>
      <c r="F196" s="52">
        <v>38473</v>
      </c>
      <c r="G196" s="52">
        <v>38504</v>
      </c>
      <c r="H196" s="52">
        <v>38534</v>
      </c>
      <c r="I196" s="52">
        <v>38565</v>
      </c>
      <c r="J196" s="52">
        <v>38596</v>
      </c>
      <c r="K196" s="52">
        <v>38626</v>
      </c>
      <c r="L196" s="52">
        <v>38657</v>
      </c>
      <c r="M196" s="52">
        <v>38687</v>
      </c>
      <c r="N196" s="6" t="s">
        <v>27</v>
      </c>
      <c r="O196" s="16" t="s">
        <v>47</v>
      </c>
    </row>
    <row r="197" spans="1:15" x14ac:dyDescent="0.2">
      <c r="A197" s="9" t="s">
        <v>34</v>
      </c>
      <c r="B197" s="5">
        <f>[1]PL!BL11</f>
        <v>123290.53490392202</v>
      </c>
      <c r="C197" s="5">
        <f>[1]PL!BM11</f>
        <v>130212.81191439401</v>
      </c>
      <c r="D197" s="5">
        <f>[1]PL!BN11</f>
        <v>76617.884652950714</v>
      </c>
      <c r="E197" s="5">
        <f>[1]PL!BO11</f>
        <v>121715.64095164201</v>
      </c>
      <c r="F197" s="5">
        <f>[1]PL!BP11</f>
        <v>281601.35399831104</v>
      </c>
      <c r="G197" s="5">
        <f>[1]PL!BQ11</f>
        <v>2109464.4340177202</v>
      </c>
      <c r="H197" s="5">
        <f>[1]PL!BR11</f>
        <v>4443565.1575392904</v>
      </c>
      <c r="I197" s="5">
        <f>[1]PL!BS11</f>
        <v>4880660.8051208602</v>
      </c>
      <c r="J197" s="5">
        <f>[1]PL!BT11</f>
        <v>827384.97108731407</v>
      </c>
      <c r="K197" s="5">
        <f>[1]PL!BU11</f>
        <v>96230.409405398706</v>
      </c>
      <c r="L197" s="5">
        <f>[1]PL!BV11</f>
        <v>102879.52588646901</v>
      </c>
      <c r="M197" s="5">
        <f>[1]PL!BW11</f>
        <v>82114.632285891712</v>
      </c>
      <c r="N197" s="32">
        <f t="shared" ref="N197:N202" si="52">SUM(B197:M197)</f>
        <v>13275738.161764164</v>
      </c>
      <c r="O197" s="37">
        <f>(N197/12)/(465*1000)</f>
        <v>2.3791645451190258</v>
      </c>
    </row>
    <row r="198" spans="1:15" x14ac:dyDescent="0.2">
      <c r="A198" s="8" t="s">
        <v>35</v>
      </c>
      <c r="B198" s="5">
        <f>[1]PL!BL12</f>
        <v>176662.98072673701</v>
      </c>
      <c r="C198" s="5">
        <f>[1]PL!BM12</f>
        <v>188700.82547975201</v>
      </c>
      <c r="D198" s="5">
        <f>[1]PL!BN12</f>
        <v>104205.64137773101</v>
      </c>
      <c r="E198" s="5">
        <f>[1]PL!BO12</f>
        <v>148007.47720058</v>
      </c>
      <c r="F198" s="5">
        <f>[1]PL!BP12</f>
        <v>299304.98821759003</v>
      </c>
      <c r="G198" s="5">
        <f>[1]PL!BQ12</f>
        <v>2612992.1312764701</v>
      </c>
      <c r="H198" s="5">
        <f>[1]PL!BR12</f>
        <v>5621295.1104435707</v>
      </c>
      <c r="I198" s="5">
        <f>[1]PL!BS12</f>
        <v>6184020.5479359105</v>
      </c>
      <c r="J198" s="5">
        <f>[1]PL!BT12</f>
        <v>1040530.4299754301</v>
      </c>
      <c r="K198" s="5">
        <f>[1]PL!BU12</f>
        <v>103848.56619937501</v>
      </c>
      <c r="L198" s="5">
        <f>[1]PL!BV12</f>
        <v>129400.99093544402</v>
      </c>
      <c r="M198" s="5">
        <f>[1]PL!BW12</f>
        <v>106705.61870727301</v>
      </c>
      <c r="N198" s="17">
        <f t="shared" si="52"/>
        <v>16715675.308475863</v>
      </c>
      <c r="O198" s="38">
        <f>(N198/12)/(600*1000)</f>
        <v>2.3216215706216476</v>
      </c>
    </row>
    <row r="199" spans="1:15" x14ac:dyDescent="0.2">
      <c r="A199" s="8" t="s">
        <v>31</v>
      </c>
      <c r="B199" s="5">
        <f>[1]PL!BL13</f>
        <v>150843.35301479802</v>
      </c>
      <c r="C199" s="5">
        <f>[1]PL!BM13</f>
        <v>155363.55152589403</v>
      </c>
      <c r="D199" s="5">
        <f>[1]PL!BN13</f>
        <v>46368.019114105504</v>
      </c>
      <c r="E199" s="5">
        <f>[1]PL!BO13</f>
        <v>90972.961892916705</v>
      </c>
      <c r="F199" s="5">
        <f>[1]PL!BP13</f>
        <v>303759.66760962002</v>
      </c>
      <c r="G199" s="5">
        <f>[1]PL!BQ13</f>
        <v>1814119.2573857901</v>
      </c>
      <c r="H199" s="5">
        <f>[1]PL!BR13</f>
        <v>4375630.3463284401</v>
      </c>
      <c r="I199" s="5">
        <f>[1]PL!BS13</f>
        <v>4705405.9486601101</v>
      </c>
      <c r="J199" s="5">
        <f>[1]PL!BT13</f>
        <v>684298.69897496607</v>
      </c>
      <c r="K199" s="5">
        <f>[1]PL!BU13</f>
        <v>103791.75350359901</v>
      </c>
      <c r="L199" s="5">
        <f>[1]PL!BV13</f>
        <v>77114.708273721903</v>
      </c>
      <c r="M199" s="5">
        <f>[1]PL!BW13</f>
        <v>83719.023853416409</v>
      </c>
      <c r="N199" s="17">
        <f t="shared" si="52"/>
        <v>12591387.290137377</v>
      </c>
      <c r="O199" s="38">
        <f>(N199/12)/(440*1000)</f>
        <v>2.3847324413138971</v>
      </c>
    </row>
    <row r="200" spans="1:15" x14ac:dyDescent="0.2">
      <c r="A200" s="8" t="s">
        <v>30</v>
      </c>
      <c r="B200" s="5">
        <f>[1]PL!BL14</f>
        <v>165596.34412219602</v>
      </c>
      <c r="C200" s="5">
        <f>[1]PL!BM14</f>
        <v>170097.92426997001</v>
      </c>
      <c r="D200" s="5">
        <f>[1]PL!BN14</f>
        <v>55506.860123011407</v>
      </c>
      <c r="E200" s="5">
        <f>[1]PL!BO14</f>
        <v>100933.39124702201</v>
      </c>
      <c r="F200" s="5">
        <f>[1]PL!BP14</f>
        <v>326665.68850192905</v>
      </c>
      <c r="G200" s="5">
        <f>[1]PL!BQ14</f>
        <v>1910548.6265707901</v>
      </c>
      <c r="H200" s="5">
        <f>[1]PL!BR14</f>
        <v>4566127.2166161006</v>
      </c>
      <c r="I200" s="5">
        <f>[1]PL!BS14</f>
        <v>4909062.1213377705</v>
      </c>
      <c r="J200" s="5">
        <f>[1]PL!BT14</f>
        <v>733354.51153836912</v>
      </c>
      <c r="K200" s="5">
        <f>[1]PL!BU14</f>
        <v>117339.83256914001</v>
      </c>
      <c r="L200" s="5">
        <f>[1]PL!BV14</f>
        <v>89290.041677110916</v>
      </c>
      <c r="M200" s="5">
        <f>[1]PL!BW14</f>
        <v>95338.576402427512</v>
      </c>
      <c r="N200" s="17">
        <f t="shared" si="52"/>
        <v>13239861.134975839</v>
      </c>
      <c r="O200" s="38">
        <f>(N200/12)/(450*1000)</f>
        <v>2.4518261361066371</v>
      </c>
    </row>
    <row r="201" spans="1:15" x14ac:dyDescent="0.2">
      <c r="A201" s="8" t="s">
        <v>32</v>
      </c>
      <c r="B201" s="5">
        <f>[1]PL!BL15</f>
        <v>140572.10820827802</v>
      </c>
      <c r="C201" s="5">
        <f>[1]PL!BM15</f>
        <v>145333.688272286</v>
      </c>
      <c r="D201" s="5">
        <f>[1]PL!BN15</f>
        <v>42332.832566782105</v>
      </c>
      <c r="E201" s="5">
        <f>[1]PL!BO15</f>
        <v>73949.717712530604</v>
      </c>
      <c r="F201" s="5">
        <f>[1]PL!BP15</f>
        <v>265497.96885139</v>
      </c>
      <c r="G201" s="5">
        <f>[1]PL!BQ15</f>
        <v>1396229.8007545101</v>
      </c>
      <c r="H201" s="5">
        <f>[1]PL!BR15</f>
        <v>3417999.6630698005</v>
      </c>
      <c r="I201" s="5">
        <f>[1]PL!BS15</f>
        <v>3678639.7459605001</v>
      </c>
      <c r="J201" s="5">
        <f>[1]PL!BT15</f>
        <v>509500.12662148807</v>
      </c>
      <c r="K201" s="5">
        <f>[1]PL!BU15</f>
        <v>82823.196697857711</v>
      </c>
      <c r="L201" s="5">
        <f>[1]PL!BV15</f>
        <v>71189.693876555204</v>
      </c>
      <c r="M201" s="5">
        <f>[1]PL!BW15</f>
        <v>77335.154380984502</v>
      </c>
      <c r="N201" s="17">
        <f t="shared" si="52"/>
        <v>9901403.6969729625</v>
      </c>
      <c r="O201" s="38">
        <f>(N201/12)/(355*1000)</f>
        <v>2.3242731683035123</v>
      </c>
    </row>
    <row r="202" spans="1:15" x14ac:dyDescent="0.2">
      <c r="A202" s="25" t="s">
        <v>33</v>
      </c>
      <c r="B202" s="20">
        <f>[1]PL!BL16</f>
        <v>227378.36445057404</v>
      </c>
      <c r="C202" s="21">
        <f>[1]PL!BM16</f>
        <v>231661.04622865803</v>
      </c>
      <c r="D202" s="21">
        <f>[1]PL!BN16</f>
        <v>91364.420102601012</v>
      </c>
      <c r="E202" s="21">
        <f>[1]PL!BO16</f>
        <v>154691.48945904302</v>
      </c>
      <c r="F202" s="21">
        <f>[1]PL!BP16</f>
        <v>443071.01912334806</v>
      </c>
      <c r="G202" s="21">
        <f>[1]PL!BQ16</f>
        <v>2290309.09152201</v>
      </c>
      <c r="H202" s="21">
        <f>[1]PL!BR16</f>
        <v>5342910.4718721509</v>
      </c>
      <c r="I202" s="21">
        <f>[1]PL!BS16</f>
        <v>5735373.2739244401</v>
      </c>
      <c r="J202" s="21">
        <f>[1]PL!BT16</f>
        <v>925847.3550622781</v>
      </c>
      <c r="K202" s="21">
        <f>[1]PL!BU16</f>
        <v>184249.89640148403</v>
      </c>
      <c r="L202" s="21">
        <f>[1]PL!BV16</f>
        <v>136517.90756914802</v>
      </c>
      <c r="M202" s="21">
        <f>[1]PL!BW16</f>
        <v>141336.81089576203</v>
      </c>
      <c r="N202" s="17">
        <f t="shared" si="52"/>
        <v>15904711.146611497</v>
      </c>
      <c r="O202" s="39">
        <f>(N202/12)/(510*1000)</f>
        <v>2.5988090108842314</v>
      </c>
    </row>
    <row r="203" spans="1:15" x14ac:dyDescent="0.2">
      <c r="A203" s="19" t="s">
        <v>36</v>
      </c>
      <c r="B203" s="5">
        <f t="shared" ref="B203:N203" si="53">SUM(B197:B202)</f>
        <v>984343.68542650517</v>
      </c>
      <c r="C203" s="5">
        <f t="shared" si="53"/>
        <v>1021369.8476909541</v>
      </c>
      <c r="D203" s="5">
        <f t="shared" si="53"/>
        <v>416395.65793718171</v>
      </c>
      <c r="E203" s="5">
        <f t="shared" si="53"/>
        <v>690270.67846373434</v>
      </c>
      <c r="F203" s="5">
        <f t="shared" si="53"/>
        <v>1919900.6863021883</v>
      </c>
      <c r="G203" s="5">
        <f t="shared" si="53"/>
        <v>12133663.341527291</v>
      </c>
      <c r="H203" s="5">
        <f t="shared" si="53"/>
        <v>27767527.965869352</v>
      </c>
      <c r="I203" s="5">
        <f t="shared" si="53"/>
        <v>30093162.442939591</v>
      </c>
      <c r="J203" s="5">
        <f t="shared" si="53"/>
        <v>4720916.0932598459</v>
      </c>
      <c r="K203" s="5">
        <f t="shared" si="53"/>
        <v>688283.65477685444</v>
      </c>
      <c r="L203" s="5">
        <f t="shared" si="53"/>
        <v>606392.86821844906</v>
      </c>
      <c r="M203" s="17">
        <f t="shared" si="53"/>
        <v>586549.81652575522</v>
      </c>
      <c r="N203" s="10">
        <f t="shared" si="53"/>
        <v>81628776.738937706</v>
      </c>
      <c r="O203" s="40">
        <f>(SUM(N197:N202)/12)/(2833*1000)</f>
        <v>2.4011288604229235</v>
      </c>
    </row>
    <row r="204" spans="1:15" x14ac:dyDescent="0.2">
      <c r="A204" s="29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4"/>
      <c r="O204" s="8"/>
    </row>
    <row r="205" spans="1:15" x14ac:dyDescent="0.2">
      <c r="A205" s="8" t="s">
        <v>13</v>
      </c>
      <c r="B205" s="5">
        <v>-2742.1257000000001</v>
      </c>
      <c r="C205" s="3">
        <v>-2461.33</v>
      </c>
      <c r="D205" s="3">
        <v>-2709.6934999999999</v>
      </c>
      <c r="E205" s="3">
        <v>-2605.9986000000004</v>
      </c>
      <c r="F205" s="3">
        <v>-66944.023400000005</v>
      </c>
      <c r="G205" s="3">
        <v>-64381.469700000001</v>
      </c>
      <c r="H205" s="3">
        <v>-66126.553599999999</v>
      </c>
      <c r="I205" s="3">
        <v>-65714.388300000006</v>
      </c>
      <c r="J205" s="3">
        <v>-63197.821000000004</v>
      </c>
      <c r="K205" s="3">
        <v>-2595.3267999999998</v>
      </c>
      <c r="L205" s="3">
        <v>-2495.9090000000001</v>
      </c>
      <c r="M205" s="3">
        <v>-2563.4909000000002</v>
      </c>
      <c r="N205" s="4">
        <f t="shared" ref="N205:N213" si="54">SUM(B205:M205)</f>
        <v>-344538.13049999991</v>
      </c>
      <c r="O205" s="8"/>
    </row>
    <row r="206" spans="1:15" x14ac:dyDescent="0.2">
      <c r="A206" s="11" t="s">
        <v>59</v>
      </c>
      <c r="B206" s="5">
        <f>[1]PL!BL24</f>
        <v>0</v>
      </c>
      <c r="C206" s="5">
        <f>[1]PL!BM24</f>
        <v>0</v>
      </c>
      <c r="D206" s="5">
        <f>[1]PL!BN24</f>
        <v>0</v>
      </c>
      <c r="E206" s="5">
        <f>[1]PL!BO24</f>
        <v>0</v>
      </c>
      <c r="F206" s="5">
        <f>[1]PL!BP24</f>
        <v>0</v>
      </c>
      <c r="G206" s="5">
        <f>[1]PL!BQ24</f>
        <v>0</v>
      </c>
      <c r="H206" s="5">
        <f>[1]PL!BR24</f>
        <v>0</v>
      </c>
      <c r="I206" s="5">
        <f>[1]PL!BS24</f>
        <v>0</v>
      </c>
      <c r="J206" s="5">
        <f>[1]PL!BT24</f>
        <v>0</v>
      </c>
      <c r="K206" s="5">
        <f>[1]PL!BU24</f>
        <v>0</v>
      </c>
      <c r="L206" s="5">
        <f>[1]PL!BV24</f>
        <v>0</v>
      </c>
      <c r="M206" s="5">
        <f>[1]PL!BW24</f>
        <v>0</v>
      </c>
      <c r="N206" s="4">
        <f t="shared" si="54"/>
        <v>0</v>
      </c>
      <c r="O206" s="8"/>
    </row>
    <row r="207" spans="1:15" x14ac:dyDescent="0.2">
      <c r="A207" s="11" t="s">
        <v>58</v>
      </c>
      <c r="B207" s="5">
        <f>[1]PL!BL25</f>
        <v>0</v>
      </c>
      <c r="C207" s="5">
        <f>[1]PL!BM25</f>
        <v>0</v>
      </c>
      <c r="D207" s="5">
        <f>[1]PL!BN25</f>
        <v>0</v>
      </c>
      <c r="E207" s="5">
        <f>[1]PL!BO25</f>
        <v>0</v>
      </c>
      <c r="F207" s="5">
        <f>[1]PL!BP25</f>
        <v>0</v>
      </c>
      <c r="G207" s="5">
        <f>[1]PL!BQ25</f>
        <v>0</v>
      </c>
      <c r="H207" s="5">
        <f>[1]PL!BR25</f>
        <v>0</v>
      </c>
      <c r="I207" s="5">
        <f>[1]PL!BS25</f>
        <v>0</v>
      </c>
      <c r="J207" s="5">
        <f>[1]PL!BT25</f>
        <v>0</v>
      </c>
      <c r="K207" s="5">
        <f>[1]PL!BU25</f>
        <v>0</v>
      </c>
      <c r="L207" s="5">
        <f>[1]PL!BV25</f>
        <v>0</v>
      </c>
      <c r="M207" s="5">
        <f>[1]PL!BW25</f>
        <v>0</v>
      </c>
      <c r="N207" s="4">
        <f t="shared" si="54"/>
        <v>0</v>
      </c>
      <c r="O207" s="8"/>
    </row>
    <row r="208" spans="1:15" x14ac:dyDescent="0.2">
      <c r="A208" s="11" t="s">
        <v>61</v>
      </c>
      <c r="B208" s="5">
        <f>[1]PL!BL26</f>
        <v>0</v>
      </c>
      <c r="C208" s="5">
        <f>[1]PL!BM26</f>
        <v>0</v>
      </c>
      <c r="D208" s="5">
        <f>[1]PL!BN26</f>
        <v>0</v>
      </c>
      <c r="E208" s="5">
        <f>[1]PL!BO26</f>
        <v>0</v>
      </c>
      <c r="F208" s="5">
        <f>[1]PL!BP26</f>
        <v>0</v>
      </c>
      <c r="G208" s="5">
        <f>[1]PL!BQ26</f>
        <v>0</v>
      </c>
      <c r="H208" s="5">
        <f>[1]PL!BR26</f>
        <v>0</v>
      </c>
      <c r="I208" s="5">
        <f>[1]PL!BS26</f>
        <v>0</v>
      </c>
      <c r="J208" s="5">
        <f>[1]PL!BT26</f>
        <v>0</v>
      </c>
      <c r="K208" s="5">
        <f>[1]PL!BU26</f>
        <v>0</v>
      </c>
      <c r="L208" s="5">
        <f>[1]PL!BV26</f>
        <v>0</v>
      </c>
      <c r="M208" s="5">
        <f>[1]PL!BW26</f>
        <v>0</v>
      </c>
      <c r="N208" s="4">
        <f t="shared" si="54"/>
        <v>0</v>
      </c>
      <c r="O208" s="8"/>
    </row>
    <row r="209" spans="1:18" x14ac:dyDescent="0.2">
      <c r="A209" s="11" t="s">
        <v>60</v>
      </c>
      <c r="B209" s="5">
        <f>[1]PL!BL27</f>
        <v>0</v>
      </c>
      <c r="C209" s="5">
        <f>[1]PL!BM27</f>
        <v>0</v>
      </c>
      <c r="D209" s="5">
        <f>[1]PL!BN27</f>
        <v>0</v>
      </c>
      <c r="E209" s="5">
        <f>[1]PL!BO27</f>
        <v>0</v>
      </c>
      <c r="F209" s="5">
        <f>[1]PL!BP27</f>
        <v>0</v>
      </c>
      <c r="G209" s="5">
        <f>[1]PL!BQ27</f>
        <v>0</v>
      </c>
      <c r="H209" s="5">
        <f>[1]PL!BR27</f>
        <v>0</v>
      </c>
      <c r="I209" s="5">
        <f>[1]PL!BS27</f>
        <v>0</v>
      </c>
      <c r="J209" s="5">
        <f>[1]PL!BT27</f>
        <v>0</v>
      </c>
      <c r="K209" s="5">
        <f>[1]PL!BU27</f>
        <v>0</v>
      </c>
      <c r="L209" s="5">
        <f>[1]PL!BV27</f>
        <v>0</v>
      </c>
      <c r="M209" s="5">
        <f>[1]PL!BW27</f>
        <v>0</v>
      </c>
      <c r="N209" s="4">
        <f t="shared" si="54"/>
        <v>0</v>
      </c>
      <c r="O209" s="8"/>
    </row>
    <row r="210" spans="1:18" x14ac:dyDescent="0.2">
      <c r="A210" s="11" t="s">
        <v>63</v>
      </c>
      <c r="B210" s="5">
        <f>[1]PL!BL28</f>
        <v>0</v>
      </c>
      <c r="C210" s="5">
        <f>[1]PL!BM28</f>
        <v>0</v>
      </c>
      <c r="D210" s="5">
        <f>[1]PL!BN28</f>
        <v>0</v>
      </c>
      <c r="E210" s="5">
        <f>[1]PL!BO28</f>
        <v>0</v>
      </c>
      <c r="F210" s="5">
        <f>[1]PL!BP28</f>
        <v>0</v>
      </c>
      <c r="G210" s="5">
        <f>[1]PL!BQ28</f>
        <v>0</v>
      </c>
      <c r="H210" s="5">
        <f>[1]PL!BR28</f>
        <v>22260.802232417704</v>
      </c>
      <c r="I210" s="5">
        <f>[1]PL!BS28</f>
        <v>25444.875871849203</v>
      </c>
      <c r="J210" s="5">
        <f>[1]PL!BT28</f>
        <v>0</v>
      </c>
      <c r="K210" s="5">
        <f>[1]PL!BU28</f>
        <v>0</v>
      </c>
      <c r="L210" s="5">
        <f>[1]PL!BV28</f>
        <v>0</v>
      </c>
      <c r="M210" s="5">
        <f>[1]PL!BW28</f>
        <v>0</v>
      </c>
      <c r="N210" s="4">
        <f t="shared" si="54"/>
        <v>47705.678104266903</v>
      </c>
      <c r="O210" s="8"/>
    </row>
    <row r="211" spans="1:18" x14ac:dyDescent="0.2">
      <c r="A211" s="11" t="s">
        <v>62</v>
      </c>
      <c r="B211" s="5">
        <f>SUM([1]PL!BL$29:BL$32)</f>
        <v>0</v>
      </c>
      <c r="C211" s="5">
        <f>SUM([1]PL!BM$29:BM$32)</f>
        <v>0</v>
      </c>
      <c r="D211" s="5">
        <f>SUM([1]PL!BN$29:BN$32)</f>
        <v>0</v>
      </c>
      <c r="E211" s="5">
        <f>SUM([1]PL!BO$29:BO$32)</f>
        <v>0</v>
      </c>
      <c r="F211" s="5">
        <f>SUM([1]PL!BP$29:BP$32)</f>
        <v>0</v>
      </c>
      <c r="G211" s="5">
        <f>SUM([1]PL!BQ$29:BQ$32)</f>
        <v>260895.15401615301</v>
      </c>
      <c r="H211" s="5">
        <f>SUM([1]PL!BR$29:BR$32)</f>
        <v>-20257.330031499703</v>
      </c>
      <c r="I211" s="5">
        <f>SUM([1]PL!BS$29:BS$32)</f>
        <v>-23154.837043382304</v>
      </c>
      <c r="J211" s="5">
        <f>SUM([1]PL!BT$29:BT$32)</f>
        <v>0</v>
      </c>
      <c r="K211" s="5">
        <f>SUM([1]PL!BU$29:BU$32)</f>
        <v>0</v>
      </c>
      <c r="L211" s="5">
        <f>SUM([1]PL!BV$29:BV$32)</f>
        <v>0</v>
      </c>
      <c r="M211" s="5">
        <f>SUM([1]PL!BW$29:BW$32)</f>
        <v>0</v>
      </c>
      <c r="N211" s="4">
        <f t="shared" si="54"/>
        <v>217482.986941271</v>
      </c>
      <c r="O211" s="8"/>
      <c r="P211" s="3"/>
      <c r="Q211" s="3"/>
      <c r="R211" s="3"/>
    </row>
    <row r="212" spans="1:18" x14ac:dyDescent="0.2">
      <c r="A212" s="35" t="s">
        <v>53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31"/>
      <c r="N212" s="31">
        <f t="shared" si="54"/>
        <v>0</v>
      </c>
      <c r="O212" s="8"/>
      <c r="P212" s="3"/>
      <c r="Q212" s="3"/>
      <c r="R212" s="3"/>
    </row>
    <row r="213" spans="1:18" x14ac:dyDescent="0.2">
      <c r="A213" s="19" t="s">
        <v>37</v>
      </c>
      <c r="B213" s="5">
        <f>SUM(B205:B212)</f>
        <v>-2742.1257000000001</v>
      </c>
      <c r="C213" s="5">
        <f t="shared" ref="C213:H213" si="55">SUM(C205:C212)</f>
        <v>-2461.33</v>
      </c>
      <c r="D213" s="5">
        <f t="shared" si="55"/>
        <v>-2709.6934999999999</v>
      </c>
      <c r="E213" s="5">
        <f t="shared" si="55"/>
        <v>-2605.9986000000004</v>
      </c>
      <c r="F213" s="5">
        <f t="shared" si="55"/>
        <v>-66944.023400000005</v>
      </c>
      <c r="G213" s="5">
        <f t="shared" si="55"/>
        <v>196513.684316153</v>
      </c>
      <c r="H213" s="5">
        <f t="shared" si="55"/>
        <v>-64123.081399082002</v>
      </c>
      <c r="I213" s="5">
        <f>SUM(I205:I212)</f>
        <v>-63424.349471533103</v>
      </c>
      <c r="J213" s="5">
        <f>SUM(J205:J212)</f>
        <v>-63197.821000000004</v>
      </c>
      <c r="K213" s="5">
        <f>SUM(K205:K212)</f>
        <v>-2595.3267999999998</v>
      </c>
      <c r="L213" s="5">
        <f>SUM(L205:L212)</f>
        <v>-2495.9090000000001</v>
      </c>
      <c r="M213" s="5">
        <f>SUM(M205:M212)</f>
        <v>-2563.4909000000002</v>
      </c>
      <c r="N213" s="17">
        <f t="shared" si="54"/>
        <v>-79349.46545446213</v>
      </c>
      <c r="O213" s="8"/>
    </row>
    <row r="214" spans="1:18" x14ac:dyDescent="0.2">
      <c r="A214" s="29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5"/>
      <c r="N214" s="17"/>
      <c r="O214" s="8"/>
    </row>
    <row r="215" spans="1:18" x14ac:dyDescent="0.2">
      <c r="A215" s="8" t="s">
        <v>40</v>
      </c>
      <c r="B215" s="5">
        <f>[1]PL!BL17</f>
        <v>-3102774.3668480469</v>
      </c>
      <c r="C215" s="5">
        <f>[1]PL!BM17</f>
        <v>-3104089.2912881207</v>
      </c>
      <c r="D215" s="5">
        <f>[1]PL!BN17</f>
        <v>-3104373.1349995793</v>
      </c>
      <c r="E215" s="5">
        <f>[1]PL!BO17</f>
        <v>-3104922.8637794135</v>
      </c>
      <c r="F215" s="5">
        <f>[1]PL!BP17</f>
        <v>-3103940.1125736488</v>
      </c>
      <c r="G215" s="5">
        <f>[1]PL!BQ17</f>
        <v>-3093716.4719872861</v>
      </c>
      <c r="H215" s="5">
        <f>[1]PL!BR17</f>
        <v>-3079269.9904036243</v>
      </c>
      <c r="I215" s="5">
        <f>[1]PL!BS17</f>
        <v>-3075672.1884256164</v>
      </c>
      <c r="J215" s="5">
        <f>[1]PL!BT17</f>
        <v>-3094888.3771445691</v>
      </c>
      <c r="K215" s="5">
        <f>[1]PL!BU17</f>
        <v>-3095575.4180556089</v>
      </c>
      <c r="L215" s="5">
        <f>[1]PL!BV17</f>
        <v>-3095148.6633407334</v>
      </c>
      <c r="M215" s="5">
        <f>[1]PL!BW17</f>
        <v>-3092934.2908029174</v>
      </c>
      <c r="N215" s="17">
        <f t="shared" ref="N215:N221" si="56">SUM(B215:M215)</f>
        <v>-37147305.169649161</v>
      </c>
      <c r="O215" s="40">
        <f t="shared" ref="O215:O220" si="57">(N215/12)/(2820*1000)</f>
        <v>-1.0977336043040533</v>
      </c>
    </row>
    <row r="216" spans="1:18" x14ac:dyDescent="0.2">
      <c r="A216" s="8" t="s">
        <v>41</v>
      </c>
      <c r="B216" s="5">
        <f>[1]PL!BL19</f>
        <v>-1798506.0373130802</v>
      </c>
      <c r="C216" s="5">
        <f>[1]PL!BM19</f>
        <v>-1788907.048514049</v>
      </c>
      <c r="D216" s="5">
        <f>[1]PL!BN19</f>
        <v>-1778340.6717591933</v>
      </c>
      <c r="E216" s="5">
        <f>[1]PL!BO19</f>
        <v>-1768175.8938867562</v>
      </c>
      <c r="F216" s="5">
        <f>[1]PL!BP19</f>
        <v>-1757678.2885465613</v>
      </c>
      <c r="G216" s="5">
        <f>[1]PL!BQ19</f>
        <v>-1747444.9018176282</v>
      </c>
      <c r="H216" s="5">
        <f>[1]PL!BR19</f>
        <v>-1736868.48558131</v>
      </c>
      <c r="I216" s="5">
        <f>[1]PL!BS19</f>
        <v>-1726349.0897362584</v>
      </c>
      <c r="J216" s="5">
        <f>[1]PL!BT19</f>
        <v>-1716223.0751113652</v>
      </c>
      <c r="K216" s="5">
        <f>[1]PL!BU19</f>
        <v>-1705815.1216130382</v>
      </c>
      <c r="L216" s="5">
        <f>[1]PL!BV19</f>
        <v>-1695796.4692710172</v>
      </c>
      <c r="M216" s="5">
        <f>[1]PL!BW19</f>
        <v>-1685498.9571722641</v>
      </c>
      <c r="N216" s="17">
        <f t="shared" si="56"/>
        <v>-20905604.040322524</v>
      </c>
      <c r="O216" s="40">
        <f t="shared" si="57"/>
        <v>-0.61777789717265141</v>
      </c>
    </row>
    <row r="217" spans="1:18" x14ac:dyDescent="0.2">
      <c r="A217" s="11" t="s">
        <v>42</v>
      </c>
      <c r="B217" s="5">
        <f>[1]PL!BL20</f>
        <v>-757338.681445739</v>
      </c>
      <c r="C217" s="5">
        <f>[1]PL!BM20</f>
        <v>-753296.61243432306</v>
      </c>
      <c r="D217" s="5">
        <f>[1]PL!BN20</f>
        <v>-748847.18292273907</v>
      </c>
      <c r="E217" s="5">
        <f>[1]PL!BO20</f>
        <v>-744566.86397390708</v>
      </c>
      <c r="F217" s="5">
        <f>[1]PL!BP20</f>
        <v>-740146.3936381191</v>
      </c>
      <c r="G217" s="5">
        <f>[1]PL!BQ20</f>
        <v>-735837.18396563106</v>
      </c>
      <c r="H217" s="5">
        <f>[1]PL!BR20</f>
        <v>-731383.52689656802</v>
      </c>
      <c r="I217" s="5">
        <f>[1]PL!BS20</f>
        <v>-726953.88072712906</v>
      </c>
      <c r="J217" s="5">
        <f>[1]PL!BT20</f>
        <v>-722689.88471865607</v>
      </c>
      <c r="K217" s="5">
        <f>[1]PL!BU20</f>
        <v>-718307.16616478842</v>
      </c>
      <c r="L217" s="5">
        <f>[1]PL!BV20</f>
        <v>-714088.37968470238</v>
      </c>
      <c r="M217" s="5">
        <f>[1]PL!BW20</f>
        <v>-709752.16725436295</v>
      </c>
      <c r="N217" s="17">
        <f t="shared" si="56"/>
        <v>-8803207.9238266647</v>
      </c>
      <c r="O217" s="40">
        <f t="shared" si="57"/>
        <v>-0.26014207812726553</v>
      </c>
    </row>
    <row r="218" spans="1:18" x14ac:dyDescent="0.2">
      <c r="A218" s="11" t="s">
        <v>43</v>
      </c>
      <c r="B218" s="5">
        <f>[1]PL!BL21</f>
        <v>-288136.29042537842</v>
      </c>
      <c r="C218" s="5">
        <f>[1]PL!BM21</f>
        <v>-286598.44903535524</v>
      </c>
      <c r="D218" s="5">
        <f>[1]PL!BN21</f>
        <v>-284905.62369131041</v>
      </c>
      <c r="E218" s="5">
        <f>[1]PL!BO21</f>
        <v>-283277.13797683502</v>
      </c>
      <c r="F218" s="5">
        <f>[1]PL!BP21</f>
        <v>-281595.33041082183</v>
      </c>
      <c r="G218" s="5">
        <f>[1]PL!BQ21</f>
        <v>-279955.85296154523</v>
      </c>
      <c r="H218" s="5">
        <f>[1]PL!BR21</f>
        <v>-278261.41920535924</v>
      </c>
      <c r="I218" s="5">
        <f>[1]PL!BS21</f>
        <v>-276576.12061117805</v>
      </c>
      <c r="J218" s="5">
        <f>[1]PL!BT21</f>
        <v>-274953.84510568745</v>
      </c>
      <c r="K218" s="5">
        <f>[1]PL!BU21</f>
        <v>-273286.40054352843</v>
      </c>
      <c r="L218" s="5">
        <f>[1]PL!BV21</f>
        <v>-271681.32540838799</v>
      </c>
      <c r="M218" s="5">
        <f>[1]PL!BW21</f>
        <v>-270031.57451782201</v>
      </c>
      <c r="N218" s="17">
        <f t="shared" si="56"/>
        <v>-3349259.3698932095</v>
      </c>
      <c r="O218" s="40">
        <f t="shared" si="57"/>
        <v>-9.897338563514213E-2</v>
      </c>
    </row>
    <row r="219" spans="1:18" x14ac:dyDescent="0.2">
      <c r="A219" s="11" t="s">
        <v>44</v>
      </c>
      <c r="B219" s="5">
        <f>[1]PL!BL22</f>
        <v>0</v>
      </c>
      <c r="C219" s="5">
        <f>[1]PL!BM22</f>
        <v>0</v>
      </c>
      <c r="D219" s="5">
        <f>[1]PL!BN22</f>
        <v>0</v>
      </c>
      <c r="E219" s="5">
        <f>[1]PL!BO22</f>
        <v>0</v>
      </c>
      <c r="F219" s="5">
        <f>[1]PL!BP22</f>
        <v>0</v>
      </c>
      <c r="G219" s="5">
        <f>[1]PL!BQ22</f>
        <v>0</v>
      </c>
      <c r="H219" s="5">
        <f>[1]PL!BR22</f>
        <v>0</v>
      </c>
      <c r="I219" s="5">
        <f>[1]PL!BS22</f>
        <v>0</v>
      </c>
      <c r="J219" s="5">
        <f>[1]PL!BT22</f>
        <v>0</v>
      </c>
      <c r="K219" s="5">
        <f>[1]PL!BU22</f>
        <v>0</v>
      </c>
      <c r="L219" s="5">
        <f>[1]PL!BV22</f>
        <v>0</v>
      </c>
      <c r="M219" s="5">
        <f>[1]PL!BW22</f>
        <v>0</v>
      </c>
      <c r="N219" s="17">
        <f t="shared" si="56"/>
        <v>0</v>
      </c>
      <c r="O219" s="40">
        <f t="shared" si="57"/>
        <v>0</v>
      </c>
    </row>
    <row r="220" spans="1:18" x14ac:dyDescent="0.2">
      <c r="A220" s="35" t="s">
        <v>45</v>
      </c>
      <c r="B220" s="20">
        <f>[1]PL!BL23</f>
        <v>-430819.22734788922</v>
      </c>
      <c r="C220" s="21">
        <f>[1]PL!BM23</f>
        <v>-428519.85839837091</v>
      </c>
      <c r="D220" s="21">
        <f>[1]PL!BN23</f>
        <v>-425988.75859945413</v>
      </c>
      <c r="E220" s="21">
        <f>[1]PL!BO23</f>
        <v>-423553.85893366858</v>
      </c>
      <c r="F220" s="21">
        <f>[1]PL!BP23</f>
        <v>-421039.23283409647</v>
      </c>
      <c r="G220" s="21">
        <f>[1]PL!BQ23</f>
        <v>-418587.89840860997</v>
      </c>
      <c r="H220" s="21">
        <f>[1]PL!BR23</f>
        <v>-416054.39372388413</v>
      </c>
      <c r="I220" s="21">
        <f>[1]PL!BS23</f>
        <v>-413534.54786509444</v>
      </c>
      <c r="J220" s="21">
        <f>[1]PL!BT23</f>
        <v>-411108.93365735607</v>
      </c>
      <c r="K220" s="21">
        <f>[1]PL!BU23</f>
        <v>-408615.78301376896</v>
      </c>
      <c r="L220" s="21">
        <f>[1]PL!BV23</f>
        <v>-406215.88667118835</v>
      </c>
      <c r="M220" s="21">
        <f>[1]PL!BW23</f>
        <v>-403749.19147309044</v>
      </c>
      <c r="N220" s="31">
        <f t="shared" si="56"/>
        <v>-5007787.5709264707</v>
      </c>
      <c r="O220" s="88">
        <f t="shared" si="57"/>
        <v>-0.14798426628033307</v>
      </c>
    </row>
    <row r="221" spans="1:18" x14ac:dyDescent="0.2">
      <c r="A221" s="19" t="s">
        <v>38</v>
      </c>
      <c r="B221" s="3">
        <f>SUM(B215:B220)</f>
        <v>-6377574.6033801343</v>
      </c>
      <c r="C221" s="3">
        <f>SUM(C215:C220)</f>
        <v>-6361411.2596702185</v>
      </c>
      <c r="D221" s="3">
        <f t="shared" ref="D221:M221" si="58">SUM(D215:D220)</f>
        <v>-6342455.3719722768</v>
      </c>
      <c r="E221" s="3">
        <f t="shared" si="58"/>
        <v>-6324496.61855058</v>
      </c>
      <c r="F221" s="3">
        <f t="shared" si="58"/>
        <v>-6304399.3580032466</v>
      </c>
      <c r="G221" s="3">
        <f t="shared" si="58"/>
        <v>-6275542.3091406999</v>
      </c>
      <c r="H221" s="3">
        <f t="shared" si="58"/>
        <v>-6241837.8158107456</v>
      </c>
      <c r="I221" s="3">
        <f t="shared" si="58"/>
        <v>-6219085.8273652764</v>
      </c>
      <c r="J221" s="3">
        <f t="shared" si="58"/>
        <v>-6219864.1157376338</v>
      </c>
      <c r="K221" s="3">
        <f t="shared" si="58"/>
        <v>-6201599.8893907331</v>
      </c>
      <c r="L221" s="3">
        <f t="shared" si="58"/>
        <v>-6182930.7243760293</v>
      </c>
      <c r="M221" s="3">
        <f t="shared" si="58"/>
        <v>-6161966.181220457</v>
      </c>
      <c r="N221" s="4">
        <f t="shared" si="56"/>
        <v>-75213164.074618027</v>
      </c>
      <c r="O221" s="38">
        <f>SUM(O215:O220)</f>
        <v>-2.2226112315194455</v>
      </c>
    </row>
    <row r="222" spans="1:18" x14ac:dyDescent="0.2">
      <c r="A222" s="33"/>
      <c r="M222" s="30"/>
      <c r="N222" s="25"/>
      <c r="O222" s="25"/>
    </row>
    <row r="223" spans="1:18" x14ac:dyDescent="0.2">
      <c r="A223" s="51" t="s">
        <v>0</v>
      </c>
      <c r="B223" s="13">
        <f t="shared" ref="B223:N223" si="59">B203+B213+B221</f>
        <v>-5395973.0436536288</v>
      </c>
      <c r="C223" s="13">
        <f t="shared" si="59"/>
        <v>-5342502.7419792647</v>
      </c>
      <c r="D223" s="13">
        <f t="shared" si="59"/>
        <v>-5928769.4075350948</v>
      </c>
      <c r="E223" s="13">
        <f t="shared" si="59"/>
        <v>-5636831.9386868458</v>
      </c>
      <c r="F223" s="13">
        <f t="shared" si="59"/>
        <v>-4451442.6951010581</v>
      </c>
      <c r="G223" s="13">
        <f t="shared" si="59"/>
        <v>6054634.7167027434</v>
      </c>
      <c r="H223" s="13">
        <f t="shared" si="59"/>
        <v>21461567.068659522</v>
      </c>
      <c r="I223" s="13">
        <f t="shared" si="59"/>
        <v>23810652.266102783</v>
      </c>
      <c r="J223" s="13">
        <f t="shared" si="59"/>
        <v>-1562145.8434777884</v>
      </c>
      <c r="K223" s="13">
        <f t="shared" si="59"/>
        <v>-5515911.5614138786</v>
      </c>
      <c r="L223" s="13">
        <f t="shared" si="59"/>
        <v>-5579033.7651575804</v>
      </c>
      <c r="M223" s="13">
        <f t="shared" si="59"/>
        <v>-5577979.8555947021</v>
      </c>
      <c r="N223" s="13">
        <f t="shared" si="59"/>
        <v>6336263.19886522</v>
      </c>
      <c r="O223" s="39"/>
    </row>
    <row r="226" spans="1:18" x14ac:dyDescent="0.2">
      <c r="C226" t="s">
        <v>49</v>
      </c>
    </row>
    <row r="227" spans="1:18" x14ac:dyDescent="0.2">
      <c r="B227" s="52">
        <v>38718</v>
      </c>
      <c r="C227" s="52">
        <v>38749</v>
      </c>
      <c r="D227" s="52">
        <v>38777</v>
      </c>
      <c r="E227" s="52">
        <v>38808</v>
      </c>
      <c r="F227" s="52">
        <v>38838</v>
      </c>
      <c r="G227" s="52">
        <v>38869</v>
      </c>
      <c r="H227" s="52">
        <v>38899</v>
      </c>
      <c r="I227" s="52">
        <v>38930</v>
      </c>
      <c r="J227" s="52">
        <v>38961</v>
      </c>
      <c r="K227" s="52">
        <v>38991</v>
      </c>
      <c r="L227" s="52">
        <v>39022</v>
      </c>
      <c r="M227" s="52">
        <v>39052</v>
      </c>
      <c r="N227" s="6" t="s">
        <v>26</v>
      </c>
      <c r="O227" s="16" t="s">
        <v>47</v>
      </c>
      <c r="P227" s="27"/>
      <c r="Q227" s="27"/>
      <c r="R227" s="27"/>
    </row>
    <row r="228" spans="1:18" x14ac:dyDescent="0.2">
      <c r="A228" s="9" t="s">
        <v>34</v>
      </c>
      <c r="B228" s="5">
        <f>[1]PL!BY11</f>
        <v>130664.63359588501</v>
      </c>
      <c r="C228" s="5">
        <f>[1]PL!BZ11</f>
        <v>136620.77920918301</v>
      </c>
      <c r="D228" s="5">
        <f>[1]PL!CA11</f>
        <v>92506.570882473912</v>
      </c>
      <c r="E228" s="5">
        <f>[1]PL!CB11</f>
        <v>130779.94368385301</v>
      </c>
      <c r="F228" s="5">
        <f>[1]PL!CC11</f>
        <v>296590.61109296605</v>
      </c>
      <c r="G228" s="5">
        <f>[1]PL!CD11</f>
        <v>2035600.0846371902</v>
      </c>
      <c r="H228" s="5">
        <f>[1]PL!CE11</f>
        <v>4086053.2011222304</v>
      </c>
      <c r="I228" s="5">
        <f>[1]PL!CF11</f>
        <v>4491913.16313898</v>
      </c>
      <c r="J228" s="5">
        <f>[1]PL!CG11</f>
        <v>782646.3296687071</v>
      </c>
      <c r="K228" s="5">
        <f>[1]PL!CH11</f>
        <v>118255.42562903902</v>
      </c>
      <c r="L228" s="5">
        <f>[1]PL!CI11</f>
        <v>146155.09259199802</v>
      </c>
      <c r="M228" s="5">
        <f>[1]PL!CJ11</f>
        <v>98026.051796994812</v>
      </c>
      <c r="N228" s="32">
        <f t="shared" ref="N228:N233" si="60">SUM(B228:M228)</f>
        <v>12545811.887049498</v>
      </c>
      <c r="O228" s="37">
        <f>(N228/12)/(465*1000)</f>
        <v>2.2483533847758959</v>
      </c>
      <c r="P228" s="5"/>
      <c r="Q228" s="5"/>
      <c r="R228" s="5"/>
    </row>
    <row r="229" spans="1:18" x14ac:dyDescent="0.2">
      <c r="A229" s="8" t="s">
        <v>35</v>
      </c>
      <c r="B229" s="5">
        <f>[1]PL!BY12</f>
        <v>180045.31831945901</v>
      </c>
      <c r="C229" s="5">
        <f>[1]PL!BZ12</f>
        <v>190981.06793415602</v>
      </c>
      <c r="D229" s="5">
        <f>[1]PL!CA12</f>
        <v>117314.79382394601</v>
      </c>
      <c r="E229" s="5">
        <f>[1]PL!CB12</f>
        <v>154695.26804488403</v>
      </c>
      <c r="F229" s="5">
        <f>[1]PL!CC12</f>
        <v>313179.25036527705</v>
      </c>
      <c r="G229" s="5">
        <f>[1]PL!CD12</f>
        <v>2509872.2599763703</v>
      </c>
      <c r="H229" s="5">
        <f>[1]PL!CE12</f>
        <v>5150357.3267903607</v>
      </c>
      <c r="I229" s="5">
        <f>[1]PL!CF12</f>
        <v>5671293.9856254002</v>
      </c>
      <c r="J229" s="5">
        <f>[1]PL!CG12</f>
        <v>975849.31221853406</v>
      </c>
      <c r="K229" s="5">
        <f>[1]PL!CH12</f>
        <v>159640.31862555401</v>
      </c>
      <c r="L229" s="5">
        <f>[1]PL!CI12</f>
        <v>142153.91132261002</v>
      </c>
      <c r="M229" s="5">
        <f>[1]PL!CJ12</f>
        <v>108151.60225835301</v>
      </c>
      <c r="N229" s="17">
        <f t="shared" si="60"/>
        <v>15673534.415304905</v>
      </c>
      <c r="O229" s="38">
        <f>(N229/12)/(600*1000)</f>
        <v>2.1768797799034592</v>
      </c>
      <c r="P229" s="5"/>
      <c r="Q229" s="5"/>
      <c r="R229" s="5"/>
    </row>
    <row r="230" spans="1:18" x14ac:dyDescent="0.2">
      <c r="A230" s="8" t="s">
        <v>31</v>
      </c>
      <c r="B230" s="5">
        <f>[1]PL!BY13</f>
        <v>139415.39316689502</v>
      </c>
      <c r="C230" s="5">
        <f>[1]PL!BZ13</f>
        <v>143302.529041909</v>
      </c>
      <c r="D230" s="5">
        <f>[1]PL!CA13</f>
        <v>47996.286546613206</v>
      </c>
      <c r="E230" s="5">
        <f>[1]PL!CB13</f>
        <v>90104.818512154408</v>
      </c>
      <c r="F230" s="5">
        <f>[1]PL!CC13</f>
        <v>331175.82667701301</v>
      </c>
      <c r="G230" s="5">
        <f>[1]PL!CD13</f>
        <v>1836843.8261062601</v>
      </c>
      <c r="H230" s="5">
        <f>[1]PL!CE13</f>
        <v>4213063.6369088301</v>
      </c>
      <c r="I230" s="5">
        <f>[1]PL!CF13</f>
        <v>4512641.1975724306</v>
      </c>
      <c r="J230" s="5">
        <f>[1]PL!CG13</f>
        <v>641155.29235649912</v>
      </c>
      <c r="K230" s="5">
        <f>[1]PL!CH13</f>
        <v>120799.38859745601</v>
      </c>
      <c r="L230" s="5">
        <f>[1]PL!CI13</f>
        <v>81351.285860152711</v>
      </c>
      <c r="M230" s="5">
        <f>[1]PL!CJ13</f>
        <v>85687.861508730304</v>
      </c>
      <c r="N230" s="17">
        <f t="shared" si="60"/>
        <v>12243537.342854945</v>
      </c>
      <c r="O230" s="38">
        <f>(N230/12)/(440*1000)</f>
        <v>2.3188517694801032</v>
      </c>
      <c r="P230" s="5"/>
      <c r="Q230" s="5"/>
      <c r="R230" s="5"/>
    </row>
    <row r="231" spans="1:18" x14ac:dyDescent="0.2">
      <c r="A231" s="8" t="s">
        <v>30</v>
      </c>
      <c r="B231" s="5">
        <f>[1]PL!BY14</f>
        <v>153536.16068956003</v>
      </c>
      <c r="C231" s="5">
        <f>[1]PL!BZ14</f>
        <v>157392.05314591801</v>
      </c>
      <c r="D231" s="5">
        <f>[1]PL!CA14</f>
        <v>56902.492326953005</v>
      </c>
      <c r="E231" s="5">
        <f>[1]PL!CB14</f>
        <v>100351.25029966401</v>
      </c>
      <c r="F231" s="5">
        <f>[1]PL!CC14</f>
        <v>355433.16912362905</v>
      </c>
      <c r="G231" s="5">
        <f>[1]PL!CD14</f>
        <v>1933480.1078045501</v>
      </c>
      <c r="H231" s="5">
        <f>[1]PL!CE14</f>
        <v>4396838.3739300007</v>
      </c>
      <c r="I231" s="5">
        <f>[1]PL!CF14</f>
        <v>4708759.8757490106</v>
      </c>
      <c r="J231" s="5">
        <f>[1]PL!CG14</f>
        <v>687732.72890672507</v>
      </c>
      <c r="K231" s="5">
        <f>[1]PL!CH14</f>
        <v>137243.21380729001</v>
      </c>
      <c r="L231" s="5">
        <f>[1]PL!CI14</f>
        <v>90447.555095924516</v>
      </c>
      <c r="M231" s="5">
        <f>[1]PL!CJ14</f>
        <v>93655.466855273509</v>
      </c>
      <c r="N231" s="17">
        <f t="shared" si="60"/>
        <v>12871772.447734497</v>
      </c>
      <c r="O231" s="38">
        <f>(N231/12)/(450*1000)</f>
        <v>2.3836615643952772</v>
      </c>
      <c r="P231" s="5"/>
      <c r="Q231" s="5"/>
      <c r="R231" s="5"/>
    </row>
    <row r="232" spans="1:18" x14ac:dyDescent="0.2">
      <c r="A232" s="8" t="s">
        <v>32</v>
      </c>
      <c r="B232" s="5">
        <f>[1]PL!BY15</f>
        <v>129882.71680581901</v>
      </c>
      <c r="C232" s="5">
        <f>[1]PL!BZ15</f>
        <v>133981.42153963802</v>
      </c>
      <c r="D232" s="5">
        <f>[1]PL!CA15</f>
        <v>42910.738344004501</v>
      </c>
      <c r="E232" s="5">
        <f>[1]PL!CB15</f>
        <v>73714.176491852108</v>
      </c>
      <c r="F232" s="5">
        <f>[1]PL!CC15</f>
        <v>293523.42289869301</v>
      </c>
      <c r="G232" s="5">
        <f>[1]PL!CD15</f>
        <v>1419862.2950991602</v>
      </c>
      <c r="H232" s="5">
        <f>[1]PL!CE15</f>
        <v>3298249.7419434101</v>
      </c>
      <c r="I232" s="5">
        <f>[1]PL!CF15</f>
        <v>3535356.9463540604</v>
      </c>
      <c r="J232" s="5">
        <f>[1]PL!CG15</f>
        <v>479468.29821938305</v>
      </c>
      <c r="K232" s="5">
        <f>[1]PL!CH15</f>
        <v>99742.531590032304</v>
      </c>
      <c r="L232" s="5">
        <f>[1]PL!CI15</f>
        <v>82218.326539900008</v>
      </c>
      <c r="M232" s="5">
        <f>[1]PL!CJ15</f>
        <v>84746.716617166006</v>
      </c>
      <c r="N232" s="17">
        <f t="shared" si="60"/>
        <v>9673657.3324431181</v>
      </c>
      <c r="O232" s="38">
        <f>(N232/12)/(355*1000)</f>
        <v>2.2708115803857085</v>
      </c>
      <c r="P232" s="5"/>
      <c r="Q232" s="5"/>
      <c r="R232" s="5"/>
    </row>
    <row r="233" spans="1:18" x14ac:dyDescent="0.2">
      <c r="A233" s="25" t="s">
        <v>33</v>
      </c>
      <c r="B233" s="20">
        <f>[1]PL!BY16</f>
        <v>212130.11765223803</v>
      </c>
      <c r="C233" s="21">
        <f>[1]PL!BZ16</f>
        <v>215712.88330748404</v>
      </c>
      <c r="D233" s="21">
        <f>[1]PL!CA16</f>
        <v>93060.391302318807</v>
      </c>
      <c r="E233" s="21">
        <f>[1]PL!CB16</f>
        <v>151370.15587901502</v>
      </c>
      <c r="F233" s="21">
        <f>[1]PL!CC16</f>
        <v>471026.96496462001</v>
      </c>
      <c r="G233" s="21">
        <f>[1]PL!CD16</f>
        <v>2299372.2314187903</v>
      </c>
      <c r="H233" s="21">
        <f>[1]PL!CE16</f>
        <v>5123143.2366862502</v>
      </c>
      <c r="I233" s="21">
        <f>[1]PL!CF16</f>
        <v>5479182.1805671705</v>
      </c>
      <c r="J233" s="21">
        <f>[1]PL!CG16</f>
        <v>860907.89885937714</v>
      </c>
      <c r="K233" s="21">
        <f>[1]PL!CH16</f>
        <v>207114.00072317602</v>
      </c>
      <c r="L233" s="21">
        <f>[1]PL!CI16</f>
        <v>137232.897894433</v>
      </c>
      <c r="M233" s="21">
        <f>[1]PL!CJ16</f>
        <v>137328.05413641201</v>
      </c>
      <c r="N233" s="17">
        <f t="shared" si="60"/>
        <v>15387581.013391286</v>
      </c>
      <c r="O233" s="39">
        <f>(N233/12)/(510*1000)</f>
        <v>2.5143106231031513</v>
      </c>
      <c r="P233" s="5"/>
      <c r="Q233" s="5"/>
      <c r="R233" s="5"/>
    </row>
    <row r="234" spans="1:18" x14ac:dyDescent="0.2">
      <c r="A234" s="19" t="s">
        <v>36</v>
      </c>
      <c r="B234" s="5">
        <f t="shared" ref="B234:N234" si="61">SUM(B228:B233)</f>
        <v>945674.34022985597</v>
      </c>
      <c r="C234" s="5">
        <f t="shared" si="61"/>
        <v>977990.73417828791</v>
      </c>
      <c r="D234" s="5">
        <f t="shared" si="61"/>
        <v>450691.27322630945</v>
      </c>
      <c r="E234" s="5">
        <f t="shared" si="61"/>
        <v>701015.61291142262</v>
      </c>
      <c r="F234" s="5">
        <f t="shared" si="61"/>
        <v>2060929.2451221982</v>
      </c>
      <c r="G234" s="5">
        <f t="shared" si="61"/>
        <v>12035030.805042321</v>
      </c>
      <c r="H234" s="5">
        <f t="shared" si="61"/>
        <v>26267705.517381079</v>
      </c>
      <c r="I234" s="5">
        <f t="shared" si="61"/>
        <v>28399147.349007051</v>
      </c>
      <c r="J234" s="5">
        <f t="shared" si="61"/>
        <v>4427759.8602292258</v>
      </c>
      <c r="K234" s="5">
        <f>SUM(K228:K233)</f>
        <v>842794.87897254736</v>
      </c>
      <c r="L234" s="5">
        <f>SUM(L228:L233)</f>
        <v>679559.06930501829</v>
      </c>
      <c r="M234" s="5">
        <f>SUM(M228:M233)</f>
        <v>607595.75317292963</v>
      </c>
      <c r="N234" s="10">
        <f t="shared" si="61"/>
        <v>78395894.438778251</v>
      </c>
      <c r="O234" s="40">
        <f>(SUM(N228:N233)/12)/(2833*1000)</f>
        <v>2.3060328991286694</v>
      </c>
      <c r="P234" s="3"/>
      <c r="Q234" s="3"/>
      <c r="R234" s="3"/>
    </row>
    <row r="235" spans="1:18" x14ac:dyDescent="0.2">
      <c r="A235" s="29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4"/>
      <c r="O235" s="8"/>
      <c r="P235" s="3"/>
      <c r="Q235" s="3"/>
      <c r="R235" s="3"/>
    </row>
    <row r="236" spans="1:18" x14ac:dyDescent="0.2">
      <c r="A236" s="8" t="s">
        <v>13</v>
      </c>
      <c r="B236" s="5">
        <v>-2547.4401000000003</v>
      </c>
      <c r="C236" s="5">
        <v>-2286.4937</v>
      </c>
      <c r="D236" s="5">
        <v>-2517.1288</v>
      </c>
      <c r="E236" s="5">
        <v>-2420.6385</v>
      </c>
      <c r="F236" s="5">
        <v>-62178.322800000002</v>
      </c>
      <c r="G236" s="5">
        <v>-59794.131100000006</v>
      </c>
      <c r="H236" s="5">
        <v>-61410.8338</v>
      </c>
      <c r="I236" s="5">
        <v>-61023.913600000007</v>
      </c>
      <c r="J236" s="5">
        <v>-58682.981900000006</v>
      </c>
      <c r="K236" s="5">
        <v>-2420.6385</v>
      </c>
      <c r="L236" s="5">
        <v>-2420.6385</v>
      </c>
      <c r="M236" s="5">
        <v>-2420.6385</v>
      </c>
      <c r="N236" s="4">
        <f>SUM(B236:M236)</f>
        <v>-320123.79979999998</v>
      </c>
      <c r="O236" s="8"/>
    </row>
    <row r="237" spans="1:18" x14ac:dyDescent="0.2">
      <c r="A237" s="11" t="s">
        <v>59</v>
      </c>
      <c r="B237" s="5">
        <f>[1]PL!BY24</f>
        <v>0</v>
      </c>
      <c r="C237" s="5">
        <f>[1]PL!BZ24</f>
        <v>0</v>
      </c>
      <c r="D237" s="5">
        <f>[1]PL!CA24</f>
        <v>0</v>
      </c>
      <c r="E237" s="5">
        <f>[1]PL!CB24</f>
        <v>0</v>
      </c>
      <c r="F237" s="5">
        <f>[1]PL!CC24</f>
        <v>0</v>
      </c>
      <c r="G237" s="5">
        <f>[1]PL!CD24</f>
        <v>0</v>
      </c>
      <c r="H237" s="5">
        <f>[1]PL!CE24</f>
        <v>0</v>
      </c>
      <c r="I237" s="5">
        <f>[1]PL!CF24</f>
        <v>0</v>
      </c>
      <c r="J237" s="5">
        <f>[1]PL!CG24</f>
        <v>0</v>
      </c>
      <c r="K237" s="5">
        <f>[1]PL!CH24</f>
        <v>0</v>
      </c>
      <c r="L237" s="5">
        <f>[1]PL!CI24</f>
        <v>0</v>
      </c>
      <c r="M237" s="5">
        <f>[1]PL!CJ24</f>
        <v>0</v>
      </c>
      <c r="N237" s="4">
        <f t="shared" ref="N237:N242" si="62">SUM(B237:M237)</f>
        <v>0</v>
      </c>
      <c r="O237" s="8"/>
    </row>
    <row r="238" spans="1:18" x14ac:dyDescent="0.2">
      <c r="A238" s="11" t="s">
        <v>58</v>
      </c>
      <c r="B238" s="5">
        <f>[1]PL!BY25</f>
        <v>0</v>
      </c>
      <c r="C238" s="5">
        <f>[1]PL!BZ25</f>
        <v>0</v>
      </c>
      <c r="D238" s="5">
        <f>[1]PL!CA25</f>
        <v>0</v>
      </c>
      <c r="E238" s="5">
        <f>[1]PL!CB25</f>
        <v>0</v>
      </c>
      <c r="F238" s="5">
        <f>[1]PL!CC25</f>
        <v>0</v>
      </c>
      <c r="G238" s="5">
        <f>[1]PL!CD25</f>
        <v>0</v>
      </c>
      <c r="H238" s="5">
        <f>[1]PL!CE25</f>
        <v>0</v>
      </c>
      <c r="I238" s="5">
        <f>[1]PL!CF25</f>
        <v>0</v>
      </c>
      <c r="J238" s="5">
        <f>[1]PL!CG25</f>
        <v>0</v>
      </c>
      <c r="K238" s="5">
        <f>[1]PL!CH25</f>
        <v>0</v>
      </c>
      <c r="L238" s="5">
        <f>[1]PL!CI25</f>
        <v>0</v>
      </c>
      <c r="M238" s="5">
        <f>[1]PL!CJ25</f>
        <v>0</v>
      </c>
      <c r="N238" s="4">
        <f t="shared" si="62"/>
        <v>0</v>
      </c>
      <c r="O238" s="8"/>
    </row>
    <row r="239" spans="1:18" x14ac:dyDescent="0.2">
      <c r="A239" s="11" t="s">
        <v>61</v>
      </c>
      <c r="B239" s="5">
        <f>[1]PL!BY26</f>
        <v>0</v>
      </c>
      <c r="C239" s="5">
        <f>[1]PL!BZ26</f>
        <v>0</v>
      </c>
      <c r="D239" s="5">
        <f>[1]PL!CA26</f>
        <v>0</v>
      </c>
      <c r="E239" s="5">
        <f>[1]PL!CB26</f>
        <v>0</v>
      </c>
      <c r="F239" s="5">
        <f>[1]PL!CC26</f>
        <v>0</v>
      </c>
      <c r="G239" s="5">
        <f>[1]PL!CD26</f>
        <v>0</v>
      </c>
      <c r="H239" s="5">
        <f>[1]PL!CE26</f>
        <v>0</v>
      </c>
      <c r="I239" s="5">
        <f>[1]PL!CF26</f>
        <v>0</v>
      </c>
      <c r="J239" s="5">
        <f>[1]PL!CG26</f>
        <v>0</v>
      </c>
      <c r="K239" s="5">
        <f>[1]PL!CH26</f>
        <v>0</v>
      </c>
      <c r="L239" s="5">
        <f>[1]PL!CI26</f>
        <v>0</v>
      </c>
      <c r="M239" s="5">
        <f>[1]PL!CJ26</f>
        <v>0</v>
      </c>
      <c r="N239" s="4">
        <f t="shared" si="62"/>
        <v>0</v>
      </c>
      <c r="O239" s="8"/>
    </row>
    <row r="240" spans="1:18" x14ac:dyDescent="0.2">
      <c r="A240" s="11" t="s">
        <v>60</v>
      </c>
      <c r="B240" s="5">
        <f>[1]PL!BY27</f>
        <v>0</v>
      </c>
      <c r="C240" s="5">
        <f>[1]PL!BZ27</f>
        <v>0</v>
      </c>
      <c r="D240" s="5">
        <f>[1]PL!CA27</f>
        <v>0</v>
      </c>
      <c r="E240" s="5">
        <f>[1]PL!CB27</f>
        <v>0</v>
      </c>
      <c r="F240" s="5">
        <f>[1]PL!CC27</f>
        <v>0</v>
      </c>
      <c r="G240" s="5">
        <f>[1]PL!CD27</f>
        <v>0</v>
      </c>
      <c r="H240" s="5">
        <f>[1]PL!CE27</f>
        <v>0</v>
      </c>
      <c r="I240" s="5">
        <f>[1]PL!CF27</f>
        <v>0</v>
      </c>
      <c r="J240" s="5">
        <f>[1]PL!CG27</f>
        <v>0</v>
      </c>
      <c r="K240" s="5">
        <f>[1]PL!CH27</f>
        <v>0</v>
      </c>
      <c r="L240" s="5">
        <f>[1]PL!CI27</f>
        <v>0</v>
      </c>
      <c r="M240" s="5">
        <f>[1]PL!CJ27</f>
        <v>0</v>
      </c>
      <c r="N240" s="4">
        <f t="shared" si="62"/>
        <v>0</v>
      </c>
      <c r="O240" s="8"/>
    </row>
    <row r="241" spans="1:18" x14ac:dyDescent="0.2">
      <c r="A241" s="11" t="s">
        <v>63</v>
      </c>
      <c r="B241" s="5">
        <f>[1]PL!BY28</f>
        <v>0</v>
      </c>
      <c r="C241" s="5">
        <f>[1]PL!BZ28</f>
        <v>0</v>
      </c>
      <c r="D241" s="5">
        <f>[1]PL!CA28</f>
        <v>0</v>
      </c>
      <c r="E241" s="5">
        <f>[1]PL!CB28</f>
        <v>0</v>
      </c>
      <c r="F241" s="5">
        <f>[1]PL!CC28</f>
        <v>0</v>
      </c>
      <c r="G241" s="5">
        <f>[1]PL!CD28</f>
        <v>0</v>
      </c>
      <c r="H241" s="5">
        <f>[1]PL!CE28</f>
        <v>0</v>
      </c>
      <c r="I241" s="5">
        <f>[1]PL!CF28</f>
        <v>0</v>
      </c>
      <c r="J241" s="5">
        <f>[1]PL!CG28</f>
        <v>0</v>
      </c>
      <c r="K241" s="5">
        <f>[1]PL!CH28</f>
        <v>0</v>
      </c>
      <c r="L241" s="5">
        <f>[1]PL!CI28</f>
        <v>0</v>
      </c>
      <c r="M241" s="5">
        <f>[1]PL!CJ28</f>
        <v>0</v>
      </c>
      <c r="N241" s="4">
        <f t="shared" si="62"/>
        <v>0</v>
      </c>
      <c r="O241" s="8"/>
    </row>
    <row r="242" spans="1:18" x14ac:dyDescent="0.2">
      <c r="A242" s="11" t="s">
        <v>62</v>
      </c>
      <c r="B242" s="5">
        <f>SUM([1]PL!BY$29:BY$32)</f>
        <v>0</v>
      </c>
      <c r="C242" s="5">
        <f>SUM([1]PL!BZ$29:BZ$32)</f>
        <v>0</v>
      </c>
      <c r="D242" s="5">
        <f>SUM([1]PL!CA$29:CA$32)</f>
        <v>0</v>
      </c>
      <c r="E242" s="5">
        <f>SUM([1]PL!CB$29:CB$32)</f>
        <v>0</v>
      </c>
      <c r="F242" s="5">
        <f>SUM([1]PL!CC$29:CC$32)</f>
        <v>0</v>
      </c>
      <c r="G242" s="5">
        <f>SUM([1]PL!CD$29:CD$32)</f>
        <v>0</v>
      </c>
      <c r="H242" s="5">
        <f>SUM([1]PL!CE$29:CE$32)</f>
        <v>0</v>
      </c>
      <c r="I242" s="5">
        <f>SUM([1]PL!CF$29:CF$32)</f>
        <v>0</v>
      </c>
      <c r="J242" s="5">
        <f>SUM([1]PL!CG$29:CG$32)</f>
        <v>0</v>
      </c>
      <c r="K242" s="5">
        <f>SUM([1]PL!CH$29:CH$32)</f>
        <v>0</v>
      </c>
      <c r="L242" s="5">
        <f>SUM([1]PL!CI$29:CI$32)</f>
        <v>0</v>
      </c>
      <c r="M242" s="5">
        <f>SUM([1]PL!CJ$29:CJ$32)</f>
        <v>0</v>
      </c>
      <c r="N242" s="4">
        <f t="shared" si="62"/>
        <v>0</v>
      </c>
      <c r="O242" s="8"/>
      <c r="P242" s="3"/>
      <c r="Q242" s="3"/>
      <c r="R242" s="3"/>
    </row>
    <row r="243" spans="1:18" x14ac:dyDescent="0.2">
      <c r="A243" s="35" t="s">
        <v>53</v>
      </c>
      <c r="B243" s="2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31"/>
      <c r="N243" s="12">
        <f>SUM(B243:M243)</f>
        <v>0</v>
      </c>
      <c r="O243" s="8"/>
      <c r="P243" s="3"/>
      <c r="Q243" s="3"/>
      <c r="R243" s="3"/>
    </row>
    <row r="244" spans="1:18" x14ac:dyDescent="0.2">
      <c r="A244" s="19" t="s">
        <v>37</v>
      </c>
      <c r="B244" s="5">
        <f t="shared" ref="B244:J244" si="63">SUM(B236:B243)</f>
        <v>-2547.4401000000003</v>
      </c>
      <c r="C244" s="5">
        <f t="shared" si="63"/>
        <v>-2286.4937</v>
      </c>
      <c r="D244" s="5">
        <f t="shared" si="63"/>
        <v>-2517.1288</v>
      </c>
      <c r="E244" s="5">
        <f t="shared" si="63"/>
        <v>-2420.6385</v>
      </c>
      <c r="F244" s="5">
        <f t="shared" si="63"/>
        <v>-62178.322800000002</v>
      </c>
      <c r="G244" s="5">
        <f t="shared" si="63"/>
        <v>-59794.131100000006</v>
      </c>
      <c r="H244" s="5">
        <f t="shared" si="63"/>
        <v>-61410.8338</v>
      </c>
      <c r="I244" s="5">
        <f t="shared" si="63"/>
        <v>-61023.913600000007</v>
      </c>
      <c r="J244" s="5">
        <f t="shared" si="63"/>
        <v>-58682.981900000006</v>
      </c>
      <c r="K244" s="5">
        <f>SUM(K236:K243)</f>
        <v>-2420.6385</v>
      </c>
      <c r="L244" s="5">
        <f>SUM(L236:L243)</f>
        <v>-2420.6385</v>
      </c>
      <c r="M244" s="5">
        <f>SUM(M236:M243)</f>
        <v>-2420.6385</v>
      </c>
      <c r="N244" s="4">
        <f>SUM(B244:M244)</f>
        <v>-320123.79979999998</v>
      </c>
      <c r="O244" s="8"/>
      <c r="P244" s="3"/>
      <c r="Q244" s="3"/>
      <c r="R244" s="3"/>
    </row>
    <row r="245" spans="1:18" x14ac:dyDescent="0.2">
      <c r="A245" s="29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4"/>
      <c r="O245" s="8"/>
      <c r="P245" s="3"/>
      <c r="Q245" s="3"/>
      <c r="R245" s="3"/>
    </row>
    <row r="246" spans="1:18" x14ac:dyDescent="0.2">
      <c r="A246" s="8" t="s">
        <v>40</v>
      </c>
      <c r="B246" s="5">
        <f>[1]PL!BY17</f>
        <v>-2788639.1313345842</v>
      </c>
      <c r="C246" s="5">
        <f>[1]PL!BZ17</f>
        <v>-2789438.2357135252</v>
      </c>
      <c r="D246" s="5">
        <f>[1]PL!CA17</f>
        <v>-2789283.2570484355</v>
      </c>
      <c r="E246" s="5">
        <f>[1]PL!CB17</f>
        <v>-2788821.5406299494</v>
      </c>
      <c r="F246" s="5">
        <f>[1]PL!CC17</f>
        <v>-2788483.9947821023</v>
      </c>
      <c r="G246" s="5">
        <f>[1]PL!CD17</f>
        <v>-2779555.7118446133</v>
      </c>
      <c r="H246" s="5">
        <f>[1]PL!CE17</f>
        <v>-2769496.8160119881</v>
      </c>
      <c r="I246" s="5">
        <f>[1]PL!CF17</f>
        <v>-2766719.6450764453</v>
      </c>
      <c r="J246" s="5">
        <f>[1]PL!CG17</f>
        <v>-2781164.3142083334</v>
      </c>
      <c r="K246" s="5">
        <f>[1]PL!CH17</f>
        <v>-2781597.2720266101</v>
      </c>
      <c r="L246" s="5">
        <f>[1]PL!CI17</f>
        <v>-2781253.9766788683</v>
      </c>
      <c r="M246" s="5">
        <f>[1]PL!CJ17</f>
        <v>-2780342.0288296342</v>
      </c>
      <c r="N246" s="4">
        <f t="shared" ref="N246:N252" si="64">SUM(B246:M246)</f>
        <v>-33384795.92418509</v>
      </c>
      <c r="O246" s="40">
        <f t="shared" ref="O246:O251" si="65">(N246/9)/(2820*1000)</f>
        <v>-1.3153977905510279</v>
      </c>
      <c r="P246" s="3"/>
      <c r="Q246" s="3"/>
      <c r="R246" s="3"/>
    </row>
    <row r="247" spans="1:18" x14ac:dyDescent="0.2">
      <c r="A247" s="11" t="s">
        <v>41</v>
      </c>
      <c r="B247" s="5">
        <f>[1]PL!BY19</f>
        <v>-1675257.1895959442</v>
      </c>
      <c r="C247" s="5">
        <f>[1]PL!BZ19</f>
        <v>-1666054.2615603113</v>
      </c>
      <c r="D247" s="5">
        <f>[1]PL!CA19</f>
        <v>-1655917.8821798242</v>
      </c>
      <c r="E247" s="5">
        <f>[1]PL!CB19</f>
        <v>-1646160.8565647721</v>
      </c>
      <c r="F247" s="5">
        <f>[1]PL!CC19</f>
        <v>-1636132.4697606242</v>
      </c>
      <c r="G247" s="5">
        <f>[1]PL!CD19</f>
        <v>-1626479.4792362971</v>
      </c>
      <c r="H247" s="5">
        <f>[1]PL!CE19</f>
        <v>-1616558.1073892342</v>
      </c>
      <c r="I247" s="5">
        <f>[1]PL!CF19</f>
        <v>-1606690.7476774112</v>
      </c>
      <c r="J247" s="5">
        <f>[1]PL!CG19</f>
        <v>-1597192.8812647341</v>
      </c>
      <c r="K247" s="5">
        <f>[1]PL!CH19</f>
        <v>-1587431.0746797752</v>
      </c>
      <c r="L247" s="5">
        <f>[1]PL!CI19</f>
        <v>-1578034.8906850922</v>
      </c>
      <c r="M247" s="5">
        <f>[1]PL!CJ19</f>
        <v>-1568377.6763043422</v>
      </c>
      <c r="N247" s="4">
        <f t="shared" si="64"/>
        <v>-19460287.516898364</v>
      </c>
      <c r="O247" s="40">
        <f t="shared" si="65"/>
        <v>-0.76675679735612146</v>
      </c>
      <c r="P247" s="3"/>
      <c r="Q247" s="3"/>
      <c r="R247" s="3"/>
    </row>
    <row r="248" spans="1:18" x14ac:dyDescent="0.2">
      <c r="A248" s="11" t="s">
        <v>42</v>
      </c>
      <c r="B248" s="5">
        <f>[1]PL!BY20</f>
        <v>-726603.94655518606</v>
      </c>
      <c r="C248" s="5">
        <f>[1]PL!BZ20</f>
        <v>-722612.38999176398</v>
      </c>
      <c r="D248" s="5">
        <f>[1]PL!CA20</f>
        <v>-718215.97055993893</v>
      </c>
      <c r="E248" s="5">
        <f>[1]PL!CB20</f>
        <v>-713984.08702434669</v>
      </c>
      <c r="F248" s="5">
        <f>[1]PL!CC20</f>
        <v>-709634.5068675027</v>
      </c>
      <c r="G248" s="5">
        <f>[1]PL!CD20</f>
        <v>-705447.74613930273</v>
      </c>
      <c r="H248" s="5">
        <f>[1]PL!CE20</f>
        <v>-701144.58123776352</v>
      </c>
      <c r="I248" s="5">
        <f>[1]PL!CF20</f>
        <v>-696864.84284701641</v>
      </c>
      <c r="J248" s="5">
        <f>[1]PL!CG20</f>
        <v>-692745.36360396887</v>
      </c>
      <c r="K248" s="5">
        <f>[1]PL!CH20</f>
        <v>-688511.40643357718</v>
      </c>
      <c r="L248" s="5">
        <f>[1]PL!CI20</f>
        <v>-684436.02958070103</v>
      </c>
      <c r="M248" s="5">
        <f>[1]PL!CJ20</f>
        <v>-680247.43685275514</v>
      </c>
      <c r="N248" s="4">
        <f t="shared" si="64"/>
        <v>-8440448.3076938242</v>
      </c>
      <c r="O248" s="40">
        <f t="shared" si="65"/>
        <v>-0.33256297508643906</v>
      </c>
      <c r="P248" s="3"/>
      <c r="Q248" s="3"/>
      <c r="R248" s="3"/>
    </row>
    <row r="249" spans="1:18" x14ac:dyDescent="0.2">
      <c r="A249" s="11" t="s">
        <v>43</v>
      </c>
      <c r="B249" s="5">
        <f>[1]PL!BY21</f>
        <v>-268390.75438399141</v>
      </c>
      <c r="C249" s="5">
        <f>[1]PL!BZ21</f>
        <v>-266916.36536876165</v>
      </c>
      <c r="D249" s="5">
        <f>[1]PL!CA21</f>
        <v>-265292.42933938804</v>
      </c>
      <c r="E249" s="5">
        <f>[1]PL!CB21</f>
        <v>-263729.26907860505</v>
      </c>
      <c r="F249" s="5">
        <f>[1]PL!CC21</f>
        <v>-262122.6343980708</v>
      </c>
      <c r="G249" s="5">
        <f>[1]PL!CD21</f>
        <v>-260576.14146255303</v>
      </c>
      <c r="H249" s="5">
        <f>[1]PL!CE21</f>
        <v>-258986.65150776002</v>
      </c>
      <c r="I249" s="5">
        <f>[1]PL!CF21</f>
        <v>-257405.81476622462</v>
      </c>
      <c r="J249" s="5">
        <f>[1]PL!CG21</f>
        <v>-255884.17406092383</v>
      </c>
      <c r="K249" s="5">
        <f>[1]PL!CH21</f>
        <v>-254320.24784723044</v>
      </c>
      <c r="L249" s="5">
        <f>[1]PL!CI21</f>
        <v>-252814.89754858625</v>
      </c>
      <c r="M249" s="5">
        <f>[1]PL!CJ21</f>
        <v>-251267.72791457764</v>
      </c>
      <c r="N249" s="4">
        <f t="shared" si="64"/>
        <v>-3117707.1076766732</v>
      </c>
      <c r="O249" s="40">
        <f t="shared" si="65"/>
        <v>-0.12284109959324953</v>
      </c>
      <c r="P249" s="3"/>
      <c r="Q249" s="3"/>
      <c r="R249" s="3"/>
    </row>
    <row r="250" spans="1:18" x14ac:dyDescent="0.2">
      <c r="A250" s="11" t="s">
        <v>44</v>
      </c>
      <c r="B250" s="5">
        <f>[1]PL!BY22</f>
        <v>0</v>
      </c>
      <c r="C250" s="5">
        <f>[1]PL!BZ22</f>
        <v>0</v>
      </c>
      <c r="D250" s="5">
        <f>[1]PL!CA22</f>
        <v>0</v>
      </c>
      <c r="E250" s="5">
        <f>[1]PL!CB22</f>
        <v>0</v>
      </c>
      <c r="F250" s="5">
        <f>[1]PL!CC22</f>
        <v>0</v>
      </c>
      <c r="G250" s="5">
        <f>[1]PL!CD22</f>
        <v>0</v>
      </c>
      <c r="H250" s="5">
        <f>[1]PL!CE22</f>
        <v>0</v>
      </c>
      <c r="I250" s="5">
        <f>[1]PL!CF22</f>
        <v>0</v>
      </c>
      <c r="J250" s="5">
        <f>[1]PL!CG22</f>
        <v>0</v>
      </c>
      <c r="K250" s="5">
        <f>[1]PL!CH22</f>
        <v>0</v>
      </c>
      <c r="L250" s="5">
        <f>[1]PL!CI22</f>
        <v>0</v>
      </c>
      <c r="M250" s="5">
        <f>[1]PL!CJ22</f>
        <v>0</v>
      </c>
      <c r="N250" s="4">
        <f t="shared" si="64"/>
        <v>0</v>
      </c>
      <c r="O250" s="40">
        <f t="shared" si="65"/>
        <v>0</v>
      </c>
      <c r="P250" s="3"/>
      <c r="Q250" s="3"/>
      <c r="R250" s="3"/>
    </row>
    <row r="251" spans="1:18" x14ac:dyDescent="0.2">
      <c r="A251" s="35" t="s">
        <v>45</v>
      </c>
      <c r="B251" s="21">
        <f>[1]PL!BY23</f>
        <v>-413334.45657055499</v>
      </c>
      <c r="C251" s="21">
        <f>[1]PL!BZ23</f>
        <v>-411063.82774884964</v>
      </c>
      <c r="D251" s="21">
        <f>[1]PL!CA23</f>
        <v>-408562.88945182442</v>
      </c>
      <c r="E251" s="21">
        <f>[1]PL!CB23</f>
        <v>-406155.54871310777</v>
      </c>
      <c r="F251" s="21">
        <f>[1]PL!CC23</f>
        <v>-403681.25531164405</v>
      </c>
      <c r="G251" s="21">
        <f>[1]PL!CD23</f>
        <v>-401299.58304219675</v>
      </c>
      <c r="H251" s="21">
        <f>[1]PL!CE23</f>
        <v>-398851.69332931639</v>
      </c>
      <c r="I251" s="21">
        <f>[1]PL!CF23</f>
        <v>-396417.129974148</v>
      </c>
      <c r="J251" s="21">
        <f>[1]PL!CG23</f>
        <v>-394073.73131473927</v>
      </c>
      <c r="K251" s="21">
        <f>[1]PL!CH23</f>
        <v>-391665.21097231132</v>
      </c>
      <c r="L251" s="21">
        <f>[1]PL!CI23</f>
        <v>-389346.90030968643</v>
      </c>
      <c r="M251" s="21">
        <f>[1]PL!CJ23</f>
        <v>-386964.18589255575</v>
      </c>
      <c r="N251" s="12">
        <f t="shared" si="64"/>
        <v>-4801416.4126309352</v>
      </c>
      <c r="O251" s="39">
        <f t="shared" si="65"/>
        <v>-0.18918110372856323</v>
      </c>
      <c r="P251" s="3"/>
      <c r="Q251" s="3"/>
      <c r="R251" s="3"/>
    </row>
    <row r="252" spans="1:18" x14ac:dyDescent="0.2">
      <c r="A252" s="19" t="s">
        <v>38</v>
      </c>
      <c r="B252" s="3">
        <f t="shared" ref="B252:G252" si="66">SUM(B246:B251)</f>
        <v>-5872225.4784402605</v>
      </c>
      <c r="C252" s="3">
        <f t="shared" si="66"/>
        <v>-5856085.0803832123</v>
      </c>
      <c r="D252" s="3">
        <f t="shared" si="66"/>
        <v>-5837272.4285794115</v>
      </c>
      <c r="E252" s="3">
        <f t="shared" si="66"/>
        <v>-5818851.3020107811</v>
      </c>
      <c r="F252" s="3">
        <f t="shared" si="66"/>
        <v>-5800054.8611199437</v>
      </c>
      <c r="G252" s="3">
        <f t="shared" si="66"/>
        <v>-5773358.6617249632</v>
      </c>
      <c r="H252" s="3">
        <f t="shared" ref="H252:M252" si="67">SUM(H246:H251)</f>
        <v>-5745037.8494760627</v>
      </c>
      <c r="I252" s="3">
        <f t="shared" si="67"/>
        <v>-5724098.1803412456</v>
      </c>
      <c r="J252" s="3">
        <f t="shared" si="67"/>
        <v>-5721060.4644526998</v>
      </c>
      <c r="K252" s="3">
        <f t="shared" si="67"/>
        <v>-5703525.2119595027</v>
      </c>
      <c r="L252" s="3">
        <f t="shared" si="67"/>
        <v>-5685886.6948029343</v>
      </c>
      <c r="M252" s="3">
        <f t="shared" si="67"/>
        <v>-5667199.0557938647</v>
      </c>
      <c r="N252" s="10">
        <f t="shared" si="64"/>
        <v>-69204655.269084886</v>
      </c>
      <c r="O252" s="38">
        <f>SUM(O246:O251)</f>
        <v>-2.7267397663154007</v>
      </c>
    </row>
    <row r="253" spans="1:18" x14ac:dyDescent="0.2">
      <c r="A253" s="33"/>
      <c r="B253" s="34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30"/>
      <c r="N253" s="25"/>
      <c r="O253" s="25"/>
    </row>
    <row r="254" spans="1:18" x14ac:dyDescent="0.2">
      <c r="A254" s="51" t="s">
        <v>0</v>
      </c>
      <c r="B254" s="12">
        <f t="shared" ref="B254:M254" si="68">B234+B244+B252</f>
        <v>-4929098.5783104049</v>
      </c>
      <c r="C254" s="12">
        <f t="shared" si="68"/>
        <v>-4880380.8399049249</v>
      </c>
      <c r="D254" s="12">
        <f t="shared" si="68"/>
        <v>-5389098.284153102</v>
      </c>
      <c r="E254" s="12">
        <f t="shared" si="68"/>
        <v>-5120256.3275993587</v>
      </c>
      <c r="F254" s="12">
        <f t="shared" si="68"/>
        <v>-3801303.9387977454</v>
      </c>
      <c r="G254" s="12">
        <f t="shared" si="68"/>
        <v>6201878.0122173568</v>
      </c>
      <c r="H254" s="12">
        <f t="shared" si="68"/>
        <v>20461256.834105019</v>
      </c>
      <c r="I254" s="12">
        <f t="shared" si="68"/>
        <v>22614025.255065806</v>
      </c>
      <c r="J254" s="12">
        <f t="shared" si="68"/>
        <v>-1351983.5861234739</v>
      </c>
      <c r="K254" s="12">
        <f t="shared" si="68"/>
        <v>-4863150.9714869549</v>
      </c>
      <c r="L254" s="12">
        <f t="shared" si="68"/>
        <v>-5008748.2639979161</v>
      </c>
      <c r="M254" s="12">
        <f t="shared" si="68"/>
        <v>-5062023.9411209347</v>
      </c>
      <c r="N254" s="12">
        <f>N234+N244+N252</f>
        <v>8871115.3698933721</v>
      </c>
      <c r="O254" s="39"/>
    </row>
    <row r="256" spans="1:18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</row>
    <row r="257" spans="1:11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</row>
    <row r="258" spans="1:11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</row>
    <row r="259" spans="1:11" x14ac:dyDescent="0.2">
      <c r="A259" s="27"/>
      <c r="B259" s="27"/>
      <c r="C259" s="27"/>
      <c r="D259" s="27"/>
      <c r="E259" s="27"/>
      <c r="F259" s="27"/>
      <c r="G259" s="27"/>
      <c r="H259" s="27"/>
      <c r="I259" s="55"/>
      <c r="J259" s="55"/>
      <c r="K259" s="27"/>
    </row>
    <row r="260" spans="1:11" x14ac:dyDescent="0.2">
      <c r="A260" s="27"/>
      <c r="B260" s="5"/>
      <c r="C260" s="5"/>
      <c r="D260" s="5"/>
      <c r="E260" s="5"/>
      <c r="F260" s="5"/>
      <c r="G260" s="5"/>
      <c r="H260" s="5"/>
      <c r="I260" s="5"/>
      <c r="J260" s="5"/>
      <c r="K260" s="27"/>
    </row>
    <row r="261" spans="1:11" x14ac:dyDescent="0.2">
      <c r="A261" s="27"/>
      <c r="B261" s="5"/>
      <c r="C261" s="5"/>
      <c r="D261" s="5"/>
      <c r="E261" s="5"/>
      <c r="F261" s="5"/>
      <c r="G261" s="5"/>
      <c r="H261" s="5"/>
      <c r="I261" s="5"/>
      <c r="J261" s="5"/>
      <c r="K261" s="27"/>
    </row>
    <row r="262" spans="1:11" x14ac:dyDescent="0.2">
      <c r="A262" s="27"/>
      <c r="B262" s="5"/>
      <c r="C262" s="5"/>
      <c r="D262" s="5"/>
      <c r="E262" s="5"/>
      <c r="F262" s="5"/>
      <c r="G262" s="5"/>
      <c r="H262" s="5"/>
      <c r="I262" s="5"/>
      <c r="J262" s="5"/>
      <c r="K262" s="27"/>
    </row>
    <row r="263" spans="1:11" x14ac:dyDescent="0.2">
      <c r="A263" s="27"/>
      <c r="B263" s="5"/>
      <c r="C263" s="5"/>
      <c r="D263" s="5"/>
      <c r="E263" s="5"/>
      <c r="F263" s="5"/>
      <c r="G263" s="5"/>
      <c r="H263" s="5"/>
      <c r="I263" s="5"/>
      <c r="J263" s="5"/>
      <c r="K263" s="27"/>
    </row>
    <row r="264" spans="1:11" x14ac:dyDescent="0.2">
      <c r="A264" s="27"/>
      <c r="B264" s="5"/>
      <c r="C264" s="5"/>
      <c r="D264" s="5"/>
      <c r="E264" s="5"/>
      <c r="F264" s="5"/>
      <c r="G264" s="5"/>
      <c r="H264" s="5"/>
      <c r="I264" s="5"/>
      <c r="J264" s="5"/>
      <c r="K264" s="27"/>
    </row>
    <row r="265" spans="1:11" x14ac:dyDescent="0.2">
      <c r="A265" s="27"/>
      <c r="B265" s="5"/>
      <c r="C265" s="5"/>
      <c r="D265" s="5"/>
      <c r="E265" s="5"/>
      <c r="F265" s="5"/>
      <c r="G265" s="5"/>
      <c r="H265" s="5"/>
      <c r="I265" s="5"/>
      <c r="J265" s="5"/>
      <c r="K265" s="27"/>
    </row>
    <row r="266" spans="1:11" x14ac:dyDescent="0.2">
      <c r="A266" s="53"/>
      <c r="B266" s="5"/>
      <c r="C266" s="5"/>
      <c r="D266" s="5"/>
      <c r="E266" s="5"/>
      <c r="F266" s="5"/>
      <c r="G266" s="5"/>
      <c r="H266" s="5"/>
      <c r="I266" s="5"/>
      <c r="J266" s="5"/>
      <c r="K266" s="27"/>
    </row>
    <row r="267" spans="1:11" x14ac:dyDescent="0.2">
      <c r="A267" s="27"/>
      <c r="B267" s="5"/>
      <c r="C267" s="5"/>
      <c r="D267" s="5"/>
      <c r="E267" s="5"/>
      <c r="F267" s="5"/>
      <c r="G267" s="5"/>
      <c r="H267" s="5"/>
      <c r="I267" s="5"/>
      <c r="J267" s="5"/>
      <c r="K267" s="27"/>
    </row>
    <row r="268" spans="1:11" x14ac:dyDescent="0.2">
      <c r="A268" s="27"/>
      <c r="B268" s="5"/>
      <c r="C268" s="5"/>
      <c r="D268" s="5"/>
      <c r="E268" s="5"/>
      <c r="F268" s="5"/>
      <c r="G268" s="5"/>
      <c r="H268" s="5"/>
      <c r="I268" s="5"/>
      <c r="J268" s="5"/>
      <c r="K268" s="27"/>
    </row>
    <row r="269" spans="1:11" x14ac:dyDescent="0.2">
      <c r="A269" s="54"/>
      <c r="B269" s="5"/>
      <c r="C269" s="5"/>
      <c r="D269" s="5"/>
      <c r="E269" s="5"/>
      <c r="F269" s="5"/>
      <c r="G269" s="5"/>
      <c r="H269" s="5"/>
      <c r="I269" s="5"/>
      <c r="J269" s="5"/>
      <c r="K269" s="27"/>
    </row>
    <row r="270" spans="1:11" x14ac:dyDescent="0.2">
      <c r="A270" s="27"/>
      <c r="B270" s="5"/>
      <c r="C270" s="5"/>
      <c r="D270" s="5"/>
      <c r="E270" s="5"/>
      <c r="F270" s="5"/>
      <c r="G270" s="5"/>
      <c r="H270" s="5"/>
      <c r="I270" s="5"/>
      <c r="J270" s="5"/>
      <c r="K270" s="27"/>
    </row>
    <row r="271" spans="1:11" x14ac:dyDescent="0.2">
      <c r="A271" s="54"/>
      <c r="B271" s="5"/>
      <c r="C271" s="5"/>
      <c r="D271" s="5"/>
      <c r="E271" s="5"/>
      <c r="F271" s="5"/>
      <c r="G271" s="5"/>
      <c r="H271" s="5"/>
      <c r="I271" s="5"/>
      <c r="J271" s="5"/>
      <c r="K271" s="27"/>
    </row>
    <row r="272" spans="1:11" x14ac:dyDescent="0.2">
      <c r="A272" s="54"/>
      <c r="B272" s="5"/>
      <c r="C272" s="5"/>
      <c r="D272" s="5"/>
      <c r="E272" s="5"/>
      <c r="F272" s="5"/>
      <c r="G272" s="5"/>
      <c r="H272" s="5"/>
      <c r="I272" s="5"/>
      <c r="J272" s="5"/>
      <c r="K272" s="27"/>
    </row>
    <row r="273" spans="1:11" x14ac:dyDescent="0.2">
      <c r="A273" s="54"/>
      <c r="B273" s="5"/>
      <c r="C273" s="5"/>
      <c r="D273" s="5"/>
      <c r="E273" s="5"/>
      <c r="F273" s="5"/>
      <c r="G273" s="5"/>
      <c r="H273" s="5"/>
      <c r="I273" s="5"/>
      <c r="J273" s="5"/>
      <c r="K273" s="27"/>
    </row>
    <row r="274" spans="1:11" x14ac:dyDescent="0.2">
      <c r="A274" s="54"/>
      <c r="B274" s="5"/>
      <c r="C274" s="5"/>
      <c r="D274" s="5"/>
      <c r="E274" s="5"/>
      <c r="F274" s="5"/>
      <c r="G274" s="5"/>
      <c r="H274" s="5"/>
      <c r="I274" s="5"/>
      <c r="J274" s="5"/>
      <c r="K274" s="27"/>
    </row>
    <row r="275" spans="1:11" x14ac:dyDescent="0.2">
      <c r="A275" s="53"/>
      <c r="B275" s="5"/>
      <c r="C275" s="5"/>
      <c r="D275" s="5"/>
      <c r="E275" s="5"/>
      <c r="F275" s="5"/>
      <c r="G275" s="5"/>
      <c r="H275" s="5"/>
      <c r="I275" s="5"/>
      <c r="J275" s="5"/>
      <c r="K275" s="27"/>
    </row>
    <row r="276" spans="1:11" x14ac:dyDescent="0.2">
      <c r="A276" s="27"/>
      <c r="B276" s="5"/>
      <c r="C276" s="5"/>
      <c r="D276" s="5"/>
      <c r="E276" s="5"/>
      <c r="F276" s="5"/>
      <c r="G276" s="5"/>
      <c r="H276" s="5"/>
      <c r="I276" s="5"/>
      <c r="J276" s="5"/>
      <c r="K276" s="27"/>
    </row>
    <row r="277" spans="1:11" x14ac:dyDescent="0.2">
      <c r="A277" s="27"/>
      <c r="B277" s="5"/>
      <c r="C277" s="5"/>
      <c r="D277" s="5"/>
      <c r="E277" s="5"/>
      <c r="F277" s="5"/>
      <c r="G277" s="5"/>
      <c r="H277" s="5"/>
      <c r="I277" s="5"/>
      <c r="J277" s="5"/>
      <c r="K277" s="27"/>
    </row>
    <row r="278" spans="1:11" x14ac:dyDescent="0.2">
      <c r="A278" s="54"/>
      <c r="B278" s="5"/>
      <c r="C278" s="5"/>
      <c r="D278" s="5"/>
      <c r="E278" s="5"/>
      <c r="F278" s="5"/>
      <c r="G278" s="5"/>
      <c r="H278" s="5"/>
      <c r="I278" s="5"/>
      <c r="J278" s="5"/>
      <c r="K278" s="27"/>
    </row>
    <row r="279" spans="1:11" x14ac:dyDescent="0.2">
      <c r="A279" s="54"/>
      <c r="B279" s="5"/>
      <c r="C279" s="5"/>
      <c r="D279" s="5"/>
      <c r="E279" s="5"/>
      <c r="F279" s="5"/>
      <c r="G279" s="5"/>
      <c r="H279" s="5"/>
      <c r="I279" s="5"/>
      <c r="J279" s="5"/>
      <c r="K279" s="27"/>
    </row>
    <row r="280" spans="1:11" x14ac:dyDescent="0.2">
      <c r="A280" s="54"/>
      <c r="B280" s="5"/>
      <c r="C280" s="5"/>
      <c r="D280" s="5"/>
      <c r="E280" s="5"/>
      <c r="F280" s="5"/>
      <c r="G280" s="5"/>
      <c r="H280" s="5"/>
      <c r="I280" s="5"/>
      <c r="J280" s="5"/>
      <c r="K280" s="27"/>
    </row>
    <row r="281" spans="1:11" x14ac:dyDescent="0.2">
      <c r="A281" s="54"/>
      <c r="B281" s="5"/>
      <c r="C281" s="5"/>
      <c r="D281" s="5"/>
      <c r="E281" s="5"/>
      <c r="F281" s="5"/>
      <c r="G281" s="5"/>
      <c r="H281" s="5"/>
      <c r="I281" s="5"/>
      <c r="J281" s="5"/>
      <c r="K281" s="27"/>
    </row>
    <row r="282" spans="1:11" x14ac:dyDescent="0.2">
      <c r="A282" s="54"/>
      <c r="B282" s="5"/>
      <c r="C282" s="5"/>
      <c r="D282" s="5"/>
      <c r="E282" s="5"/>
      <c r="F282" s="5"/>
      <c r="G282" s="5"/>
      <c r="H282" s="5"/>
      <c r="I282" s="5"/>
      <c r="J282" s="5"/>
      <c r="K282" s="27"/>
    </row>
    <row r="283" spans="1:11" x14ac:dyDescent="0.2">
      <c r="A283" s="53"/>
      <c r="B283" s="5"/>
      <c r="C283" s="5"/>
      <c r="D283" s="5"/>
      <c r="E283" s="5"/>
      <c r="F283" s="5"/>
      <c r="G283" s="5"/>
      <c r="H283" s="5"/>
      <c r="I283" s="5"/>
      <c r="J283" s="5"/>
      <c r="K283" s="27"/>
    </row>
    <row r="284" spans="1:11" x14ac:dyDescent="0.2">
      <c r="A284" s="27"/>
      <c r="B284" s="5"/>
      <c r="C284" s="5"/>
      <c r="D284" s="5"/>
      <c r="E284" s="5"/>
      <c r="F284" s="5"/>
      <c r="G284" s="5"/>
      <c r="H284" s="5"/>
      <c r="I284" s="5"/>
      <c r="J284" s="5"/>
      <c r="K284" s="27"/>
    </row>
    <row r="285" spans="1:11" x14ac:dyDescent="0.2">
      <c r="A285" s="53"/>
      <c r="B285" s="5"/>
      <c r="C285" s="5"/>
      <c r="D285" s="5"/>
      <c r="E285" s="5"/>
      <c r="F285" s="5"/>
      <c r="G285" s="5"/>
      <c r="H285" s="5"/>
      <c r="I285" s="5"/>
      <c r="J285" s="5"/>
      <c r="K285" s="27"/>
    </row>
    <row r="286" spans="1:11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</row>
  </sheetData>
  <pageMargins left="0.19" right="0.17" top="0.4" bottom="0.17" header="0.27" footer="0.17"/>
  <pageSetup scale="55" orientation="landscape" r:id="rId1"/>
  <headerFooter alignWithMargins="0">
    <oddHeader>&amp;CGenco Monthly Profit/Loss</oddHeader>
  </headerFooter>
  <rowBreaks count="4" manualBreakCount="4">
    <brk id="67" max="16383" man="1"/>
    <brk id="130" max="16383" man="1"/>
    <brk id="192" max="16383" man="1"/>
    <brk id="2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jsimpso</dc:creator>
  <cp:lastModifiedBy>Jan Havlíček</cp:lastModifiedBy>
  <cp:lastPrinted>2000-06-02T02:11:13Z</cp:lastPrinted>
  <dcterms:created xsi:type="dcterms:W3CDTF">1999-06-04T20:21:12Z</dcterms:created>
  <dcterms:modified xsi:type="dcterms:W3CDTF">2023-09-13T21:45:19Z</dcterms:modified>
</cp:coreProperties>
</file>