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D5DF78-99D8-4EA7-AABC-65647B6EC8D2}" xr6:coauthVersionLast="47" xr6:coauthVersionMax="47" xr10:uidLastSave="{00000000-0000-0000-0000-000000000000}"/>
  <bookViews>
    <workbookView xWindow="-120" yWindow="-120" windowWidth="38640" windowHeight="15720" tabRatio="602"/>
  </bookViews>
  <sheets>
    <sheet name="PJM" sheetId="1" r:id="rId1"/>
    <sheet name="OFF PEAK" sheetId="4" r:id="rId2"/>
    <sheet name="Sheet1" sheetId="6" r:id="rId3"/>
    <sheet name="NY" sheetId="5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J8" i="5"/>
  <c r="L8" i="5"/>
  <c r="S8" i="5"/>
  <c r="X8" i="5"/>
  <c r="Z8" i="5"/>
  <c r="N9" i="5"/>
  <c r="AB9" i="5"/>
  <c r="E10" i="5"/>
  <c r="I10" i="5"/>
  <c r="J10" i="5"/>
  <c r="L10" i="5"/>
  <c r="S10" i="5"/>
  <c r="W10" i="5"/>
  <c r="X10" i="5"/>
  <c r="Z10" i="5"/>
  <c r="E11" i="5"/>
  <c r="I11" i="5"/>
  <c r="J11" i="5"/>
  <c r="L11" i="5"/>
  <c r="S11" i="5"/>
  <c r="W11" i="5"/>
  <c r="X11" i="5"/>
  <c r="Z11" i="5"/>
  <c r="E12" i="5"/>
  <c r="I12" i="5"/>
  <c r="J12" i="5"/>
  <c r="L12" i="5"/>
  <c r="S12" i="5"/>
  <c r="W12" i="5"/>
  <c r="X12" i="5"/>
  <c r="Z12" i="5"/>
  <c r="E13" i="5"/>
  <c r="I13" i="5"/>
  <c r="J13" i="5"/>
  <c r="L13" i="5"/>
  <c r="S13" i="5"/>
  <c r="W13" i="5"/>
  <c r="X13" i="5"/>
  <c r="Z13" i="5"/>
  <c r="E14" i="5"/>
  <c r="I14" i="5"/>
  <c r="J14" i="5"/>
  <c r="L14" i="5"/>
  <c r="S14" i="5"/>
  <c r="W14" i="5"/>
  <c r="X14" i="5"/>
  <c r="Z14" i="5"/>
  <c r="E15" i="5"/>
  <c r="I15" i="5"/>
  <c r="J15" i="5"/>
  <c r="L15" i="5"/>
  <c r="S15" i="5"/>
  <c r="W15" i="5"/>
  <c r="X15" i="5"/>
  <c r="Z15" i="5"/>
  <c r="E16" i="5"/>
  <c r="I16" i="5"/>
  <c r="J16" i="5"/>
  <c r="L16" i="5"/>
  <c r="S16" i="5"/>
  <c r="W16" i="5"/>
  <c r="X16" i="5"/>
  <c r="Z16" i="5"/>
  <c r="E17" i="5"/>
  <c r="I17" i="5"/>
  <c r="J17" i="5"/>
  <c r="L17" i="5"/>
  <c r="S17" i="5"/>
  <c r="W17" i="5"/>
  <c r="X17" i="5"/>
  <c r="Z17" i="5"/>
  <c r="E18" i="5"/>
  <c r="I18" i="5"/>
  <c r="J18" i="5"/>
  <c r="L18" i="5"/>
  <c r="S18" i="5"/>
  <c r="W18" i="5"/>
  <c r="X18" i="5"/>
  <c r="Z18" i="5"/>
  <c r="E19" i="5"/>
  <c r="I19" i="5"/>
  <c r="J19" i="5"/>
  <c r="L19" i="5"/>
  <c r="S19" i="5"/>
  <c r="W19" i="5"/>
  <c r="X19" i="5"/>
  <c r="Z19" i="5"/>
  <c r="E20" i="5"/>
  <c r="I20" i="5"/>
  <c r="J20" i="5"/>
  <c r="L20" i="5"/>
  <c r="S20" i="5"/>
  <c r="W20" i="5"/>
  <c r="X20" i="5"/>
  <c r="Z20" i="5"/>
  <c r="E21" i="5"/>
  <c r="I21" i="5"/>
  <c r="J21" i="5"/>
  <c r="L21" i="5"/>
  <c r="S21" i="5"/>
  <c r="W21" i="5"/>
  <c r="X21" i="5"/>
  <c r="Z21" i="5"/>
  <c r="D22" i="5"/>
  <c r="I22" i="5"/>
  <c r="R22" i="5"/>
  <c r="W22" i="5"/>
  <c r="N23" i="5"/>
  <c r="AB23" i="5"/>
  <c r="E24" i="5"/>
  <c r="I24" i="5"/>
  <c r="J24" i="5"/>
  <c r="L24" i="5"/>
  <c r="S24" i="5"/>
  <c r="W24" i="5"/>
  <c r="X24" i="5"/>
  <c r="Z24" i="5"/>
  <c r="E25" i="5"/>
  <c r="I25" i="5"/>
  <c r="J25" i="5"/>
  <c r="L25" i="5"/>
  <c r="S25" i="5"/>
  <c r="W25" i="5"/>
  <c r="X25" i="5"/>
  <c r="Z25" i="5"/>
  <c r="E26" i="5"/>
  <c r="I26" i="5"/>
  <c r="J26" i="5"/>
  <c r="L26" i="5"/>
  <c r="S26" i="5"/>
  <c r="W26" i="5"/>
  <c r="X26" i="5"/>
  <c r="Z26" i="5"/>
  <c r="E27" i="5"/>
  <c r="I27" i="5"/>
  <c r="J27" i="5"/>
  <c r="L27" i="5"/>
  <c r="S27" i="5"/>
  <c r="W27" i="5"/>
  <c r="X27" i="5"/>
  <c r="Z27" i="5"/>
  <c r="E28" i="5"/>
  <c r="I28" i="5"/>
  <c r="J28" i="5"/>
  <c r="L28" i="5"/>
  <c r="S28" i="5"/>
  <c r="W28" i="5"/>
  <c r="X28" i="5"/>
  <c r="Z28" i="5"/>
  <c r="E29" i="5"/>
  <c r="I29" i="5"/>
  <c r="J29" i="5"/>
  <c r="L29" i="5"/>
  <c r="S29" i="5"/>
  <c r="W29" i="5"/>
  <c r="X29" i="5"/>
  <c r="Z29" i="5"/>
  <c r="E30" i="5"/>
  <c r="I30" i="5"/>
  <c r="J30" i="5"/>
  <c r="L30" i="5"/>
  <c r="S30" i="5"/>
  <c r="W30" i="5"/>
  <c r="X30" i="5"/>
  <c r="Z30" i="5"/>
  <c r="E31" i="5"/>
  <c r="I31" i="5"/>
  <c r="J31" i="5"/>
  <c r="L31" i="5"/>
  <c r="S31" i="5"/>
  <c r="W31" i="5"/>
  <c r="X31" i="5"/>
  <c r="Z31" i="5"/>
  <c r="E32" i="5"/>
  <c r="I32" i="5"/>
  <c r="J32" i="5"/>
  <c r="L32" i="5"/>
  <c r="S32" i="5"/>
  <c r="W32" i="5"/>
  <c r="X32" i="5"/>
  <c r="Z32" i="5"/>
  <c r="E33" i="5"/>
  <c r="I33" i="5"/>
  <c r="J33" i="5"/>
  <c r="L33" i="5"/>
  <c r="S33" i="5"/>
  <c r="W33" i="5"/>
  <c r="X33" i="5"/>
  <c r="Z33" i="5"/>
  <c r="E34" i="5"/>
  <c r="I34" i="5"/>
  <c r="J34" i="5"/>
  <c r="L34" i="5"/>
  <c r="S34" i="5"/>
  <c r="W34" i="5"/>
  <c r="X34" i="5"/>
  <c r="Z34" i="5"/>
  <c r="E35" i="5"/>
  <c r="I35" i="5"/>
  <c r="J35" i="5"/>
  <c r="L35" i="5"/>
  <c r="S35" i="5"/>
  <c r="W35" i="5"/>
  <c r="X35" i="5"/>
  <c r="Z35" i="5"/>
  <c r="D36" i="5"/>
  <c r="I36" i="5"/>
  <c r="R36" i="5"/>
  <c r="W36" i="5"/>
  <c r="E38" i="5"/>
  <c r="J38" i="5"/>
  <c r="L38" i="5"/>
  <c r="S38" i="5"/>
  <c r="X38" i="5"/>
  <c r="Z38" i="5"/>
  <c r="E39" i="5"/>
  <c r="J39" i="5"/>
  <c r="L39" i="5"/>
  <c r="S39" i="5"/>
  <c r="X39" i="5"/>
  <c r="Z39" i="5"/>
  <c r="E40" i="5"/>
  <c r="J40" i="5"/>
  <c r="L40" i="5"/>
  <c r="S40" i="5"/>
  <c r="X40" i="5"/>
  <c r="Z40" i="5"/>
  <c r="E41" i="5"/>
  <c r="J41" i="5"/>
  <c r="L41" i="5"/>
  <c r="S41" i="5"/>
  <c r="X41" i="5"/>
  <c r="Z41" i="5"/>
  <c r="E42" i="5"/>
  <c r="J42" i="5"/>
  <c r="L42" i="5"/>
  <c r="S42" i="5"/>
  <c r="X42" i="5"/>
  <c r="Z42" i="5"/>
  <c r="E43" i="5"/>
  <c r="S43" i="5"/>
  <c r="L44" i="5"/>
  <c r="Z44" i="5"/>
  <c r="Z47" i="5"/>
  <c r="D8" i="4"/>
  <c r="F8" i="4"/>
  <c r="H8" i="4"/>
  <c r="J8" i="4"/>
  <c r="O8" i="4"/>
  <c r="Q8" i="4"/>
  <c r="S8" i="4"/>
  <c r="F9" i="4"/>
  <c r="I9" i="4"/>
  <c r="J9" i="4"/>
  <c r="P9" i="4"/>
  <c r="Q9" i="4"/>
  <c r="S9" i="4"/>
  <c r="F10" i="4"/>
  <c r="G10" i="4"/>
  <c r="M10" i="4"/>
  <c r="N10" i="4"/>
  <c r="D12" i="4"/>
  <c r="F12" i="4"/>
  <c r="H12" i="4"/>
  <c r="J12" i="4"/>
  <c r="O12" i="4"/>
  <c r="Q12" i="4"/>
  <c r="S12" i="4"/>
  <c r="F13" i="4"/>
  <c r="I13" i="4"/>
  <c r="J13" i="4"/>
  <c r="P13" i="4"/>
  <c r="Q13" i="4"/>
  <c r="S13" i="4"/>
  <c r="F14" i="4"/>
  <c r="G14" i="4"/>
  <c r="M14" i="4"/>
  <c r="N14" i="4"/>
  <c r="D16" i="4"/>
  <c r="F16" i="4"/>
  <c r="H16" i="4"/>
  <c r="J16" i="4"/>
  <c r="O16" i="4"/>
  <c r="Q16" i="4"/>
  <c r="S16" i="4"/>
  <c r="F17" i="4"/>
  <c r="I17" i="4"/>
  <c r="J17" i="4"/>
  <c r="P17" i="4"/>
  <c r="Q17" i="4"/>
  <c r="S17" i="4"/>
  <c r="F18" i="4"/>
  <c r="G18" i="4"/>
  <c r="M18" i="4"/>
  <c r="N18" i="4"/>
  <c r="V18" i="4"/>
  <c r="V19" i="4"/>
  <c r="D20" i="4"/>
  <c r="F20" i="4"/>
  <c r="H20" i="4"/>
  <c r="J20" i="4"/>
  <c r="O20" i="4"/>
  <c r="Q20" i="4"/>
  <c r="S20" i="4"/>
  <c r="V20" i="4"/>
  <c r="F21" i="4"/>
  <c r="I21" i="4"/>
  <c r="J21" i="4"/>
  <c r="P21" i="4"/>
  <c r="Q21" i="4"/>
  <c r="S21" i="4"/>
  <c r="F22" i="4"/>
  <c r="G22" i="4"/>
  <c r="M22" i="4"/>
  <c r="N22" i="4"/>
  <c r="D24" i="4"/>
  <c r="F24" i="4"/>
  <c r="H24" i="4"/>
  <c r="J24" i="4"/>
  <c r="O24" i="4"/>
  <c r="Q24" i="4"/>
  <c r="S24" i="4"/>
  <c r="F25" i="4"/>
  <c r="I25" i="4"/>
  <c r="J25" i="4"/>
  <c r="P25" i="4"/>
  <c r="Q25" i="4"/>
  <c r="S25" i="4"/>
  <c r="F26" i="4"/>
  <c r="G26" i="4"/>
  <c r="M26" i="4"/>
  <c r="N26" i="4"/>
  <c r="D28" i="4"/>
  <c r="F28" i="4"/>
  <c r="H28" i="4"/>
  <c r="J28" i="4"/>
  <c r="O28" i="4"/>
  <c r="Q28" i="4"/>
  <c r="S28" i="4"/>
  <c r="F29" i="4"/>
  <c r="I29" i="4"/>
  <c r="J29" i="4"/>
  <c r="P29" i="4"/>
  <c r="Q29" i="4"/>
  <c r="S29" i="4"/>
  <c r="F30" i="4"/>
  <c r="G30" i="4"/>
  <c r="M30" i="4"/>
  <c r="N30" i="4"/>
  <c r="D32" i="4"/>
  <c r="F32" i="4"/>
  <c r="H32" i="4"/>
  <c r="J32" i="4"/>
  <c r="O32" i="4"/>
  <c r="Q32" i="4"/>
  <c r="S32" i="4"/>
  <c r="F33" i="4"/>
  <c r="I33" i="4"/>
  <c r="J33" i="4"/>
  <c r="P33" i="4"/>
  <c r="Q33" i="4"/>
  <c r="S33" i="4"/>
  <c r="F34" i="4"/>
  <c r="G34" i="4"/>
  <c r="M34" i="4"/>
  <c r="N34" i="4"/>
  <c r="D36" i="4"/>
  <c r="F36" i="4"/>
  <c r="H36" i="4"/>
  <c r="J36" i="4"/>
  <c r="O36" i="4"/>
  <c r="Q36" i="4"/>
  <c r="S36" i="4"/>
  <c r="F37" i="4"/>
  <c r="I37" i="4"/>
  <c r="J37" i="4"/>
  <c r="P37" i="4"/>
  <c r="Q37" i="4"/>
  <c r="S37" i="4"/>
  <c r="F38" i="4"/>
  <c r="G38" i="4"/>
  <c r="M38" i="4"/>
  <c r="N38" i="4"/>
  <c r="E39" i="4"/>
  <c r="F39" i="4"/>
  <c r="G39" i="4"/>
  <c r="H39" i="4"/>
  <c r="I39" i="4"/>
  <c r="J39" i="4"/>
  <c r="N39" i="4"/>
  <c r="O39" i="4"/>
  <c r="P39" i="4"/>
  <c r="D41" i="4"/>
  <c r="F41" i="4"/>
  <c r="H41" i="4"/>
  <c r="J41" i="4"/>
  <c r="O41" i="4"/>
  <c r="Q41" i="4"/>
  <c r="S41" i="4"/>
  <c r="V41" i="4"/>
  <c r="F42" i="4"/>
  <c r="I42" i="4"/>
  <c r="J42" i="4"/>
  <c r="P42" i="4"/>
  <c r="V42" i="4"/>
  <c r="F43" i="4"/>
  <c r="G43" i="4"/>
  <c r="N43" i="4"/>
  <c r="V43" i="4"/>
  <c r="D45" i="4"/>
  <c r="F45" i="4"/>
  <c r="H45" i="4"/>
  <c r="J45" i="4"/>
  <c r="O45" i="4"/>
  <c r="Q45" i="4"/>
  <c r="S45" i="4"/>
  <c r="F46" i="4"/>
  <c r="I46" i="4"/>
  <c r="J46" i="4"/>
  <c r="P46" i="4"/>
  <c r="F47" i="4"/>
  <c r="G47" i="4"/>
  <c r="N47" i="4"/>
  <c r="D49" i="4"/>
  <c r="F49" i="4"/>
  <c r="H49" i="4"/>
  <c r="J49" i="4"/>
  <c r="O49" i="4"/>
  <c r="Q49" i="4"/>
  <c r="S49" i="4"/>
  <c r="F50" i="4"/>
  <c r="I50" i="4"/>
  <c r="J50" i="4"/>
  <c r="P50" i="4"/>
  <c r="F51" i="4"/>
  <c r="G51" i="4"/>
  <c r="N51" i="4"/>
  <c r="D53" i="4"/>
  <c r="F53" i="4"/>
  <c r="H53" i="4"/>
  <c r="J53" i="4"/>
  <c r="O53" i="4"/>
  <c r="Q53" i="4"/>
  <c r="S53" i="4"/>
  <c r="F54" i="4"/>
  <c r="I54" i="4"/>
  <c r="J54" i="4"/>
  <c r="P54" i="4"/>
  <c r="F55" i="4"/>
  <c r="G55" i="4"/>
  <c r="N55" i="4"/>
  <c r="D57" i="4"/>
  <c r="F57" i="4"/>
  <c r="H57" i="4"/>
  <c r="J57" i="4"/>
  <c r="O57" i="4"/>
  <c r="Q57" i="4"/>
  <c r="S57" i="4"/>
  <c r="F58" i="4"/>
  <c r="I58" i="4"/>
  <c r="J58" i="4"/>
  <c r="P58" i="4"/>
  <c r="F59" i="4"/>
  <c r="G59" i="4"/>
  <c r="N59" i="4"/>
  <c r="D61" i="4"/>
  <c r="F61" i="4"/>
  <c r="H61" i="4"/>
  <c r="J61" i="4"/>
  <c r="O61" i="4"/>
  <c r="Q61" i="4"/>
  <c r="S61" i="4"/>
  <c r="F62" i="4"/>
  <c r="I62" i="4"/>
  <c r="J62" i="4"/>
  <c r="P62" i="4"/>
  <c r="F63" i="4"/>
  <c r="G63" i="4"/>
  <c r="N63" i="4"/>
  <c r="D65" i="4"/>
  <c r="F65" i="4"/>
  <c r="H65" i="4"/>
  <c r="J65" i="4"/>
  <c r="O65" i="4"/>
  <c r="Q65" i="4"/>
  <c r="S65" i="4"/>
  <c r="F66" i="4"/>
  <c r="I66" i="4"/>
  <c r="J66" i="4"/>
  <c r="P66" i="4"/>
  <c r="F67" i="4"/>
  <c r="G67" i="4"/>
  <c r="N67" i="4"/>
  <c r="D69" i="4"/>
  <c r="F69" i="4"/>
  <c r="H69" i="4"/>
  <c r="J69" i="4"/>
  <c r="O69" i="4"/>
  <c r="Q69" i="4"/>
  <c r="S69" i="4"/>
  <c r="F70" i="4"/>
  <c r="I70" i="4"/>
  <c r="J70" i="4"/>
  <c r="P70" i="4"/>
  <c r="F71" i="4"/>
  <c r="G71" i="4"/>
  <c r="N71" i="4"/>
  <c r="D73" i="4"/>
  <c r="F73" i="4"/>
  <c r="H73" i="4"/>
  <c r="J73" i="4"/>
  <c r="O73" i="4"/>
  <c r="Q73" i="4"/>
  <c r="S73" i="4"/>
  <c r="F74" i="4"/>
  <c r="I74" i="4"/>
  <c r="J74" i="4"/>
  <c r="P74" i="4"/>
  <c r="F75" i="4"/>
  <c r="G75" i="4"/>
  <c r="N75" i="4"/>
  <c r="D77" i="4"/>
  <c r="F77" i="4"/>
  <c r="H77" i="4"/>
  <c r="J77" i="4"/>
  <c r="O77" i="4"/>
  <c r="Q77" i="4"/>
  <c r="S77" i="4"/>
  <c r="F78" i="4"/>
  <c r="I78" i="4"/>
  <c r="J78" i="4"/>
  <c r="P78" i="4"/>
  <c r="F79" i="4"/>
  <c r="G79" i="4"/>
  <c r="N79" i="4"/>
  <c r="D81" i="4"/>
  <c r="F81" i="4"/>
  <c r="H81" i="4"/>
  <c r="J81" i="4"/>
  <c r="O81" i="4"/>
  <c r="Q81" i="4"/>
  <c r="S81" i="4"/>
  <c r="F82" i="4"/>
  <c r="I82" i="4"/>
  <c r="J82" i="4"/>
  <c r="P82" i="4"/>
  <c r="F83" i="4"/>
  <c r="G83" i="4"/>
  <c r="N83" i="4"/>
  <c r="D85" i="4"/>
  <c r="F85" i="4"/>
  <c r="H85" i="4"/>
  <c r="J85" i="4"/>
  <c r="O85" i="4"/>
  <c r="Q85" i="4"/>
  <c r="S85" i="4"/>
  <c r="F86" i="4"/>
  <c r="I86" i="4"/>
  <c r="J86" i="4"/>
  <c r="P86" i="4"/>
  <c r="F87" i="4"/>
  <c r="G87" i="4"/>
  <c r="N87" i="4"/>
  <c r="G88" i="4"/>
  <c r="H88" i="4"/>
  <c r="I88" i="4"/>
  <c r="N88" i="4"/>
  <c r="O88" i="4"/>
  <c r="P88" i="4"/>
  <c r="E89" i="4"/>
  <c r="F89" i="4"/>
  <c r="J91" i="4"/>
  <c r="Q91" i="4"/>
  <c r="S91" i="4"/>
  <c r="J92" i="4"/>
  <c r="Q92" i="4"/>
  <c r="S92" i="4"/>
  <c r="J93" i="4"/>
  <c r="Q93" i="4"/>
  <c r="S93" i="4"/>
  <c r="J94" i="4"/>
  <c r="Q94" i="4"/>
  <c r="S94" i="4"/>
  <c r="J95" i="4"/>
  <c r="Q95" i="4"/>
  <c r="S95" i="4"/>
  <c r="J96" i="4"/>
  <c r="Q96" i="4"/>
  <c r="S96" i="4"/>
  <c r="J97" i="4"/>
  <c r="S97" i="4"/>
  <c r="R3" i="1"/>
  <c r="R4" i="1"/>
  <c r="L5" i="1"/>
  <c r="R5" i="1"/>
  <c r="L6" i="1"/>
  <c r="R6" i="1"/>
  <c r="R7" i="1"/>
  <c r="L8" i="1"/>
  <c r="R8" i="1"/>
  <c r="R9" i="1"/>
  <c r="L10" i="1"/>
  <c r="R10" i="1"/>
  <c r="L11" i="1"/>
  <c r="R11" i="1"/>
  <c r="R12" i="1"/>
  <c r="L13" i="1"/>
  <c r="Q13" i="1"/>
  <c r="R13" i="1"/>
  <c r="R14" i="1"/>
  <c r="E19" i="1"/>
  <c r="J19" i="1"/>
  <c r="L19" i="1"/>
  <c r="AL19" i="1"/>
  <c r="AM19" i="1"/>
  <c r="BK19" i="1"/>
  <c r="BL19" i="1"/>
  <c r="E20" i="1"/>
  <c r="J20" i="1"/>
  <c r="L20" i="1"/>
  <c r="AL20" i="1"/>
  <c r="AM20" i="1"/>
  <c r="BK20" i="1"/>
  <c r="BL20" i="1"/>
  <c r="AL21" i="1"/>
  <c r="AM21" i="1"/>
  <c r="BK21" i="1"/>
  <c r="BL21" i="1"/>
  <c r="E22" i="1"/>
  <c r="J22" i="1"/>
  <c r="L22" i="1"/>
  <c r="AL22" i="1"/>
  <c r="AM22" i="1"/>
  <c r="BK22" i="1"/>
  <c r="BL22" i="1"/>
  <c r="L23" i="1"/>
  <c r="AL23" i="1"/>
  <c r="AM23" i="1"/>
  <c r="BK23" i="1"/>
  <c r="BL23" i="1"/>
  <c r="E24" i="1"/>
  <c r="I24" i="1"/>
  <c r="J24" i="1"/>
  <c r="L24" i="1"/>
  <c r="O24" i="1"/>
  <c r="AL24" i="1"/>
  <c r="AM24" i="1"/>
  <c r="BK24" i="1"/>
  <c r="BL24" i="1"/>
  <c r="E25" i="1"/>
  <c r="I25" i="1"/>
  <c r="J25" i="1"/>
  <c r="L25" i="1"/>
  <c r="AL25" i="1"/>
  <c r="AM25" i="1"/>
  <c r="BK25" i="1"/>
  <c r="BL25" i="1"/>
  <c r="E26" i="1"/>
  <c r="I26" i="1"/>
  <c r="J26" i="1"/>
  <c r="L26" i="1"/>
  <c r="AL26" i="1"/>
  <c r="AM26" i="1"/>
  <c r="BK26" i="1"/>
  <c r="BL26" i="1"/>
  <c r="E27" i="1"/>
  <c r="I27" i="1"/>
  <c r="J27" i="1"/>
  <c r="L27" i="1"/>
  <c r="O27" i="1"/>
  <c r="AL27" i="1"/>
  <c r="AM27" i="1"/>
  <c r="BK27" i="1"/>
  <c r="BL27" i="1"/>
  <c r="E28" i="1"/>
  <c r="I28" i="1"/>
  <c r="J28" i="1"/>
  <c r="L28" i="1"/>
  <c r="AL28" i="1"/>
  <c r="AM28" i="1"/>
  <c r="BK28" i="1"/>
  <c r="BL28" i="1"/>
  <c r="E29" i="1"/>
  <c r="I29" i="1"/>
  <c r="J29" i="1"/>
  <c r="L29" i="1"/>
  <c r="AL29" i="1"/>
  <c r="AM29" i="1"/>
  <c r="BK29" i="1"/>
  <c r="BL29" i="1"/>
  <c r="E30" i="1"/>
  <c r="I30" i="1"/>
  <c r="J30" i="1"/>
  <c r="L30" i="1"/>
  <c r="AL30" i="1"/>
  <c r="AM30" i="1"/>
  <c r="BK30" i="1"/>
  <c r="BL30" i="1"/>
  <c r="E31" i="1"/>
  <c r="I31" i="1"/>
  <c r="J31" i="1"/>
  <c r="L31" i="1"/>
  <c r="AL31" i="1"/>
  <c r="AM31" i="1"/>
  <c r="BK31" i="1"/>
  <c r="BL31" i="1"/>
  <c r="E32" i="1"/>
  <c r="I32" i="1"/>
  <c r="J32" i="1"/>
  <c r="L32" i="1"/>
  <c r="AL32" i="1"/>
  <c r="AM32" i="1"/>
  <c r="BK32" i="1"/>
  <c r="BL32" i="1"/>
  <c r="E33" i="1"/>
  <c r="I33" i="1"/>
  <c r="J33" i="1"/>
  <c r="L33" i="1"/>
  <c r="AL33" i="1"/>
  <c r="AM33" i="1"/>
  <c r="BK33" i="1"/>
  <c r="BL33" i="1"/>
  <c r="E34" i="1"/>
  <c r="I34" i="1"/>
  <c r="J34" i="1"/>
  <c r="L34" i="1"/>
  <c r="AL34" i="1"/>
  <c r="AM34" i="1"/>
  <c r="BK34" i="1"/>
  <c r="BL34" i="1"/>
  <c r="E35" i="1"/>
  <c r="I35" i="1"/>
  <c r="J35" i="1"/>
  <c r="L35" i="1"/>
  <c r="AL35" i="1"/>
  <c r="AM35" i="1"/>
  <c r="BK35" i="1"/>
  <c r="BL35" i="1"/>
  <c r="D36" i="1"/>
  <c r="I36" i="1"/>
  <c r="AL36" i="1"/>
  <c r="AM36" i="1"/>
  <c r="BK36" i="1"/>
  <c r="BL36" i="1"/>
  <c r="AL37" i="1"/>
  <c r="AM37" i="1"/>
  <c r="BK37" i="1"/>
  <c r="BL37" i="1"/>
  <c r="E38" i="1"/>
  <c r="I38" i="1"/>
  <c r="J38" i="1"/>
  <c r="L38" i="1"/>
  <c r="O38" i="1"/>
  <c r="AL38" i="1"/>
  <c r="AM38" i="1"/>
  <c r="BK38" i="1"/>
  <c r="BL38" i="1"/>
  <c r="E39" i="1"/>
  <c r="I39" i="1"/>
  <c r="J39" i="1"/>
  <c r="L39" i="1"/>
  <c r="AL39" i="1"/>
  <c r="AM39" i="1"/>
  <c r="BK39" i="1"/>
  <c r="BL39" i="1"/>
  <c r="E40" i="1"/>
  <c r="I40" i="1"/>
  <c r="J40" i="1"/>
  <c r="L40" i="1"/>
  <c r="AL40" i="1"/>
  <c r="AM40" i="1"/>
  <c r="BK40" i="1"/>
  <c r="BL40" i="1"/>
  <c r="E41" i="1"/>
  <c r="I41" i="1"/>
  <c r="J41" i="1"/>
  <c r="L41" i="1"/>
  <c r="AL41" i="1"/>
  <c r="AM41" i="1"/>
  <c r="BK41" i="1"/>
  <c r="BL41" i="1"/>
  <c r="E42" i="1"/>
  <c r="I42" i="1"/>
  <c r="J42" i="1"/>
  <c r="L42" i="1"/>
  <c r="AL42" i="1"/>
  <c r="AM42" i="1"/>
  <c r="BK42" i="1"/>
  <c r="BL42" i="1"/>
  <c r="E43" i="1"/>
  <c r="I43" i="1"/>
  <c r="J43" i="1"/>
  <c r="L43" i="1"/>
  <c r="AL43" i="1"/>
  <c r="AM43" i="1"/>
  <c r="BK43" i="1"/>
  <c r="BL43" i="1"/>
  <c r="E44" i="1"/>
  <c r="I44" i="1"/>
  <c r="J44" i="1"/>
  <c r="L44" i="1"/>
  <c r="AL44" i="1"/>
  <c r="AM44" i="1"/>
  <c r="BK44" i="1"/>
  <c r="BL44" i="1"/>
  <c r="E45" i="1"/>
  <c r="I45" i="1"/>
  <c r="J45" i="1"/>
  <c r="L45" i="1"/>
  <c r="AL45" i="1"/>
  <c r="AM45" i="1"/>
  <c r="BK45" i="1"/>
  <c r="BL45" i="1"/>
  <c r="E46" i="1"/>
  <c r="I46" i="1"/>
  <c r="J46" i="1"/>
  <c r="L46" i="1"/>
  <c r="AL46" i="1"/>
  <c r="AM46" i="1"/>
  <c r="BK46" i="1"/>
  <c r="BL46" i="1"/>
  <c r="E47" i="1"/>
  <c r="I47" i="1"/>
  <c r="J47" i="1"/>
  <c r="L47" i="1"/>
  <c r="AL47" i="1"/>
  <c r="AM47" i="1"/>
  <c r="BK47" i="1"/>
  <c r="BL47" i="1"/>
  <c r="E48" i="1"/>
  <c r="I48" i="1"/>
  <c r="J48" i="1"/>
  <c r="L48" i="1"/>
  <c r="AL48" i="1"/>
  <c r="AM48" i="1"/>
  <c r="BK48" i="1"/>
  <c r="BL48" i="1"/>
  <c r="E49" i="1"/>
  <c r="I49" i="1"/>
  <c r="J49" i="1"/>
  <c r="L49" i="1"/>
  <c r="AL49" i="1"/>
  <c r="AM49" i="1"/>
  <c r="BK49" i="1"/>
  <c r="BL49" i="1"/>
  <c r="D50" i="1"/>
  <c r="I50" i="1"/>
  <c r="BK50" i="1"/>
  <c r="BL50" i="1"/>
  <c r="E52" i="1"/>
  <c r="I52" i="1"/>
  <c r="J52" i="1"/>
  <c r="L52" i="1"/>
  <c r="O52" i="1"/>
  <c r="E53" i="1"/>
  <c r="I53" i="1"/>
  <c r="J53" i="1"/>
  <c r="L53" i="1"/>
  <c r="E54" i="1"/>
  <c r="I54" i="1"/>
  <c r="J54" i="1"/>
  <c r="L54" i="1"/>
  <c r="E55" i="1"/>
  <c r="I55" i="1"/>
  <c r="J55" i="1"/>
  <c r="L55" i="1"/>
  <c r="E56" i="1"/>
  <c r="I56" i="1"/>
  <c r="J56" i="1"/>
  <c r="L56" i="1"/>
  <c r="E57" i="1"/>
  <c r="I57" i="1"/>
  <c r="J57" i="1"/>
  <c r="L57" i="1"/>
  <c r="E58" i="1"/>
  <c r="I58" i="1"/>
  <c r="J58" i="1"/>
  <c r="L58" i="1"/>
  <c r="E59" i="1"/>
  <c r="I59" i="1"/>
  <c r="J59" i="1"/>
  <c r="L59" i="1"/>
  <c r="E60" i="1"/>
  <c r="I60" i="1"/>
  <c r="J60" i="1"/>
  <c r="L60" i="1"/>
  <c r="E61" i="1"/>
  <c r="I61" i="1"/>
  <c r="J61" i="1"/>
  <c r="L61" i="1"/>
  <c r="E62" i="1"/>
  <c r="I62" i="1"/>
  <c r="J62" i="1"/>
  <c r="L62" i="1"/>
  <c r="E63" i="1"/>
  <c r="I63" i="1"/>
  <c r="J63" i="1"/>
  <c r="L63" i="1"/>
  <c r="D64" i="1"/>
  <c r="I64" i="1"/>
  <c r="BK64" i="1"/>
  <c r="BL64" i="1"/>
  <c r="E66" i="1"/>
  <c r="J66" i="1"/>
  <c r="L66" i="1"/>
  <c r="E67" i="1"/>
  <c r="J67" i="1"/>
  <c r="L67" i="1"/>
  <c r="E68" i="1"/>
  <c r="J68" i="1"/>
  <c r="L68" i="1"/>
  <c r="E69" i="1"/>
  <c r="J69" i="1"/>
  <c r="L69" i="1"/>
  <c r="E70" i="1"/>
  <c r="J70" i="1"/>
  <c r="L70" i="1"/>
  <c r="E71" i="1"/>
  <c r="J71" i="1"/>
  <c r="L71" i="1"/>
  <c r="E72" i="1"/>
  <c r="L73" i="1"/>
  <c r="E79" i="1"/>
  <c r="J79" i="1"/>
  <c r="L79" i="1"/>
  <c r="AL79" i="1"/>
  <c r="AM79" i="1"/>
  <c r="BK79" i="1"/>
  <c r="BL79" i="1"/>
  <c r="E81" i="1"/>
  <c r="J81" i="1"/>
  <c r="L81" i="1"/>
  <c r="O81" i="1"/>
  <c r="AL81" i="1"/>
  <c r="AM81" i="1"/>
  <c r="BK81" i="1"/>
  <c r="BL81" i="1"/>
  <c r="E82" i="1"/>
  <c r="J82" i="1"/>
  <c r="L82" i="1"/>
  <c r="AL82" i="1"/>
  <c r="AM82" i="1"/>
  <c r="BK82" i="1"/>
  <c r="BL82" i="1"/>
  <c r="E83" i="1"/>
  <c r="J83" i="1"/>
  <c r="L83" i="1"/>
  <c r="AL83" i="1"/>
  <c r="AM83" i="1"/>
  <c r="BK83" i="1"/>
  <c r="BL83" i="1"/>
  <c r="E84" i="1"/>
  <c r="J84" i="1"/>
  <c r="L84" i="1"/>
  <c r="AL84" i="1"/>
  <c r="AM84" i="1"/>
  <c r="BK84" i="1"/>
  <c r="BL84" i="1"/>
  <c r="E85" i="1"/>
  <c r="J85" i="1"/>
  <c r="L85" i="1"/>
  <c r="AL85" i="1"/>
  <c r="AM85" i="1"/>
  <c r="BK85" i="1"/>
  <c r="BL85" i="1"/>
  <c r="E86" i="1"/>
  <c r="J86" i="1"/>
  <c r="L86" i="1"/>
  <c r="AL86" i="1"/>
  <c r="AM86" i="1"/>
  <c r="BK86" i="1"/>
  <c r="BL86" i="1"/>
  <c r="E87" i="1"/>
  <c r="J87" i="1"/>
  <c r="L87" i="1"/>
  <c r="AL87" i="1"/>
  <c r="AM87" i="1"/>
  <c r="BK87" i="1"/>
  <c r="BL87" i="1"/>
  <c r="E88" i="1"/>
  <c r="J88" i="1"/>
  <c r="L88" i="1"/>
  <c r="AL88" i="1"/>
  <c r="AM88" i="1"/>
  <c r="BK88" i="1"/>
  <c r="BL88" i="1"/>
  <c r="E89" i="1"/>
  <c r="J89" i="1"/>
  <c r="L89" i="1"/>
  <c r="AL89" i="1"/>
  <c r="AM89" i="1"/>
  <c r="E90" i="1"/>
  <c r="J90" i="1"/>
  <c r="L90" i="1"/>
  <c r="AL90" i="1"/>
  <c r="AM90" i="1"/>
  <c r="E91" i="1"/>
  <c r="J91" i="1"/>
  <c r="L91" i="1"/>
  <c r="AL91" i="1"/>
  <c r="AM91" i="1"/>
  <c r="E92" i="1"/>
  <c r="J92" i="1"/>
  <c r="L92" i="1"/>
  <c r="AL92" i="1"/>
  <c r="AM92" i="1"/>
  <c r="AL93" i="1"/>
  <c r="E94" i="1"/>
  <c r="J94" i="1"/>
  <c r="L94" i="1"/>
  <c r="AL94" i="1"/>
  <c r="AM94" i="1"/>
  <c r="BK94" i="1"/>
  <c r="BL94" i="1"/>
  <c r="E95" i="1"/>
  <c r="J95" i="1"/>
  <c r="L95" i="1"/>
  <c r="E96" i="1"/>
  <c r="AM96" i="1"/>
  <c r="BL96" i="1"/>
  <c r="L97" i="1"/>
  <c r="E103" i="1"/>
  <c r="J103" i="1"/>
  <c r="L103" i="1"/>
  <c r="E104" i="1"/>
  <c r="J104" i="1"/>
  <c r="L104" i="1"/>
  <c r="E105" i="1"/>
  <c r="L105" i="1"/>
  <c r="E106" i="1"/>
  <c r="J106" i="1"/>
  <c r="L106" i="1"/>
  <c r="E107" i="1"/>
  <c r="J107" i="1"/>
  <c r="L107" i="1"/>
  <c r="AL107" i="1"/>
  <c r="AM107" i="1"/>
  <c r="BK107" i="1"/>
  <c r="BL107" i="1"/>
  <c r="E108" i="1"/>
  <c r="J108" i="1"/>
  <c r="L108" i="1"/>
  <c r="AL108" i="1"/>
  <c r="AM108" i="1"/>
  <c r="BK108" i="1"/>
  <c r="BL108" i="1"/>
  <c r="E109" i="1"/>
  <c r="J109" i="1"/>
  <c r="L109" i="1"/>
  <c r="AL109" i="1"/>
  <c r="AM109" i="1"/>
  <c r="BK109" i="1"/>
  <c r="BL109" i="1"/>
  <c r="E110" i="1"/>
  <c r="J110" i="1"/>
  <c r="L110" i="1"/>
  <c r="AL110" i="1"/>
  <c r="AM110" i="1"/>
  <c r="BK110" i="1"/>
  <c r="BL110" i="1"/>
  <c r="E111" i="1"/>
  <c r="J111" i="1"/>
  <c r="L111" i="1"/>
  <c r="AL111" i="1"/>
  <c r="AM111" i="1"/>
  <c r="BK111" i="1"/>
  <c r="BL111" i="1"/>
  <c r="E112" i="1"/>
  <c r="J112" i="1"/>
  <c r="L112" i="1"/>
  <c r="AL112" i="1"/>
  <c r="AM112" i="1"/>
  <c r="BK112" i="1"/>
  <c r="BL112" i="1"/>
  <c r="AL113" i="1"/>
  <c r="AM113" i="1"/>
  <c r="E114" i="1"/>
  <c r="BL114" i="1"/>
  <c r="L115" i="1"/>
  <c r="AM115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X147" i="1"/>
  <c r="V148" i="1"/>
  <c r="X148" i="1"/>
  <c r="V149" i="1"/>
  <c r="X149" i="1"/>
  <c r="V150" i="1"/>
  <c r="X150" i="1"/>
  <c r="V151" i="1"/>
  <c r="X151" i="1"/>
  <c r="V152" i="1"/>
  <c r="X152" i="1"/>
  <c r="V153" i="1"/>
  <c r="X153" i="1"/>
  <c r="V154" i="1"/>
  <c r="X154" i="1"/>
  <c r="U155" i="1"/>
  <c r="V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</calcChain>
</file>

<file path=xl/sharedStrings.xml><?xml version="1.0" encoding="utf-8"?>
<sst xmlns="http://schemas.openxmlformats.org/spreadsheetml/2006/main" count="203" uniqueCount="91">
  <si>
    <t xml:space="preserve">PJM Pricing Model </t>
  </si>
  <si>
    <t>Cash 2</t>
  </si>
  <si>
    <t>Term</t>
  </si>
  <si>
    <t>Old Mark</t>
  </si>
  <si>
    <t>New Mark</t>
  </si>
  <si>
    <t>Position</t>
  </si>
  <si>
    <t>Change</t>
  </si>
  <si>
    <t># days</t>
  </si>
  <si>
    <t>MWh's</t>
  </si>
  <si>
    <t>P/L</t>
  </si>
  <si>
    <t>Cal 02</t>
  </si>
  <si>
    <t>Cal 03</t>
  </si>
  <si>
    <t>Cal 04</t>
  </si>
  <si>
    <t>Cinergy</t>
  </si>
  <si>
    <t xml:space="preserve">New Deals </t>
  </si>
  <si>
    <t>Cash</t>
  </si>
  <si>
    <t>Buys</t>
  </si>
  <si>
    <t>Sells</t>
  </si>
  <si>
    <t>Last P/L</t>
  </si>
  <si>
    <t>Curve Shift</t>
  </si>
  <si>
    <t>New deals</t>
  </si>
  <si>
    <t>MTD</t>
  </si>
  <si>
    <t>Liguidations</t>
  </si>
  <si>
    <t>Month</t>
  </si>
  <si>
    <t>Cal 05</t>
  </si>
  <si>
    <t>Gas Positions</t>
  </si>
  <si>
    <t>Cash 3</t>
  </si>
  <si>
    <t>Gas New Deals</t>
  </si>
  <si>
    <t>New Deals</t>
  </si>
  <si>
    <t xml:space="preserve">Cal 03 </t>
  </si>
  <si>
    <t>Wkd</t>
  </si>
  <si>
    <t>Off Peak Pricing</t>
  </si>
  <si>
    <t>Off peak C/S</t>
  </si>
  <si>
    <t>MMBtu's</t>
  </si>
  <si>
    <t>Cal 06</t>
  </si>
  <si>
    <t>Cal 07</t>
  </si>
  <si>
    <t>Cal 08</t>
  </si>
  <si>
    <t>Mar-Dec 01</t>
  </si>
  <si>
    <t>All OFF</t>
  </si>
  <si>
    <t>ALL OFF</t>
  </si>
  <si>
    <t>7X8</t>
  </si>
  <si>
    <t>2X16</t>
  </si>
  <si>
    <t>Nov- Mar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</si>
  <si>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</si>
  <si>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</si>
  <si>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</si>
  <si>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</si>
  <si>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</si>
  <si>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</si>
  <si>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</si>
  <si>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</si>
  <si>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</si>
  <si>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</si>
  <si>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</si>
  <si>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</si>
  <si>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</si>
  <si>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 xml:space="preserve"> </t>
  </si>
  <si>
    <t>Cal 02  On</t>
  </si>
  <si>
    <t>Cal 02  Off</t>
  </si>
  <si>
    <t>Cal 02  7x24</t>
  </si>
  <si>
    <t>hours</t>
  </si>
  <si>
    <t>AGA</t>
  </si>
  <si>
    <t>Total Inventory</t>
  </si>
  <si>
    <t>Last Yr</t>
  </si>
  <si>
    <t>End Oct</t>
  </si>
  <si>
    <t>7 yr average</t>
  </si>
  <si>
    <t>End Mar</t>
  </si>
  <si>
    <t>New York Positions - Zone G</t>
  </si>
  <si>
    <t>Cal 09</t>
  </si>
  <si>
    <t>New York Positions - Zone A</t>
  </si>
  <si>
    <t>High</t>
  </si>
  <si>
    <t>Low</t>
  </si>
  <si>
    <t>Average</t>
  </si>
  <si>
    <t>Total NY</t>
  </si>
  <si>
    <t>Cal 03  On</t>
  </si>
  <si>
    <t>Customer Phone #</t>
  </si>
  <si>
    <t>Dan Rider  RG&amp;E</t>
  </si>
  <si>
    <t>Ben</t>
  </si>
  <si>
    <t>Con ED</t>
  </si>
  <si>
    <t>716 724 8947</t>
  </si>
  <si>
    <t>716 724 8214</t>
  </si>
  <si>
    <t xml:space="preserve">Ben </t>
  </si>
  <si>
    <t>PG&amp;E</t>
  </si>
  <si>
    <t>Cal 10</t>
  </si>
  <si>
    <t>Cal 04  On</t>
  </si>
  <si>
    <t>301 280 6641</t>
  </si>
  <si>
    <t>Chris Gorman</t>
  </si>
  <si>
    <t>301 280 6638</t>
  </si>
  <si>
    <t>Apr - Oct</t>
  </si>
  <si>
    <t>Last Year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</si>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</sst>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_);[Red]\(0\)"/>
    <numFmt numFmtId="170" formatCode="_(* #,##0_);_(* \(#,##0\);_(* &quot;-&quot;??_);_(@_)"/>
    <numFmt numFmtId="172" formatCode="_(&quot;$&quot;* #,##0.000_);_(&quot;$&quot;* \(#,##0.000\);_(&quot;$&quot;* &quot;-&quot;??_);_(@_)"/>
    <numFmt numFmtId="175" formatCode="_(&quot;$&quot;* #,##0_);_(&quot;$&quot;* \(#,##0\);_(&quot;$&quot;* &quot;-&quot;??_);_(@_)"/>
    <numFmt numFmtId="178" formatCode="#,##0.000_);[Red]\(#,##0.000\)"/>
    <numFmt numFmtId="179" formatCode="d\-mmm\-yyyy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70" fontId="0" fillId="0" borderId="0" xfId="1" applyNumberFormat="1" applyFont="1"/>
    <xf numFmtId="1" fontId="0" fillId="0" borderId="0" xfId="0" applyNumberFormat="1" applyAlignment="1">
      <alignment horizontal="center"/>
    </xf>
    <xf numFmtId="0" fontId="3" fillId="0" borderId="0" xfId="0" applyFont="1"/>
    <xf numFmtId="44" fontId="0" fillId="0" borderId="0" xfId="2" applyFont="1"/>
    <xf numFmtId="40" fontId="0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4" fontId="3" fillId="0" borderId="0" xfId="0" applyNumberFormat="1" applyFont="1"/>
    <xf numFmtId="0" fontId="3" fillId="3" borderId="4" xfId="0" applyFont="1" applyFill="1" applyBorder="1" applyAlignment="1">
      <alignment horizontal="center"/>
    </xf>
    <xf numFmtId="44" fontId="3" fillId="0" borderId="0" xfId="2" applyFont="1"/>
    <xf numFmtId="17" fontId="3" fillId="0" borderId="0" xfId="0" applyNumberFormat="1" applyFont="1" applyAlignment="1">
      <alignment horizontal="center"/>
    </xf>
    <xf numFmtId="37" fontId="3" fillId="0" borderId="0" xfId="2" applyNumberFormat="1" applyFont="1"/>
    <xf numFmtId="170" fontId="0" fillId="0" borderId="5" xfId="1" applyNumberFormat="1" applyFont="1" applyBorder="1"/>
    <xf numFmtId="170" fontId="0" fillId="0" borderId="0" xfId="0" applyNumberFormat="1"/>
    <xf numFmtId="170" fontId="3" fillId="0" borderId="0" xfId="0" applyNumberFormat="1" applyFont="1"/>
    <xf numFmtId="0" fontId="0" fillId="0" borderId="6" xfId="0" applyBorder="1"/>
    <xf numFmtId="0" fontId="0" fillId="0" borderId="6" xfId="0" applyBorder="1" applyAlignment="1">
      <alignment horizontal="center"/>
    </xf>
    <xf numFmtId="175" fontId="0" fillId="0" borderId="0" xfId="0" applyNumberFormat="1"/>
    <xf numFmtId="175" fontId="0" fillId="0" borderId="6" xfId="0" applyNumberFormat="1" applyBorder="1" applyAlignment="1">
      <alignment horizontal="center"/>
    </xf>
    <xf numFmtId="175" fontId="3" fillId="0" borderId="0" xfId="0" applyNumberFormat="1" applyFont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2" borderId="6" xfId="0" applyFill="1" applyBorder="1"/>
    <xf numFmtId="175" fontId="3" fillId="2" borderId="0" xfId="0" applyNumberFormat="1" applyFont="1" applyFill="1" applyBorder="1"/>
    <xf numFmtId="175" fontId="3" fillId="2" borderId="5" xfId="0" applyNumberFormat="1" applyFont="1" applyFill="1" applyBorder="1"/>
    <xf numFmtId="0" fontId="0" fillId="2" borderId="11" xfId="0" applyFill="1" applyBorder="1"/>
    <xf numFmtId="0" fontId="0" fillId="2" borderId="5" xfId="0" applyFill="1" applyBorder="1"/>
    <xf numFmtId="0" fontId="0" fillId="2" borderId="12" xfId="0" applyFill="1" applyBorder="1"/>
    <xf numFmtId="175" fontId="3" fillId="3" borderId="13" xfId="2" applyNumberFormat="1" applyFont="1" applyFill="1" applyBorder="1"/>
    <xf numFmtId="175" fontId="3" fillId="0" borderId="0" xfId="2" applyNumberFormat="1" applyFont="1"/>
    <xf numFmtId="0" fontId="0" fillId="0" borderId="0" xfId="0" applyBorder="1"/>
    <xf numFmtId="17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13" xfId="0" applyNumberFormat="1" applyBorder="1" applyAlignment="1">
      <alignment horizontal="center"/>
    </xf>
    <xf numFmtId="172" fontId="3" fillId="0" borderId="0" xfId="2" applyNumberFormat="1" applyFont="1"/>
    <xf numFmtId="1" fontId="3" fillId="0" borderId="0" xfId="0" applyNumberFormat="1" applyFont="1" applyAlignment="1">
      <alignment horizontal="center"/>
    </xf>
    <xf numFmtId="175" fontId="3" fillId="0" borderId="0" xfId="0" applyNumberFormat="1" applyFont="1" applyAlignment="1">
      <alignment horizontal="center"/>
    </xf>
    <xf numFmtId="17" fontId="3" fillId="0" borderId="14" xfId="0" applyNumberFormat="1" applyFon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70" fontId="0" fillId="0" borderId="14" xfId="1" applyNumberFormat="1" applyFont="1" applyBorder="1"/>
    <xf numFmtId="40" fontId="0" fillId="0" borderId="14" xfId="2" applyNumberFormat="1" applyFont="1" applyBorder="1" applyAlignment="1">
      <alignment horizontal="center"/>
    </xf>
    <xf numFmtId="0" fontId="0" fillId="0" borderId="14" xfId="0" applyBorder="1"/>
    <xf numFmtId="175" fontId="3" fillId="3" borderId="15" xfId="2" applyNumberFormat="1" applyFont="1" applyFill="1" applyBorder="1"/>
    <xf numFmtId="38" fontId="3" fillId="0" borderId="14" xfId="2" applyNumberFormat="1" applyFont="1" applyBorder="1" applyAlignment="1">
      <alignment horizontal="center"/>
    </xf>
    <xf numFmtId="37" fontId="2" fillId="0" borderId="0" xfId="2" applyNumberFormat="1" applyFont="1"/>
    <xf numFmtId="175" fontId="0" fillId="0" borderId="0" xfId="2" applyNumberFormat="1" applyFont="1"/>
    <xf numFmtId="0" fontId="3" fillId="2" borderId="2" xfId="0" applyFont="1" applyFill="1" applyBorder="1"/>
    <xf numFmtId="178" fontId="0" fillId="0" borderId="0" xfId="2" applyNumberFormat="1" applyFont="1" applyAlignment="1">
      <alignment horizontal="center"/>
    </xf>
    <xf numFmtId="175" fontId="3" fillId="4" borderId="0" xfId="2" applyNumberFormat="1" applyFont="1" applyFill="1"/>
    <xf numFmtId="0" fontId="0" fillId="0" borderId="16" xfId="0" applyBorder="1"/>
    <xf numFmtId="179" fontId="0" fillId="0" borderId="0" xfId="0" applyNumberFormat="1"/>
    <xf numFmtId="0" fontId="3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17" fontId="3" fillId="4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40" fontId="0" fillId="0" borderId="0" xfId="0" applyNumberFormat="1"/>
    <xf numFmtId="0" fontId="5" fillId="0" borderId="5" xfId="0" applyFont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67"/>
  <sheetViews>
    <sheetView tabSelected="1" zoomScaleNormal="100" workbookViewId="0">
      <selection activeCell="C7" sqref="C7"/>
    </sheetView>
  </sheetViews>
  <sheetFormatPr defaultRowHeight="12.75" x14ac:dyDescent="0.2"/>
  <cols>
    <col min="1" max="1" width="3" customWidth="1"/>
    <col min="2" max="2" width="11.140625" customWidth="1"/>
    <col min="3" max="3" width="9.28515625" customWidth="1"/>
    <col min="4" max="4" width="7" customWidth="1"/>
    <col min="5" max="5" width="11.85546875" customWidth="1"/>
    <col min="6" max="6" width="3.28515625" customWidth="1"/>
    <col min="7" max="7" width="11.5703125" bestFit="1" customWidth="1"/>
    <col min="8" max="8" width="12" bestFit="1" customWidth="1"/>
    <col min="9" max="9" width="10.28515625" hidden="1" customWidth="1"/>
    <col min="10" max="10" width="9.42578125" customWidth="1"/>
    <col min="11" max="11" width="7.85546875" customWidth="1"/>
    <col min="12" max="12" width="14.140625" customWidth="1"/>
    <col min="13" max="13" width="6" customWidth="1"/>
    <col min="14" max="14" width="13" customWidth="1"/>
    <col min="15" max="15" width="12.140625" customWidth="1"/>
    <col min="16" max="16" width="5.28515625" customWidth="1"/>
    <col min="17" max="18" width="14" customWidth="1"/>
    <col min="19" max="19" width="12.28515625" customWidth="1"/>
    <col min="20" max="20" width="10" customWidth="1"/>
    <col min="38" max="38" width="9.140625" hidden="1" customWidth="1"/>
    <col min="39" max="39" width="14.28515625" bestFit="1" customWidth="1"/>
    <col min="40" max="40" width="7" customWidth="1"/>
    <col min="41" max="41" width="14.28515625" customWidth="1"/>
    <col min="42" max="42" width="9.85546875" customWidth="1"/>
    <col min="63" max="63" width="9.140625" hidden="1" customWidth="1"/>
    <col min="64" max="64" width="13.140625" customWidth="1"/>
  </cols>
  <sheetData>
    <row r="1" spans="2:19" ht="7.5" customHeight="1" thickBot="1" x14ac:dyDescent="0.25"/>
    <row r="2" spans="2:19" ht="13.5" thickBot="1" x14ac:dyDescent="0.25">
      <c r="B2" s="5" t="s">
        <v>0</v>
      </c>
      <c r="C2" s="5"/>
      <c r="E2" s="5"/>
      <c r="H2" s="26"/>
      <c r="I2" s="27"/>
      <c r="J2" s="27"/>
      <c r="K2" s="27"/>
      <c r="L2" s="27"/>
      <c r="M2" s="28"/>
      <c r="O2" s="9" t="s">
        <v>23</v>
      </c>
      <c r="P2" s="57"/>
      <c r="Q2" s="10" t="s">
        <v>9</v>
      </c>
      <c r="R2" s="11" t="s">
        <v>55</v>
      </c>
    </row>
    <row r="3" spans="2:19" x14ac:dyDescent="0.2">
      <c r="B3" s="5"/>
      <c r="C3" s="5"/>
      <c r="E3" s="5"/>
      <c r="H3" s="29"/>
      <c r="I3" s="30"/>
      <c r="J3" s="31" t="s">
        <v>18</v>
      </c>
      <c r="K3" s="30"/>
      <c r="L3" s="33">
        <v>6000000</v>
      </c>
      <c r="M3" s="32"/>
      <c r="O3" s="8" t="s">
        <v>43</v>
      </c>
      <c r="Q3" s="59">
        <v>4341185</v>
      </c>
      <c r="R3" s="39">
        <f>Q3</f>
        <v>4341185</v>
      </c>
    </row>
    <row r="4" spans="2:19" ht="17.25" customHeight="1" x14ac:dyDescent="0.2">
      <c r="B4" s="5"/>
      <c r="C4" s="5"/>
      <c r="E4" s="5"/>
      <c r="H4" s="29"/>
      <c r="I4" s="30"/>
      <c r="J4" s="31"/>
      <c r="K4" s="30"/>
      <c r="L4" s="31"/>
      <c r="M4" s="32"/>
      <c r="O4" s="8" t="s">
        <v>44</v>
      </c>
      <c r="Q4" s="59">
        <v>2727353</v>
      </c>
      <c r="R4" s="25">
        <f>R3+Q4</f>
        <v>7068538</v>
      </c>
    </row>
    <row r="5" spans="2:19" x14ac:dyDescent="0.2">
      <c r="B5" s="5"/>
      <c r="C5" s="5"/>
      <c r="H5" s="29"/>
      <c r="I5" s="30"/>
      <c r="J5" s="31" t="s">
        <v>19</v>
      </c>
      <c r="K5" s="30"/>
      <c r="L5" s="33">
        <f>L73+L97+NY!Z47</f>
        <v>-203952.79999999725</v>
      </c>
      <c r="M5" s="32"/>
      <c r="O5" s="8" t="s">
        <v>45</v>
      </c>
      <c r="Q5" s="59">
        <v>9140760</v>
      </c>
      <c r="R5" s="25">
        <f t="shared" ref="R5:R14" si="0">R4+Q5</f>
        <v>16209298</v>
      </c>
      <c r="S5" s="59">
        <v>15429298</v>
      </c>
    </row>
    <row r="6" spans="2:19" ht="15.75" customHeight="1" x14ac:dyDescent="0.2">
      <c r="B6" s="5"/>
      <c r="C6" s="5"/>
      <c r="H6" s="29"/>
      <c r="I6" s="30"/>
      <c r="J6" s="31" t="s">
        <v>32</v>
      </c>
      <c r="K6" s="30"/>
      <c r="L6" s="33">
        <f>'OFF PEAK'!S97</f>
        <v>0</v>
      </c>
      <c r="M6" s="32"/>
      <c r="O6" s="8" t="s">
        <v>46</v>
      </c>
      <c r="Q6" s="59">
        <v>6260313</v>
      </c>
      <c r="R6" s="25">
        <f t="shared" si="0"/>
        <v>22469611</v>
      </c>
    </row>
    <row r="7" spans="2:19" ht="15" customHeight="1" x14ac:dyDescent="0.2">
      <c r="B7" s="5"/>
      <c r="C7" s="5"/>
      <c r="H7" s="29"/>
      <c r="I7" s="30"/>
      <c r="J7" s="31" t="s">
        <v>22</v>
      </c>
      <c r="K7" s="30"/>
      <c r="L7" s="33">
        <v>0</v>
      </c>
      <c r="M7" s="32"/>
      <c r="O7" s="8" t="s">
        <v>47</v>
      </c>
      <c r="Q7" s="59">
        <v>30061192</v>
      </c>
      <c r="R7" s="25">
        <f t="shared" si="0"/>
        <v>52530803</v>
      </c>
    </row>
    <row r="8" spans="2:19" x14ac:dyDescent="0.2">
      <c r="B8" s="5"/>
      <c r="C8" s="5"/>
      <c r="H8" s="29"/>
      <c r="I8" s="30"/>
      <c r="J8" s="31" t="s">
        <v>25</v>
      </c>
      <c r="K8" s="30"/>
      <c r="L8" s="33">
        <f>L115</f>
        <v>0</v>
      </c>
      <c r="M8" s="32"/>
      <c r="O8" s="8" t="s">
        <v>48</v>
      </c>
      <c r="Q8" s="59">
        <v>15800000</v>
      </c>
      <c r="R8" s="25">
        <f t="shared" si="0"/>
        <v>68330803</v>
      </c>
      <c r="S8" s="59">
        <v>52070609</v>
      </c>
    </row>
    <row r="9" spans="2:19" ht="12" customHeight="1" x14ac:dyDescent="0.2">
      <c r="B9" s="5"/>
      <c r="C9" s="5"/>
      <c r="H9" s="29"/>
      <c r="I9" s="30"/>
      <c r="J9" s="31" t="s">
        <v>27</v>
      </c>
      <c r="K9" s="30"/>
      <c r="L9" s="33"/>
      <c r="M9" s="32"/>
      <c r="O9" s="8" t="s">
        <v>49</v>
      </c>
      <c r="Q9" s="59">
        <v>11105553</v>
      </c>
      <c r="R9" s="25">
        <f t="shared" si="0"/>
        <v>79436356</v>
      </c>
    </row>
    <row r="10" spans="2:19" ht="14.25" customHeight="1" thickBot="1" x14ac:dyDescent="0.25">
      <c r="B10" s="5"/>
      <c r="C10" s="5"/>
      <c r="H10" s="29"/>
      <c r="I10" s="30"/>
      <c r="J10" s="31" t="s">
        <v>20</v>
      </c>
      <c r="K10" s="30"/>
      <c r="L10" s="34">
        <f>+AM96+BL96</f>
        <v>0</v>
      </c>
      <c r="M10" s="32"/>
      <c r="O10" s="8" t="s">
        <v>50</v>
      </c>
      <c r="Q10" s="59">
        <v>6207418</v>
      </c>
      <c r="R10" s="25">
        <f t="shared" si="0"/>
        <v>85643774</v>
      </c>
    </row>
    <row r="11" spans="2:19" ht="12.75" customHeight="1" x14ac:dyDescent="0.2">
      <c r="B11" s="5"/>
      <c r="C11" s="5"/>
      <c r="H11" s="29"/>
      <c r="I11" s="30"/>
      <c r="J11" s="31"/>
      <c r="K11" s="30"/>
      <c r="L11" s="33">
        <f>SUM(L5:L10)</f>
        <v>-203952.79999999725</v>
      </c>
      <c r="M11" s="32"/>
      <c r="O11" s="8" t="s">
        <v>51</v>
      </c>
      <c r="Q11" s="59">
        <v>5279311</v>
      </c>
      <c r="R11" s="25">
        <f t="shared" si="0"/>
        <v>90923085</v>
      </c>
      <c r="S11" s="59">
        <v>22509000</v>
      </c>
    </row>
    <row r="12" spans="2:19" x14ac:dyDescent="0.2">
      <c r="B12" s="5"/>
      <c r="H12" s="29"/>
      <c r="I12" s="30"/>
      <c r="J12" s="31"/>
      <c r="K12" s="30"/>
      <c r="L12" s="31"/>
      <c r="M12" s="32"/>
      <c r="O12" s="8" t="s">
        <v>52</v>
      </c>
      <c r="Q12" s="59">
        <v>8730184</v>
      </c>
      <c r="R12" s="25">
        <f t="shared" si="0"/>
        <v>99653269</v>
      </c>
    </row>
    <row r="13" spans="2:19" x14ac:dyDescent="0.2">
      <c r="C13" s="5"/>
      <c r="H13" s="29"/>
      <c r="I13" s="30"/>
      <c r="J13" s="31" t="s">
        <v>21</v>
      </c>
      <c r="K13" s="30"/>
      <c r="L13" s="33">
        <f>L3+L11</f>
        <v>5796047.200000003</v>
      </c>
      <c r="M13" s="32"/>
      <c r="O13" s="8" t="s">
        <v>53</v>
      </c>
      <c r="Q13" s="56">
        <f>L13</f>
        <v>5796047.200000003</v>
      </c>
      <c r="R13" s="25">
        <f t="shared" si="0"/>
        <v>105449316.2</v>
      </c>
    </row>
    <row r="14" spans="2:19" ht="13.5" thickBot="1" x14ac:dyDescent="0.25">
      <c r="B14" s="5"/>
      <c r="C14" s="5"/>
      <c r="H14" s="35"/>
      <c r="I14" s="36"/>
      <c r="J14" s="36"/>
      <c r="K14" s="36"/>
      <c r="L14" s="36"/>
      <c r="M14" s="37"/>
      <c r="O14" s="8" t="s">
        <v>54</v>
      </c>
      <c r="R14" s="25">
        <f t="shared" si="0"/>
        <v>105449316.2</v>
      </c>
    </row>
    <row r="15" spans="2:19" x14ac:dyDescent="0.2">
      <c r="B15" s="5"/>
      <c r="C15" s="5"/>
    </row>
    <row r="16" spans="2:19" ht="13.5" thickBot="1" x14ac:dyDescent="0.25">
      <c r="O16" s="5"/>
    </row>
    <row r="17" spans="2:64" ht="18.75" customHeight="1" thickBot="1" x14ac:dyDescent="0.25">
      <c r="B17" s="9" t="s">
        <v>2</v>
      </c>
      <c r="C17" s="10" t="s">
        <v>5</v>
      </c>
      <c r="D17" s="10" t="s">
        <v>7</v>
      </c>
      <c r="E17" s="11" t="s">
        <v>8</v>
      </c>
      <c r="F17" s="1"/>
      <c r="G17" s="9" t="s">
        <v>3</v>
      </c>
      <c r="H17" s="10" t="s">
        <v>4</v>
      </c>
      <c r="I17" s="10"/>
      <c r="J17" s="11" t="s">
        <v>6</v>
      </c>
      <c r="L17" s="14" t="s">
        <v>9</v>
      </c>
      <c r="O17" s="5"/>
      <c r="Q17" s="9" t="s">
        <v>14</v>
      </c>
      <c r="R17" s="11" t="s">
        <v>16</v>
      </c>
      <c r="AK17" s="21"/>
      <c r="AL17" s="21"/>
      <c r="AM17" s="12" t="s">
        <v>9</v>
      </c>
      <c r="AO17" s="12" t="s">
        <v>28</v>
      </c>
      <c r="AP17" s="12" t="s">
        <v>17</v>
      </c>
      <c r="BJ17" s="21"/>
      <c r="BL17" s="12" t="s">
        <v>9</v>
      </c>
    </row>
    <row r="18" spans="2:64" x14ac:dyDescent="0.2">
      <c r="AK18" s="21"/>
      <c r="AL18" s="21"/>
      <c r="AM18" s="21"/>
      <c r="AN18" s="40"/>
      <c r="AO18" s="40"/>
      <c r="BJ18" s="21"/>
      <c r="BL18" s="21"/>
    </row>
    <row r="19" spans="2:64" x14ac:dyDescent="0.2">
      <c r="B19" s="8" t="s">
        <v>1</v>
      </c>
      <c r="C19" s="2">
        <v>0</v>
      </c>
      <c r="D19" s="1">
        <v>5</v>
      </c>
      <c r="E19" s="3">
        <f>C19*D19*16</f>
        <v>0</v>
      </c>
      <c r="F19" s="3"/>
      <c r="G19" s="15">
        <v>36</v>
      </c>
      <c r="H19" s="15">
        <v>36</v>
      </c>
      <c r="I19" s="15"/>
      <c r="J19" s="7">
        <f t="shared" ref="J19:J35" si="1">H19-G19</f>
        <v>0</v>
      </c>
      <c r="L19" s="38">
        <f>E19*J19</f>
        <v>0</v>
      </c>
      <c r="Q19" s="8" t="s">
        <v>15</v>
      </c>
      <c r="AK19" s="21"/>
      <c r="AL19" s="22">
        <f>COUNT(R19:AK19)</f>
        <v>0</v>
      </c>
      <c r="AM19" s="24">
        <f t="shared" ref="AM19:AM49" si="2">IF(R19&gt;0,(H19-(AVERAGE(R19:AK19)))*50*16*AL19*D19,0)</f>
        <v>0</v>
      </c>
      <c r="AN19" s="41"/>
      <c r="AO19" s="8" t="s">
        <v>15</v>
      </c>
      <c r="BJ19" s="21"/>
      <c r="BK19">
        <f>COUNT(AP19:BJ19)</f>
        <v>0</v>
      </c>
      <c r="BL19" s="24">
        <f t="shared" ref="BL19:BL64" si="3">IF(AP19&gt;0,((AVERAGE(AP19:BJ19))-H19)*50*16*BK19*D19,0)</f>
        <v>0</v>
      </c>
    </row>
    <row r="20" spans="2:64" x14ac:dyDescent="0.2">
      <c r="B20" s="8" t="s">
        <v>26</v>
      </c>
      <c r="C20" s="2">
        <v>0</v>
      </c>
      <c r="D20" s="1">
        <v>3</v>
      </c>
      <c r="E20" s="3">
        <f t="shared" ref="E20:E30" si="4">C20*D20*16</f>
        <v>0</v>
      </c>
      <c r="F20" s="3"/>
      <c r="G20" s="15">
        <v>37</v>
      </c>
      <c r="H20" s="15">
        <v>37</v>
      </c>
      <c r="I20" s="15"/>
      <c r="J20" s="7">
        <f t="shared" si="1"/>
        <v>0</v>
      </c>
      <c r="L20" s="38">
        <f>E20*J20</f>
        <v>0</v>
      </c>
      <c r="Q20" s="8" t="s">
        <v>15</v>
      </c>
      <c r="AK20" s="21"/>
      <c r="AL20" s="22">
        <f>COUNT(R20:AK20)</f>
        <v>0</v>
      </c>
      <c r="AM20" s="24">
        <f t="shared" si="2"/>
        <v>0</v>
      </c>
      <c r="AN20" s="41"/>
      <c r="AO20" s="8" t="s">
        <v>15</v>
      </c>
      <c r="BJ20" s="21"/>
      <c r="BK20">
        <f>COUNT(AP20:BJ20)</f>
        <v>0</v>
      </c>
      <c r="BL20" s="24">
        <f t="shared" si="3"/>
        <v>0</v>
      </c>
    </row>
    <row r="21" spans="2:64" x14ac:dyDescent="0.2">
      <c r="B21" s="8"/>
      <c r="C21" s="2"/>
      <c r="E21" s="3"/>
      <c r="F21" s="3"/>
      <c r="G21" s="5"/>
      <c r="H21" s="5"/>
      <c r="I21" s="5"/>
      <c r="J21" s="7"/>
      <c r="L21" s="38"/>
      <c r="AA21" s="60"/>
      <c r="AK21" s="21"/>
      <c r="AL21" s="22">
        <f>COUNT(R21:AK21)</f>
        <v>0</v>
      </c>
      <c r="AM21" s="24">
        <f t="shared" si="2"/>
        <v>0</v>
      </c>
      <c r="AN21" s="41"/>
      <c r="BJ21" s="21"/>
      <c r="BK21">
        <f>COUNT(AP21:BJ21)</f>
        <v>0</v>
      </c>
      <c r="BL21" s="24">
        <f t="shared" si="3"/>
        <v>0</v>
      </c>
    </row>
    <row r="22" spans="2:64" x14ac:dyDescent="0.2">
      <c r="B22" s="16">
        <v>37226</v>
      </c>
      <c r="C22" s="2">
        <v>550</v>
      </c>
      <c r="D22" s="4">
        <v>20</v>
      </c>
      <c r="E22" s="3">
        <f t="shared" si="4"/>
        <v>176000</v>
      </c>
      <c r="F22" s="3"/>
      <c r="G22" s="15">
        <v>24.5</v>
      </c>
      <c r="H22" s="15">
        <v>24.5</v>
      </c>
      <c r="I22" s="15"/>
      <c r="J22" s="7">
        <f t="shared" si="1"/>
        <v>0</v>
      </c>
      <c r="L22" s="38">
        <f>E22*J22</f>
        <v>0</v>
      </c>
      <c r="O22" s="6"/>
      <c r="Q22" s="16">
        <v>37226</v>
      </c>
      <c r="AK22" s="21"/>
      <c r="AL22" s="22">
        <f t="shared" ref="AL22:AL49" si="5">COUNT(R22:AK22)</f>
        <v>0</v>
      </c>
      <c r="AM22" s="24">
        <f t="shared" si="2"/>
        <v>0</v>
      </c>
      <c r="AN22" s="41"/>
      <c r="AO22" s="16">
        <v>37226</v>
      </c>
      <c r="BD22" s="40"/>
      <c r="BJ22" s="21"/>
      <c r="BK22">
        <f>COUNT(AP22:BJ22)</f>
        <v>0</v>
      </c>
      <c r="BL22" s="24">
        <f>IF(AP22&gt;0,((AVERAGE(AP22:BJ22))-H22)*50*16*BK22*D22,0)</f>
        <v>0</v>
      </c>
    </row>
    <row r="23" spans="2:64" x14ac:dyDescent="0.2">
      <c r="B23" s="16"/>
      <c r="C23" s="2"/>
      <c r="D23" s="4"/>
      <c r="E23" s="3"/>
      <c r="F23" s="3"/>
      <c r="G23" s="15"/>
      <c r="H23" s="15"/>
      <c r="I23" s="15"/>
      <c r="J23" s="7"/>
      <c r="L23" s="38">
        <f>E23*J23</f>
        <v>0</v>
      </c>
      <c r="Q23" s="16"/>
      <c r="AA23" s="60"/>
      <c r="AK23" s="21"/>
      <c r="AL23" s="22">
        <f t="shared" si="5"/>
        <v>0</v>
      </c>
      <c r="AM23" s="24">
        <f t="shared" si="2"/>
        <v>0</v>
      </c>
      <c r="AN23" s="41"/>
      <c r="AO23" s="16"/>
      <c r="AY23" s="60"/>
      <c r="AZ23" s="40"/>
      <c r="BA23" s="40"/>
      <c r="BB23" s="40"/>
      <c r="BC23" s="40"/>
      <c r="BD23" s="40"/>
      <c r="BJ23" s="21"/>
      <c r="BK23">
        <f t="shared" ref="BK23:BK64" si="6">COUNT(AP23:BJ23)</f>
        <v>0</v>
      </c>
      <c r="BL23" s="24">
        <f t="shared" si="3"/>
        <v>0</v>
      </c>
    </row>
    <row r="24" spans="2:64" x14ac:dyDescent="0.2">
      <c r="B24" s="16">
        <v>37257</v>
      </c>
      <c r="C24" s="2">
        <v>24</v>
      </c>
      <c r="D24" s="4">
        <v>22</v>
      </c>
      <c r="E24" s="3">
        <f t="shared" si="4"/>
        <v>8448</v>
      </c>
      <c r="F24" s="3"/>
      <c r="G24" s="15">
        <v>28.5</v>
      </c>
      <c r="H24" s="15">
        <v>29.4</v>
      </c>
      <c r="I24" s="17">
        <f>H24*D24</f>
        <v>646.79999999999995</v>
      </c>
      <c r="J24" s="7">
        <f t="shared" si="1"/>
        <v>0.89999999999999858</v>
      </c>
      <c r="K24" s="66"/>
      <c r="L24" s="38">
        <f>E24*J24</f>
        <v>7603.199999999988</v>
      </c>
      <c r="N24" s="5" t="s">
        <v>57</v>
      </c>
      <c r="O24" s="15">
        <f>I36/D36</f>
        <v>33.165490196078437</v>
      </c>
      <c r="Q24" s="16">
        <v>37257</v>
      </c>
      <c r="AK24" s="21"/>
      <c r="AL24" s="22">
        <f t="shared" si="5"/>
        <v>0</v>
      </c>
      <c r="AM24" s="24">
        <f t="shared" si="2"/>
        <v>0</v>
      </c>
      <c r="AN24" s="41"/>
      <c r="AO24" s="16">
        <v>37257</v>
      </c>
      <c r="AP24">
        <v>32.85</v>
      </c>
      <c r="AQ24">
        <v>32.85</v>
      </c>
      <c r="BD24" s="40"/>
      <c r="BJ24" s="21"/>
      <c r="BK24">
        <f t="shared" si="6"/>
        <v>2</v>
      </c>
      <c r="BL24" s="24">
        <f t="shared" si="3"/>
        <v>121440.0000000001</v>
      </c>
    </row>
    <row r="25" spans="2:64" x14ac:dyDescent="0.2">
      <c r="B25" s="16">
        <v>37288</v>
      </c>
      <c r="C25" s="2">
        <v>24</v>
      </c>
      <c r="D25" s="4">
        <v>20</v>
      </c>
      <c r="E25" s="3">
        <f t="shared" si="4"/>
        <v>7680</v>
      </c>
      <c r="F25" s="3"/>
      <c r="G25" s="15">
        <v>28.5</v>
      </c>
      <c r="H25" s="15">
        <v>29.4</v>
      </c>
      <c r="I25" s="17">
        <f t="shared" ref="I25:I35" si="7">H25*D25</f>
        <v>588</v>
      </c>
      <c r="J25" s="7">
        <f t="shared" si="1"/>
        <v>0.89999999999999858</v>
      </c>
      <c r="L25" s="38">
        <f>E25*J25</f>
        <v>6911.9999999999891</v>
      </c>
      <c r="O25">
        <v>52.75</v>
      </c>
      <c r="P25" s="15"/>
      <c r="Q25" s="16">
        <v>37288</v>
      </c>
      <c r="AK25" s="21"/>
      <c r="AL25" s="22">
        <f t="shared" si="5"/>
        <v>0</v>
      </c>
      <c r="AM25" s="24">
        <f t="shared" si="2"/>
        <v>0</v>
      </c>
      <c r="AN25" s="41"/>
      <c r="AO25" s="16">
        <v>37288</v>
      </c>
      <c r="AP25">
        <v>32.85</v>
      </c>
      <c r="AQ25">
        <v>32.85</v>
      </c>
      <c r="BD25" s="40"/>
      <c r="BJ25" s="21"/>
      <c r="BK25">
        <f t="shared" si="6"/>
        <v>2</v>
      </c>
      <c r="BL25" s="24">
        <f t="shared" si="3"/>
        <v>110400.00000000009</v>
      </c>
    </row>
    <row r="26" spans="2:64" x14ac:dyDescent="0.2">
      <c r="B26" s="64">
        <v>37316</v>
      </c>
      <c r="C26" s="2">
        <v>253</v>
      </c>
      <c r="D26" s="4">
        <v>21</v>
      </c>
      <c r="E26" s="3">
        <f t="shared" si="4"/>
        <v>85008</v>
      </c>
      <c r="F26" s="3"/>
      <c r="G26" s="15">
        <v>27</v>
      </c>
      <c r="H26" s="15">
        <v>27.5</v>
      </c>
      <c r="I26" s="17">
        <f t="shared" si="7"/>
        <v>577.5</v>
      </c>
      <c r="J26" s="7">
        <f t="shared" si="1"/>
        <v>0.5</v>
      </c>
      <c r="L26" s="38">
        <f t="shared" ref="L26:L49" si="8">E26*J26</f>
        <v>42504</v>
      </c>
      <c r="N26" s="5" t="s">
        <v>58</v>
      </c>
      <c r="O26" s="15">
        <v>34.25</v>
      </c>
      <c r="Q26" s="16">
        <v>37316</v>
      </c>
      <c r="AA26" s="60"/>
      <c r="AK26" s="21"/>
      <c r="AL26" s="22">
        <f t="shared" si="5"/>
        <v>0</v>
      </c>
      <c r="AM26" s="24">
        <f t="shared" si="2"/>
        <v>0</v>
      </c>
      <c r="AN26" s="41"/>
      <c r="AO26" s="16">
        <v>37316</v>
      </c>
      <c r="AY26" s="60"/>
      <c r="AZ26" s="40"/>
      <c r="BA26" s="40"/>
      <c r="BB26" s="40"/>
      <c r="BC26" s="40"/>
      <c r="BD26" s="40"/>
      <c r="BJ26" s="21"/>
      <c r="BK26">
        <f t="shared" si="6"/>
        <v>0</v>
      </c>
      <c r="BL26" s="24">
        <f t="shared" si="3"/>
        <v>0</v>
      </c>
    </row>
    <row r="27" spans="2:64" x14ac:dyDescent="0.2">
      <c r="B27" s="64">
        <v>37347</v>
      </c>
      <c r="C27" s="2">
        <v>253</v>
      </c>
      <c r="D27" s="4">
        <v>22</v>
      </c>
      <c r="E27" s="3">
        <f t="shared" si="4"/>
        <v>89056</v>
      </c>
      <c r="F27" s="3"/>
      <c r="G27" s="15">
        <v>27</v>
      </c>
      <c r="H27" s="15">
        <v>27.5</v>
      </c>
      <c r="I27" s="17">
        <f t="shared" si="7"/>
        <v>605</v>
      </c>
      <c r="J27" s="7">
        <f t="shared" si="1"/>
        <v>0.5</v>
      </c>
      <c r="L27" s="38">
        <f t="shared" si="8"/>
        <v>44528</v>
      </c>
      <c r="N27" s="5" t="s">
        <v>59</v>
      </c>
      <c r="O27" s="15">
        <f>((O25*204)+(O26*234))/438</f>
        <v>42.86643835616438</v>
      </c>
      <c r="P27" s="15"/>
      <c r="Q27" s="16">
        <v>37347</v>
      </c>
      <c r="AA27" s="60"/>
      <c r="AK27" s="21"/>
      <c r="AL27" s="22">
        <f t="shared" si="5"/>
        <v>0</v>
      </c>
      <c r="AM27" s="24">
        <f t="shared" si="2"/>
        <v>0</v>
      </c>
      <c r="AN27" s="41"/>
      <c r="AO27" s="16">
        <v>37347</v>
      </c>
      <c r="AY27" s="60"/>
      <c r="AZ27" s="40"/>
      <c r="BA27" s="40"/>
      <c r="BB27" s="40"/>
      <c r="BC27" s="40"/>
      <c r="BD27" s="40"/>
      <c r="BJ27" s="21"/>
      <c r="BK27">
        <f t="shared" si="6"/>
        <v>0</v>
      </c>
      <c r="BL27" s="24">
        <f t="shared" si="3"/>
        <v>0</v>
      </c>
    </row>
    <row r="28" spans="2:64" x14ac:dyDescent="0.2">
      <c r="B28" s="16">
        <v>37377</v>
      </c>
      <c r="C28" s="2">
        <v>-150</v>
      </c>
      <c r="D28" s="4">
        <v>22</v>
      </c>
      <c r="E28" s="3">
        <f t="shared" si="4"/>
        <v>-52800</v>
      </c>
      <c r="F28" s="3"/>
      <c r="G28" s="15">
        <v>30</v>
      </c>
      <c r="H28" s="15">
        <v>30.25</v>
      </c>
      <c r="I28" s="17">
        <f t="shared" si="7"/>
        <v>665.5</v>
      </c>
      <c r="J28" s="7">
        <f t="shared" si="1"/>
        <v>0.25</v>
      </c>
      <c r="L28" s="38">
        <f t="shared" si="8"/>
        <v>-13200</v>
      </c>
      <c r="O28" s="6"/>
      <c r="Q28" s="16">
        <v>37377</v>
      </c>
      <c r="AA28" s="60"/>
      <c r="AK28" s="21"/>
      <c r="AL28" s="22">
        <f t="shared" si="5"/>
        <v>0</v>
      </c>
      <c r="AM28" s="24">
        <f t="shared" si="2"/>
        <v>0</v>
      </c>
      <c r="AN28" s="41"/>
      <c r="AO28" s="16">
        <v>37377</v>
      </c>
      <c r="AY28" s="60"/>
      <c r="AZ28" s="40"/>
      <c r="BA28" s="40"/>
      <c r="BB28" s="40"/>
      <c r="BC28" s="40"/>
      <c r="BD28" s="40"/>
      <c r="BJ28" s="21"/>
      <c r="BK28">
        <f t="shared" si="6"/>
        <v>0</v>
      </c>
      <c r="BL28" s="24">
        <f t="shared" si="3"/>
        <v>0</v>
      </c>
    </row>
    <row r="29" spans="2:64" x14ac:dyDescent="0.2">
      <c r="B29" s="16">
        <v>37408</v>
      </c>
      <c r="C29" s="2">
        <v>-200</v>
      </c>
      <c r="D29" s="4">
        <v>20</v>
      </c>
      <c r="E29" s="3">
        <f t="shared" si="4"/>
        <v>-64000</v>
      </c>
      <c r="F29" s="3"/>
      <c r="G29" s="15">
        <v>39.75</v>
      </c>
      <c r="H29" s="15">
        <v>40.25</v>
      </c>
      <c r="I29" s="17">
        <f t="shared" si="7"/>
        <v>805</v>
      </c>
      <c r="J29" s="7">
        <f t="shared" si="1"/>
        <v>0.5</v>
      </c>
      <c r="L29" s="38">
        <f t="shared" si="8"/>
        <v>-32000</v>
      </c>
      <c r="N29" s="5"/>
      <c r="O29" s="13"/>
      <c r="P29" s="15"/>
      <c r="Q29" s="16">
        <v>37408</v>
      </c>
      <c r="AA29" s="60"/>
      <c r="AK29" s="21"/>
      <c r="AL29" s="22">
        <f t="shared" si="5"/>
        <v>0</v>
      </c>
      <c r="AM29" s="24">
        <f t="shared" si="2"/>
        <v>0</v>
      </c>
      <c r="AN29" s="41"/>
      <c r="AO29" s="16">
        <v>37408</v>
      </c>
      <c r="AY29" s="60"/>
      <c r="AZ29" s="40"/>
      <c r="BA29" s="40"/>
      <c r="BB29" s="40"/>
      <c r="BC29" s="40"/>
      <c r="BD29" s="40"/>
      <c r="BJ29" s="21"/>
      <c r="BK29">
        <f t="shared" si="6"/>
        <v>0</v>
      </c>
      <c r="BL29" s="24">
        <f t="shared" si="3"/>
        <v>0</v>
      </c>
    </row>
    <row r="30" spans="2:64" x14ac:dyDescent="0.2">
      <c r="B30" s="16">
        <v>37438</v>
      </c>
      <c r="C30" s="2">
        <v>-750</v>
      </c>
      <c r="D30" s="4">
        <v>22</v>
      </c>
      <c r="E30" s="3">
        <f t="shared" si="4"/>
        <v>-264000</v>
      </c>
      <c r="F30" s="3"/>
      <c r="G30" s="15">
        <v>52</v>
      </c>
      <c r="H30" s="15">
        <v>53.25</v>
      </c>
      <c r="I30" s="17">
        <f t="shared" si="7"/>
        <v>1171.5</v>
      </c>
      <c r="J30" s="7">
        <f t="shared" si="1"/>
        <v>1.25</v>
      </c>
      <c r="L30" s="38">
        <f t="shared" si="8"/>
        <v>-330000</v>
      </c>
      <c r="O30" s="6"/>
      <c r="Q30" s="16">
        <v>37438</v>
      </c>
      <c r="AK30" s="21"/>
      <c r="AL30" s="22">
        <f t="shared" si="5"/>
        <v>0</v>
      </c>
      <c r="AM30" s="24">
        <f t="shared" si="2"/>
        <v>0</v>
      </c>
      <c r="AN30" s="41"/>
      <c r="AO30" s="16">
        <v>37438</v>
      </c>
      <c r="BA30" s="40"/>
      <c r="BB30" s="40"/>
      <c r="BC30" s="40"/>
      <c r="BD30" s="40"/>
      <c r="BJ30" s="21"/>
      <c r="BK30">
        <f t="shared" si="6"/>
        <v>0</v>
      </c>
      <c r="BL30" s="24">
        <f t="shared" si="3"/>
        <v>0</v>
      </c>
    </row>
    <row r="31" spans="2:64" x14ac:dyDescent="0.2">
      <c r="B31" s="16">
        <v>37469</v>
      </c>
      <c r="C31" s="2">
        <v>-750</v>
      </c>
      <c r="D31" s="4">
        <v>22</v>
      </c>
      <c r="E31" s="3">
        <f t="shared" ref="E31:E68" si="9">C31*D31*16</f>
        <v>-264000</v>
      </c>
      <c r="F31" s="3"/>
      <c r="G31" s="15">
        <v>52</v>
      </c>
      <c r="H31" s="15">
        <v>53.25</v>
      </c>
      <c r="I31" s="17">
        <f t="shared" si="7"/>
        <v>1171.5</v>
      </c>
      <c r="J31" s="7">
        <f t="shared" si="1"/>
        <v>1.25</v>
      </c>
      <c r="L31" s="38">
        <f t="shared" si="8"/>
        <v>-330000</v>
      </c>
      <c r="O31" s="5"/>
      <c r="Q31" s="16">
        <v>37469</v>
      </c>
      <c r="AK31" s="21"/>
      <c r="AL31" s="22">
        <f t="shared" si="5"/>
        <v>0</v>
      </c>
      <c r="AM31" s="24">
        <f t="shared" si="2"/>
        <v>0</v>
      </c>
      <c r="AN31" s="41"/>
      <c r="AO31" s="16">
        <v>37469</v>
      </c>
      <c r="BA31" s="40"/>
      <c r="BB31" s="40"/>
      <c r="BC31" s="40"/>
      <c r="BD31" s="40"/>
      <c r="BJ31" s="21"/>
      <c r="BK31">
        <f t="shared" si="6"/>
        <v>0</v>
      </c>
      <c r="BL31" s="24">
        <f t="shared" si="3"/>
        <v>0</v>
      </c>
    </row>
    <row r="32" spans="2:64" x14ac:dyDescent="0.2">
      <c r="B32" s="16">
        <v>37500</v>
      </c>
      <c r="C32" s="2">
        <v>650</v>
      </c>
      <c r="D32" s="4">
        <v>20</v>
      </c>
      <c r="E32" s="3">
        <f t="shared" si="9"/>
        <v>208000</v>
      </c>
      <c r="F32" s="3"/>
      <c r="G32" s="15">
        <v>27</v>
      </c>
      <c r="H32" s="15">
        <v>27</v>
      </c>
      <c r="I32" s="17">
        <f t="shared" si="7"/>
        <v>540</v>
      </c>
      <c r="J32" s="7">
        <f t="shared" si="1"/>
        <v>0</v>
      </c>
      <c r="L32" s="38">
        <f t="shared" si="8"/>
        <v>0</v>
      </c>
      <c r="N32" s="5"/>
      <c r="O32" s="6"/>
      <c r="Q32" s="16">
        <v>37500</v>
      </c>
      <c r="AK32" s="21"/>
      <c r="AL32" s="22">
        <f t="shared" si="5"/>
        <v>0</v>
      </c>
      <c r="AM32" s="24">
        <f t="shared" si="2"/>
        <v>0</v>
      </c>
      <c r="AN32" s="41"/>
      <c r="AO32" s="16">
        <v>37500</v>
      </c>
      <c r="AY32" s="60"/>
      <c r="AZ32" s="40"/>
      <c r="BA32" s="40"/>
      <c r="BB32" s="40"/>
      <c r="BC32" s="40"/>
      <c r="BD32" s="40"/>
      <c r="BJ32" s="21"/>
      <c r="BK32">
        <f t="shared" si="6"/>
        <v>0</v>
      </c>
      <c r="BL32" s="24">
        <f t="shared" si="3"/>
        <v>0</v>
      </c>
    </row>
    <row r="33" spans="2:64" x14ac:dyDescent="0.2">
      <c r="B33" s="16">
        <v>37530</v>
      </c>
      <c r="C33" s="2">
        <v>2700</v>
      </c>
      <c r="D33" s="4">
        <v>23</v>
      </c>
      <c r="E33" s="3">
        <f t="shared" si="9"/>
        <v>993600</v>
      </c>
      <c r="F33" s="3"/>
      <c r="G33" s="15">
        <v>26.75</v>
      </c>
      <c r="H33" s="15">
        <v>26.35</v>
      </c>
      <c r="I33" s="17">
        <f t="shared" si="7"/>
        <v>606.05000000000007</v>
      </c>
      <c r="J33" s="7">
        <f t="shared" si="1"/>
        <v>-0.39999999999999858</v>
      </c>
      <c r="L33" s="38">
        <f t="shared" si="8"/>
        <v>-397439.9999999986</v>
      </c>
      <c r="N33" s="5"/>
      <c r="O33" s="13"/>
      <c r="Q33" s="16">
        <v>37530</v>
      </c>
      <c r="AA33" s="60"/>
      <c r="AK33" s="21"/>
      <c r="AL33" s="22">
        <f t="shared" si="5"/>
        <v>0</v>
      </c>
      <c r="AM33" s="24">
        <f t="shared" si="2"/>
        <v>0</v>
      </c>
      <c r="AN33" s="41"/>
      <c r="AO33" s="16">
        <v>37530</v>
      </c>
      <c r="AY33" s="60"/>
      <c r="AZ33" s="40"/>
      <c r="BA33" s="40"/>
      <c r="BB33" s="40"/>
      <c r="BC33" s="40"/>
      <c r="BD33" s="40"/>
      <c r="BJ33" s="21"/>
      <c r="BK33">
        <f t="shared" si="6"/>
        <v>0</v>
      </c>
      <c r="BL33" s="24">
        <f t="shared" si="3"/>
        <v>0</v>
      </c>
    </row>
    <row r="34" spans="2:64" x14ac:dyDescent="0.2">
      <c r="B34" s="16">
        <v>37561</v>
      </c>
      <c r="C34" s="2">
        <v>2700</v>
      </c>
      <c r="D34" s="4">
        <v>20</v>
      </c>
      <c r="E34" s="3">
        <f t="shared" si="9"/>
        <v>864000</v>
      </c>
      <c r="F34" s="3"/>
      <c r="G34" s="15">
        <v>26.75</v>
      </c>
      <c r="H34" s="15">
        <v>26.35</v>
      </c>
      <c r="I34" s="17">
        <f t="shared" si="7"/>
        <v>527</v>
      </c>
      <c r="J34" s="7">
        <f t="shared" si="1"/>
        <v>-0.39999999999999858</v>
      </c>
      <c r="L34" s="38">
        <f t="shared" si="8"/>
        <v>-345599.99999999878</v>
      </c>
      <c r="N34" s="5"/>
      <c r="O34" s="6"/>
      <c r="Q34" s="16">
        <v>37561</v>
      </c>
      <c r="AA34" s="60"/>
      <c r="AK34" s="21"/>
      <c r="AL34" s="22">
        <f t="shared" si="5"/>
        <v>0</v>
      </c>
      <c r="AM34" s="24">
        <f t="shared" si="2"/>
        <v>0</v>
      </c>
      <c r="AN34" s="41"/>
      <c r="AO34" s="16">
        <v>37561</v>
      </c>
      <c r="AY34" s="60"/>
      <c r="AZ34" s="40"/>
      <c r="BA34" s="40"/>
      <c r="BB34" s="40"/>
      <c r="BC34" s="40"/>
      <c r="BD34" s="40"/>
      <c r="BJ34" s="21"/>
      <c r="BK34">
        <f t="shared" si="6"/>
        <v>0</v>
      </c>
      <c r="BL34" s="24">
        <f t="shared" si="3"/>
        <v>0</v>
      </c>
    </row>
    <row r="35" spans="2:64" x14ac:dyDescent="0.2">
      <c r="B35" s="16">
        <v>37591</v>
      </c>
      <c r="C35" s="2">
        <v>2700</v>
      </c>
      <c r="D35" s="4">
        <v>21</v>
      </c>
      <c r="E35" s="3">
        <f t="shared" si="9"/>
        <v>907200</v>
      </c>
      <c r="F35" s="3"/>
      <c r="G35" s="15">
        <v>26.75</v>
      </c>
      <c r="H35" s="15">
        <v>26.35</v>
      </c>
      <c r="I35" s="17">
        <f t="shared" si="7"/>
        <v>553.35</v>
      </c>
      <c r="J35" s="7">
        <f t="shared" si="1"/>
        <v>-0.39999999999999858</v>
      </c>
      <c r="L35" s="38">
        <f t="shared" si="8"/>
        <v>-362879.99999999872</v>
      </c>
      <c r="N35" s="5"/>
      <c r="O35" s="13"/>
      <c r="Q35" s="16">
        <v>37591</v>
      </c>
      <c r="AA35" s="60"/>
      <c r="AK35" s="21"/>
      <c r="AL35" s="22">
        <f t="shared" si="5"/>
        <v>0</v>
      </c>
      <c r="AM35" s="24">
        <f t="shared" si="2"/>
        <v>0</v>
      </c>
      <c r="AN35" s="41"/>
      <c r="AO35" s="16">
        <v>37591</v>
      </c>
      <c r="AY35" s="60"/>
      <c r="AZ35" s="40"/>
      <c r="BA35" s="40"/>
      <c r="BB35" s="40"/>
      <c r="BC35" s="40"/>
      <c r="BD35" s="40"/>
      <c r="BJ35" s="21"/>
      <c r="BK35">
        <f t="shared" si="6"/>
        <v>0</v>
      </c>
      <c r="BL35" s="24">
        <f t="shared" si="3"/>
        <v>0</v>
      </c>
    </row>
    <row r="36" spans="2:64" x14ac:dyDescent="0.2">
      <c r="C36" s="2"/>
      <c r="D36" s="4">
        <f>SUM(D24:D35)</f>
        <v>255</v>
      </c>
      <c r="E36" s="3"/>
      <c r="F36" s="3"/>
      <c r="G36" s="15"/>
      <c r="H36" s="15"/>
      <c r="I36" s="17">
        <f>SUM(I24:I35)</f>
        <v>8457.2000000000007</v>
      </c>
      <c r="J36" s="7"/>
      <c r="L36" s="38"/>
      <c r="O36" s="6"/>
      <c r="AA36" s="60"/>
      <c r="AK36" s="21"/>
      <c r="AL36" s="22">
        <f t="shared" si="5"/>
        <v>0</v>
      </c>
      <c r="AM36" s="24">
        <f t="shared" si="2"/>
        <v>0</v>
      </c>
      <c r="AN36" s="41"/>
      <c r="AO36" s="41"/>
      <c r="AY36" s="60"/>
      <c r="AZ36" s="40"/>
      <c r="BA36" s="40"/>
      <c r="BB36" s="40"/>
      <c r="BC36" s="40"/>
      <c r="BD36" s="40"/>
      <c r="BJ36" s="21"/>
      <c r="BK36">
        <f t="shared" si="6"/>
        <v>0</v>
      </c>
      <c r="BL36" s="24">
        <f t="shared" si="3"/>
        <v>0</v>
      </c>
    </row>
    <row r="37" spans="2:64" ht="7.5" customHeight="1" x14ac:dyDescent="0.2">
      <c r="C37" s="2"/>
      <c r="D37" s="4"/>
      <c r="E37" s="3"/>
      <c r="F37" s="3"/>
      <c r="G37" s="15"/>
      <c r="H37" s="15"/>
      <c r="I37" s="17"/>
      <c r="J37" s="7"/>
      <c r="L37" s="38"/>
      <c r="O37" s="6"/>
      <c r="AA37" s="60"/>
      <c r="AK37" s="21"/>
      <c r="AL37" s="22">
        <f t="shared" si="5"/>
        <v>0</v>
      </c>
      <c r="AM37" s="24">
        <f t="shared" si="2"/>
        <v>0</v>
      </c>
      <c r="AN37" s="41"/>
      <c r="AO37" s="41"/>
      <c r="AY37" s="60"/>
      <c r="AZ37" s="40"/>
      <c r="BA37" s="40"/>
      <c r="BB37" s="40"/>
      <c r="BC37" s="40"/>
      <c r="BD37" s="40"/>
      <c r="BJ37" s="21"/>
      <c r="BK37">
        <f t="shared" si="6"/>
        <v>0</v>
      </c>
      <c r="BL37" s="24">
        <f t="shared" si="3"/>
        <v>0</v>
      </c>
    </row>
    <row r="38" spans="2:64" x14ac:dyDescent="0.2">
      <c r="B38" s="16">
        <v>37622</v>
      </c>
      <c r="C38" s="2">
        <v>-250</v>
      </c>
      <c r="D38" s="4">
        <v>22</v>
      </c>
      <c r="E38" s="3">
        <f t="shared" si="9"/>
        <v>-88000</v>
      </c>
      <c r="F38" s="3"/>
      <c r="G38" s="15">
        <v>30.5</v>
      </c>
      <c r="H38" s="15">
        <v>30.75</v>
      </c>
      <c r="I38" s="17">
        <f>H38*D38</f>
        <v>676.5</v>
      </c>
      <c r="J38" s="7">
        <f t="shared" ref="J38:J49" si="10">H38-G38</f>
        <v>0.25</v>
      </c>
      <c r="L38" s="38">
        <f t="shared" si="8"/>
        <v>-22000</v>
      </c>
      <c r="N38" s="5" t="s">
        <v>74</v>
      </c>
      <c r="O38" s="15">
        <f>I50/D50</f>
        <v>34.028431372549022</v>
      </c>
      <c r="Q38" s="16">
        <v>37622</v>
      </c>
      <c r="AA38" s="60"/>
      <c r="AK38" s="21"/>
      <c r="AL38" s="22">
        <f t="shared" si="5"/>
        <v>0</v>
      </c>
      <c r="AM38" s="24">
        <f t="shared" si="2"/>
        <v>0</v>
      </c>
      <c r="AN38" s="41"/>
      <c r="AO38" s="16">
        <v>37622</v>
      </c>
      <c r="AY38" s="60"/>
      <c r="AZ38" s="40"/>
      <c r="BA38" s="40"/>
      <c r="BB38" s="40"/>
      <c r="BC38" s="40"/>
      <c r="BD38" s="40"/>
      <c r="BJ38" s="21"/>
      <c r="BK38">
        <f t="shared" si="6"/>
        <v>0</v>
      </c>
      <c r="BL38" s="24">
        <f t="shared" si="3"/>
        <v>0</v>
      </c>
    </row>
    <row r="39" spans="2:64" x14ac:dyDescent="0.2">
      <c r="B39" s="16">
        <v>37653</v>
      </c>
      <c r="C39" s="2">
        <v>-250</v>
      </c>
      <c r="D39" s="4">
        <v>20</v>
      </c>
      <c r="E39" s="3">
        <f t="shared" si="9"/>
        <v>-80000</v>
      </c>
      <c r="F39" s="3"/>
      <c r="G39" s="15">
        <v>30.5</v>
      </c>
      <c r="H39" s="15">
        <v>30.75</v>
      </c>
      <c r="I39" s="17">
        <f t="shared" ref="I39:I49" si="11">H39*D39</f>
        <v>615</v>
      </c>
      <c r="J39" s="7">
        <f t="shared" si="10"/>
        <v>0.25</v>
      </c>
      <c r="L39" s="38">
        <f t="shared" si="8"/>
        <v>-20000</v>
      </c>
      <c r="Q39" s="16">
        <v>37653</v>
      </c>
      <c r="AA39" s="60"/>
      <c r="AK39" s="21"/>
      <c r="AL39" s="22">
        <f t="shared" si="5"/>
        <v>0</v>
      </c>
      <c r="AM39" s="24">
        <f t="shared" si="2"/>
        <v>0</v>
      </c>
      <c r="AN39" s="41"/>
      <c r="AO39" s="16">
        <v>37653</v>
      </c>
      <c r="AY39" s="60"/>
      <c r="AZ39" s="40"/>
      <c r="BA39" s="40"/>
      <c r="BB39" s="40"/>
      <c r="BC39" s="40"/>
      <c r="BD39" s="40"/>
      <c r="BJ39" s="21"/>
      <c r="BK39">
        <f t="shared" si="6"/>
        <v>0</v>
      </c>
      <c r="BL39" s="24">
        <f t="shared" si="3"/>
        <v>0</v>
      </c>
    </row>
    <row r="40" spans="2:64" x14ac:dyDescent="0.2">
      <c r="B40" s="64">
        <v>37681</v>
      </c>
      <c r="C40" s="2">
        <v>-250</v>
      </c>
      <c r="D40" s="4">
        <v>21</v>
      </c>
      <c r="E40" s="3">
        <f t="shared" si="9"/>
        <v>-84000</v>
      </c>
      <c r="F40" s="3"/>
      <c r="G40" s="15">
        <v>29</v>
      </c>
      <c r="H40" s="15">
        <v>29</v>
      </c>
      <c r="I40" s="17">
        <f t="shared" si="11"/>
        <v>609</v>
      </c>
      <c r="J40" s="7">
        <f t="shared" si="10"/>
        <v>0</v>
      </c>
      <c r="L40" s="38">
        <f t="shared" si="8"/>
        <v>0</v>
      </c>
      <c r="N40" s="5"/>
      <c r="O40" s="15"/>
      <c r="Q40" s="16">
        <v>37681</v>
      </c>
      <c r="AA40" s="60"/>
      <c r="AK40" s="21"/>
      <c r="AL40" s="22">
        <f t="shared" si="5"/>
        <v>0</v>
      </c>
      <c r="AM40" s="24">
        <f t="shared" si="2"/>
        <v>0</v>
      </c>
      <c r="AN40" s="41"/>
      <c r="AO40" s="16">
        <v>37681</v>
      </c>
      <c r="AY40" s="60"/>
      <c r="AZ40" s="40"/>
      <c r="BA40" s="40"/>
      <c r="BB40" s="40"/>
      <c r="BC40" s="40"/>
      <c r="BD40" s="40"/>
      <c r="BJ40" s="21"/>
      <c r="BK40">
        <f t="shared" si="6"/>
        <v>0</v>
      </c>
      <c r="BL40" s="24">
        <f t="shared" si="3"/>
        <v>0</v>
      </c>
    </row>
    <row r="41" spans="2:64" x14ac:dyDescent="0.2">
      <c r="B41" s="64">
        <v>37712</v>
      </c>
      <c r="C41" s="2">
        <v>-250</v>
      </c>
      <c r="D41" s="4">
        <v>22</v>
      </c>
      <c r="E41" s="3">
        <f t="shared" si="9"/>
        <v>-88000</v>
      </c>
      <c r="F41" s="3"/>
      <c r="G41" s="15">
        <v>29</v>
      </c>
      <c r="H41" s="15">
        <v>29</v>
      </c>
      <c r="I41" s="17">
        <f t="shared" si="11"/>
        <v>638</v>
      </c>
      <c r="J41" s="7">
        <f t="shared" si="10"/>
        <v>0</v>
      </c>
      <c r="L41" s="38">
        <f t="shared" si="8"/>
        <v>0</v>
      </c>
      <c r="Q41" s="16">
        <v>37712</v>
      </c>
      <c r="AA41" s="60"/>
      <c r="AK41" s="21"/>
      <c r="AL41" s="22">
        <f t="shared" si="5"/>
        <v>0</v>
      </c>
      <c r="AM41" s="24">
        <f t="shared" si="2"/>
        <v>0</v>
      </c>
      <c r="AN41" s="41"/>
      <c r="AO41" s="16">
        <v>37712</v>
      </c>
      <c r="AY41" s="60"/>
      <c r="AZ41" s="40"/>
      <c r="BA41" s="40"/>
      <c r="BB41" s="40"/>
      <c r="BC41" s="40"/>
      <c r="BD41" s="40"/>
      <c r="BJ41" s="21"/>
      <c r="BK41">
        <f t="shared" si="6"/>
        <v>0</v>
      </c>
      <c r="BL41" s="24">
        <f t="shared" si="3"/>
        <v>0</v>
      </c>
    </row>
    <row r="42" spans="2:64" x14ac:dyDescent="0.2">
      <c r="B42" s="16">
        <v>37742</v>
      </c>
      <c r="C42" s="2">
        <v>-400</v>
      </c>
      <c r="D42" s="4">
        <v>21</v>
      </c>
      <c r="E42" s="3">
        <f t="shared" si="9"/>
        <v>-134400</v>
      </c>
      <c r="F42" s="3"/>
      <c r="G42" s="15">
        <v>30.25</v>
      </c>
      <c r="H42" s="15">
        <v>31</v>
      </c>
      <c r="I42" s="17">
        <f t="shared" si="11"/>
        <v>651</v>
      </c>
      <c r="J42" s="7">
        <f t="shared" si="10"/>
        <v>0.75</v>
      </c>
      <c r="L42" s="38">
        <f t="shared" si="8"/>
        <v>-100800</v>
      </c>
      <c r="Q42" s="16">
        <v>37742</v>
      </c>
      <c r="AA42" s="60"/>
      <c r="AK42" s="21"/>
      <c r="AL42" s="22">
        <f t="shared" si="5"/>
        <v>0</v>
      </c>
      <c r="AM42" s="24">
        <f t="shared" si="2"/>
        <v>0</v>
      </c>
      <c r="AN42" s="41"/>
      <c r="AO42" s="16">
        <v>37742</v>
      </c>
      <c r="AY42" s="60"/>
      <c r="AZ42" s="40"/>
      <c r="BA42" s="40"/>
      <c r="BB42" s="40"/>
      <c r="BC42" s="40"/>
      <c r="BD42" s="40"/>
      <c r="BJ42" s="21"/>
      <c r="BK42">
        <f t="shared" si="6"/>
        <v>0</v>
      </c>
      <c r="BL42" s="24">
        <f t="shared" si="3"/>
        <v>0</v>
      </c>
    </row>
    <row r="43" spans="2:64" x14ac:dyDescent="0.2">
      <c r="B43" s="16">
        <v>37773</v>
      </c>
      <c r="C43" s="2">
        <v>-400</v>
      </c>
      <c r="D43" s="4">
        <v>21</v>
      </c>
      <c r="E43" s="3">
        <f t="shared" si="9"/>
        <v>-134400</v>
      </c>
      <c r="F43" s="3"/>
      <c r="G43" s="15">
        <v>40.25</v>
      </c>
      <c r="H43" s="15">
        <v>40</v>
      </c>
      <c r="I43" s="17">
        <f t="shared" si="11"/>
        <v>840</v>
      </c>
      <c r="J43" s="7">
        <f t="shared" si="10"/>
        <v>-0.25</v>
      </c>
      <c r="L43" s="38">
        <f t="shared" si="8"/>
        <v>33600</v>
      </c>
      <c r="O43" s="15"/>
      <c r="Q43" s="16">
        <v>37773</v>
      </c>
      <c r="AA43" s="60"/>
      <c r="AK43" s="21"/>
      <c r="AL43" s="22">
        <f t="shared" si="5"/>
        <v>0</v>
      </c>
      <c r="AM43" s="24">
        <f t="shared" si="2"/>
        <v>0</v>
      </c>
      <c r="AN43" s="41"/>
      <c r="AO43" s="16">
        <v>37773</v>
      </c>
      <c r="AY43" s="60"/>
      <c r="AZ43" s="40"/>
      <c r="BA43" s="40"/>
      <c r="BB43" s="40"/>
      <c r="BC43" s="40"/>
      <c r="BD43" s="40"/>
      <c r="BJ43" s="21"/>
      <c r="BK43">
        <f t="shared" si="6"/>
        <v>0</v>
      </c>
      <c r="BL43" s="24">
        <f t="shared" si="3"/>
        <v>0</v>
      </c>
    </row>
    <row r="44" spans="2:64" x14ac:dyDescent="0.2">
      <c r="B44" s="16">
        <v>37803</v>
      </c>
      <c r="C44" s="2">
        <v>100</v>
      </c>
      <c r="D44" s="4">
        <v>22</v>
      </c>
      <c r="E44" s="3">
        <f t="shared" si="9"/>
        <v>35200</v>
      </c>
      <c r="F44" s="3"/>
      <c r="G44" s="15">
        <v>50</v>
      </c>
      <c r="H44" s="15">
        <v>51.75</v>
      </c>
      <c r="I44" s="17">
        <f t="shared" si="11"/>
        <v>1138.5</v>
      </c>
      <c r="J44" s="7">
        <f t="shared" si="10"/>
        <v>1.75</v>
      </c>
      <c r="L44" s="38">
        <f t="shared" si="8"/>
        <v>61600</v>
      </c>
      <c r="O44" s="15"/>
      <c r="Q44" s="16">
        <v>37803</v>
      </c>
      <c r="AK44" s="21"/>
      <c r="AL44" s="22">
        <f t="shared" si="5"/>
        <v>0</v>
      </c>
      <c r="AM44" s="24">
        <f t="shared" si="2"/>
        <v>0</v>
      </c>
      <c r="AN44" s="41"/>
      <c r="AO44" s="16">
        <v>37803</v>
      </c>
      <c r="AY44" s="60"/>
      <c r="AZ44" s="40"/>
      <c r="BA44" s="40"/>
      <c r="BB44" s="40"/>
      <c r="BC44" s="40"/>
      <c r="BD44" s="40"/>
      <c r="BJ44" s="21"/>
      <c r="BK44">
        <f t="shared" si="6"/>
        <v>0</v>
      </c>
      <c r="BL44" s="24">
        <f t="shared" si="3"/>
        <v>0</v>
      </c>
    </row>
    <row r="45" spans="2:64" x14ac:dyDescent="0.2">
      <c r="B45" s="16">
        <v>37834</v>
      </c>
      <c r="C45" s="2">
        <v>100</v>
      </c>
      <c r="D45" s="4">
        <v>21</v>
      </c>
      <c r="E45" s="3">
        <f t="shared" si="9"/>
        <v>33600</v>
      </c>
      <c r="F45" s="3"/>
      <c r="G45" s="15">
        <v>50</v>
      </c>
      <c r="H45" s="15">
        <v>51.75</v>
      </c>
      <c r="I45" s="17">
        <f t="shared" si="11"/>
        <v>1086.75</v>
      </c>
      <c r="J45" s="7">
        <f t="shared" si="10"/>
        <v>1.75</v>
      </c>
      <c r="L45" s="38">
        <f t="shared" si="8"/>
        <v>58800</v>
      </c>
      <c r="O45" s="15"/>
      <c r="Q45" s="16">
        <v>37834</v>
      </c>
      <c r="AK45" s="21"/>
      <c r="AL45" s="22">
        <f t="shared" si="5"/>
        <v>0</v>
      </c>
      <c r="AM45" s="24">
        <f t="shared" si="2"/>
        <v>0</v>
      </c>
      <c r="AN45" s="41"/>
      <c r="AO45" s="16">
        <v>37834</v>
      </c>
      <c r="AY45" s="60"/>
      <c r="AZ45" s="40"/>
      <c r="BA45" s="40"/>
      <c r="BB45" s="40"/>
      <c r="BC45" s="40"/>
      <c r="BD45" s="40"/>
      <c r="BJ45" s="21"/>
      <c r="BK45">
        <f t="shared" si="6"/>
        <v>0</v>
      </c>
      <c r="BL45" s="24">
        <f t="shared" si="3"/>
        <v>0</v>
      </c>
    </row>
    <row r="46" spans="2:64" x14ac:dyDescent="0.2">
      <c r="B46" s="16">
        <v>37865</v>
      </c>
      <c r="C46" s="2">
        <v>0</v>
      </c>
      <c r="D46" s="4">
        <v>21</v>
      </c>
      <c r="E46" s="3">
        <f t="shared" si="9"/>
        <v>0</v>
      </c>
      <c r="F46" s="3"/>
      <c r="G46" s="15">
        <v>28.75</v>
      </c>
      <c r="H46" s="15">
        <v>28.5</v>
      </c>
      <c r="I46" s="17">
        <f t="shared" si="11"/>
        <v>598.5</v>
      </c>
      <c r="J46" s="7">
        <f t="shared" si="10"/>
        <v>-0.25</v>
      </c>
      <c r="L46" s="38">
        <f t="shared" si="8"/>
        <v>0</v>
      </c>
      <c r="O46" s="15"/>
      <c r="Q46" s="16">
        <v>37865</v>
      </c>
      <c r="AA46" s="60"/>
      <c r="AK46" s="21"/>
      <c r="AL46" s="22">
        <f t="shared" si="5"/>
        <v>0</v>
      </c>
      <c r="AM46" s="24">
        <f t="shared" si="2"/>
        <v>0</v>
      </c>
      <c r="AN46" s="41"/>
      <c r="AO46" s="16">
        <v>37865</v>
      </c>
      <c r="AY46" s="60"/>
      <c r="AZ46" s="40"/>
      <c r="BA46" s="40"/>
      <c r="BB46" s="40"/>
      <c r="BC46" s="40"/>
      <c r="BD46" s="40"/>
      <c r="BJ46" s="21"/>
      <c r="BK46">
        <f t="shared" si="6"/>
        <v>0</v>
      </c>
      <c r="BL46" s="24">
        <f t="shared" si="3"/>
        <v>0</v>
      </c>
    </row>
    <row r="47" spans="2:64" x14ac:dyDescent="0.2">
      <c r="B47" s="64">
        <v>37895</v>
      </c>
      <c r="C47" s="2">
        <v>-50</v>
      </c>
      <c r="D47" s="4">
        <v>23</v>
      </c>
      <c r="E47" s="3">
        <f t="shared" si="9"/>
        <v>-18400</v>
      </c>
      <c r="F47" s="3"/>
      <c r="G47" s="15">
        <v>28.75</v>
      </c>
      <c r="H47" s="15">
        <v>28.5</v>
      </c>
      <c r="I47" s="17">
        <f t="shared" si="11"/>
        <v>655.5</v>
      </c>
      <c r="J47" s="7">
        <f t="shared" si="10"/>
        <v>-0.25</v>
      </c>
      <c r="L47" s="38">
        <f t="shared" si="8"/>
        <v>4600</v>
      </c>
      <c r="O47" s="15"/>
      <c r="Q47" s="16">
        <v>37895</v>
      </c>
      <c r="AA47" s="60"/>
      <c r="AK47" s="21"/>
      <c r="AL47" s="22">
        <f t="shared" si="5"/>
        <v>0</v>
      </c>
      <c r="AM47" s="24">
        <f t="shared" si="2"/>
        <v>0</v>
      </c>
      <c r="AN47" s="41"/>
      <c r="AO47" s="16">
        <v>37895</v>
      </c>
      <c r="AY47" s="60"/>
      <c r="AZ47" s="40"/>
      <c r="BA47" s="40"/>
      <c r="BB47" s="40"/>
      <c r="BC47" s="40"/>
      <c r="BD47" s="40"/>
      <c r="BJ47" s="21"/>
      <c r="BK47">
        <f t="shared" si="6"/>
        <v>0</v>
      </c>
      <c r="BL47" s="24">
        <f t="shared" si="3"/>
        <v>0</v>
      </c>
    </row>
    <row r="48" spans="2:64" x14ac:dyDescent="0.2">
      <c r="B48" s="64">
        <v>37926</v>
      </c>
      <c r="C48" s="2">
        <v>-50</v>
      </c>
      <c r="D48" s="4">
        <v>19</v>
      </c>
      <c r="E48" s="3">
        <f t="shared" si="9"/>
        <v>-15200</v>
      </c>
      <c r="F48" s="3"/>
      <c r="G48" s="15">
        <v>28.75</v>
      </c>
      <c r="H48" s="15">
        <v>28.5</v>
      </c>
      <c r="I48" s="17">
        <f t="shared" si="11"/>
        <v>541.5</v>
      </c>
      <c r="J48" s="7">
        <f t="shared" si="10"/>
        <v>-0.25</v>
      </c>
      <c r="L48" s="38">
        <f t="shared" si="8"/>
        <v>3800</v>
      </c>
      <c r="O48" s="15"/>
      <c r="Q48" s="16">
        <v>37926</v>
      </c>
      <c r="AA48" s="60"/>
      <c r="AK48" s="21"/>
      <c r="AL48" s="22">
        <f t="shared" si="5"/>
        <v>0</v>
      </c>
      <c r="AM48" s="24">
        <f t="shared" si="2"/>
        <v>0</v>
      </c>
      <c r="AN48" s="41"/>
      <c r="AO48" s="16">
        <v>37926</v>
      </c>
      <c r="AY48" s="60"/>
      <c r="AZ48" s="40"/>
      <c r="BA48" s="40"/>
      <c r="BB48" s="40"/>
      <c r="BC48" s="40"/>
      <c r="BD48" s="40"/>
      <c r="BJ48" s="21"/>
      <c r="BK48">
        <f t="shared" si="6"/>
        <v>0</v>
      </c>
      <c r="BL48" s="24">
        <f t="shared" si="3"/>
        <v>0</v>
      </c>
    </row>
    <row r="49" spans="2:64" x14ac:dyDescent="0.2">
      <c r="B49" s="64">
        <v>37956</v>
      </c>
      <c r="C49" s="2">
        <v>-50</v>
      </c>
      <c r="D49" s="4">
        <v>22</v>
      </c>
      <c r="E49" s="3">
        <f t="shared" si="9"/>
        <v>-17600</v>
      </c>
      <c r="F49" s="3"/>
      <c r="G49" s="15">
        <v>28.75</v>
      </c>
      <c r="H49" s="15">
        <v>28.5</v>
      </c>
      <c r="I49" s="17">
        <f t="shared" si="11"/>
        <v>627</v>
      </c>
      <c r="J49" s="7">
        <f t="shared" si="10"/>
        <v>-0.25</v>
      </c>
      <c r="L49" s="38">
        <f t="shared" si="8"/>
        <v>4400</v>
      </c>
      <c r="O49" s="15"/>
      <c r="Q49" s="16">
        <v>37956</v>
      </c>
      <c r="AA49" s="60"/>
      <c r="AK49" s="21"/>
      <c r="AL49" s="22">
        <f t="shared" si="5"/>
        <v>0</v>
      </c>
      <c r="AM49" s="24">
        <f t="shared" si="2"/>
        <v>0</v>
      </c>
      <c r="AN49" s="41"/>
      <c r="AO49" s="16">
        <v>37956</v>
      </c>
      <c r="AY49" s="60"/>
      <c r="AZ49" s="40"/>
      <c r="BA49" s="40"/>
      <c r="BB49" s="40"/>
      <c r="BC49" s="40"/>
      <c r="BD49" s="40"/>
      <c r="BJ49" s="21"/>
      <c r="BK49">
        <f t="shared" si="6"/>
        <v>0</v>
      </c>
      <c r="BL49" s="24">
        <f t="shared" si="3"/>
        <v>0</v>
      </c>
    </row>
    <row r="50" spans="2:64" hidden="1" x14ac:dyDescent="0.2">
      <c r="B50" s="16"/>
      <c r="C50" s="2"/>
      <c r="D50" s="4">
        <f>SUM(D38:D49)</f>
        <v>255</v>
      </c>
      <c r="E50" s="3"/>
      <c r="F50" s="3"/>
      <c r="G50" s="15"/>
      <c r="H50" s="15"/>
      <c r="I50" s="17">
        <f>SUM(I38:I49)</f>
        <v>8677.25</v>
      </c>
      <c r="J50" s="7"/>
      <c r="L50" s="38"/>
      <c r="O50" s="15"/>
      <c r="Q50" s="16"/>
      <c r="AA50" s="60"/>
      <c r="AK50" s="21"/>
      <c r="AL50" s="22"/>
      <c r="AM50" s="24"/>
      <c r="AN50" s="41"/>
      <c r="AO50" s="41"/>
      <c r="AY50" s="60"/>
      <c r="AZ50" s="40"/>
      <c r="BA50" s="40"/>
      <c r="BB50" s="40"/>
      <c r="BC50" s="40"/>
      <c r="BD50" s="40"/>
      <c r="BJ50" s="21"/>
      <c r="BK50">
        <f t="shared" si="6"/>
        <v>0</v>
      </c>
      <c r="BL50" s="24">
        <f t="shared" si="3"/>
        <v>0</v>
      </c>
    </row>
    <row r="51" spans="2:64" x14ac:dyDescent="0.2">
      <c r="B51" s="16"/>
      <c r="C51" s="2"/>
      <c r="D51" s="4"/>
      <c r="E51" s="3"/>
      <c r="F51" s="3"/>
      <c r="G51" s="15"/>
      <c r="H51" s="15"/>
      <c r="I51" s="17"/>
      <c r="J51" s="7"/>
      <c r="L51" s="38"/>
      <c r="O51" s="15"/>
      <c r="Q51" s="16"/>
      <c r="AA51" s="60"/>
      <c r="AK51" s="40"/>
      <c r="AL51" s="42"/>
      <c r="AM51" s="41"/>
      <c r="AN51" s="41"/>
      <c r="AO51" s="41"/>
      <c r="AY51" s="60"/>
      <c r="AZ51" s="40"/>
      <c r="BA51" s="40"/>
      <c r="BB51" s="40"/>
      <c r="BC51" s="40"/>
      <c r="BD51" s="40"/>
      <c r="BJ51" s="21"/>
      <c r="BL51" s="24"/>
    </row>
    <row r="52" spans="2:64" x14ac:dyDescent="0.2">
      <c r="B52" s="16">
        <v>37987</v>
      </c>
      <c r="C52" s="2">
        <v>150</v>
      </c>
      <c r="D52" s="4">
        <v>22</v>
      </c>
      <c r="E52" s="3">
        <f t="shared" ref="E52:E63" si="12">C52*D52*16</f>
        <v>52800</v>
      </c>
      <c r="F52" s="3"/>
      <c r="G52" s="15">
        <v>31</v>
      </c>
      <c r="H52" s="15">
        <v>30.75</v>
      </c>
      <c r="I52" s="17">
        <f>H52*D52</f>
        <v>676.5</v>
      </c>
      <c r="J52" s="7">
        <f t="shared" ref="J52:J63" si="13">H52-G52</f>
        <v>-0.25</v>
      </c>
      <c r="L52" s="38">
        <f t="shared" ref="L52:L63" si="14">E52*J52</f>
        <v>-13200</v>
      </c>
      <c r="N52" s="5" t="s">
        <v>84</v>
      </c>
      <c r="O52" s="15">
        <f>I64/D64</f>
        <v>34.112745098039213</v>
      </c>
      <c r="Q52" s="16"/>
      <c r="AA52" s="60"/>
      <c r="AK52" s="40"/>
      <c r="AL52" s="42"/>
      <c r="AM52" s="41"/>
      <c r="AN52" s="41"/>
      <c r="AO52" s="41"/>
      <c r="AY52" s="60"/>
      <c r="AZ52" s="40"/>
      <c r="BA52" s="40"/>
      <c r="BB52" s="40"/>
      <c r="BC52" s="40"/>
      <c r="BD52" s="40"/>
      <c r="BJ52" s="21"/>
      <c r="BL52" s="24"/>
    </row>
    <row r="53" spans="2:64" x14ac:dyDescent="0.2">
      <c r="B53" s="16">
        <v>38018</v>
      </c>
      <c r="C53" s="2">
        <v>150</v>
      </c>
      <c r="D53" s="4">
        <v>20</v>
      </c>
      <c r="E53" s="3">
        <f t="shared" si="12"/>
        <v>48000</v>
      </c>
      <c r="F53" s="3"/>
      <c r="G53" s="15">
        <v>31</v>
      </c>
      <c r="H53" s="15">
        <v>30.75</v>
      </c>
      <c r="I53" s="17">
        <f t="shared" ref="I53:I63" si="15">H53*D53</f>
        <v>615</v>
      </c>
      <c r="J53" s="7">
        <f t="shared" si="13"/>
        <v>-0.25</v>
      </c>
      <c r="L53" s="38">
        <f t="shared" si="14"/>
        <v>-12000</v>
      </c>
      <c r="O53" s="15"/>
      <c r="Q53" s="16"/>
      <c r="AA53" s="60"/>
      <c r="AK53" s="40"/>
      <c r="AL53" s="42"/>
      <c r="AM53" s="41"/>
      <c r="AN53" s="41"/>
      <c r="AO53" s="41"/>
      <c r="AY53" s="60"/>
      <c r="AZ53" s="40"/>
      <c r="BA53" s="40"/>
      <c r="BB53" s="40"/>
      <c r="BC53" s="40"/>
      <c r="BD53" s="40"/>
      <c r="BJ53" s="21"/>
      <c r="BL53" s="24"/>
    </row>
    <row r="54" spans="2:64" x14ac:dyDescent="0.2">
      <c r="B54" s="16">
        <v>38047</v>
      </c>
      <c r="C54" s="2">
        <v>100</v>
      </c>
      <c r="D54" s="4">
        <v>21</v>
      </c>
      <c r="E54" s="3">
        <f t="shared" si="12"/>
        <v>33600</v>
      </c>
      <c r="F54" s="3"/>
      <c r="G54" s="15">
        <v>29.25</v>
      </c>
      <c r="H54" s="15">
        <v>29.25</v>
      </c>
      <c r="I54" s="17">
        <f t="shared" si="15"/>
        <v>614.25</v>
      </c>
      <c r="J54" s="7">
        <f t="shared" si="13"/>
        <v>0</v>
      </c>
      <c r="L54" s="38">
        <f t="shared" si="14"/>
        <v>0</v>
      </c>
      <c r="O54" s="15"/>
      <c r="Q54" s="16"/>
      <c r="AA54" s="60"/>
      <c r="AK54" s="40"/>
      <c r="AL54" s="42"/>
      <c r="AM54" s="41"/>
      <c r="AN54" s="41"/>
      <c r="AO54" s="41"/>
      <c r="AY54" s="60"/>
      <c r="AZ54" s="40"/>
      <c r="BA54" s="40"/>
      <c r="BB54" s="40"/>
      <c r="BC54" s="40"/>
      <c r="BD54" s="40"/>
      <c r="BJ54" s="21"/>
      <c r="BL54" s="24"/>
    </row>
    <row r="55" spans="2:64" x14ac:dyDescent="0.2">
      <c r="B55" s="16">
        <v>38078</v>
      </c>
      <c r="C55" s="2">
        <v>100</v>
      </c>
      <c r="D55" s="4">
        <v>22</v>
      </c>
      <c r="E55" s="3">
        <f t="shared" si="12"/>
        <v>35200</v>
      </c>
      <c r="F55" s="3"/>
      <c r="G55" s="15">
        <v>29.25</v>
      </c>
      <c r="H55" s="15">
        <v>29.25</v>
      </c>
      <c r="I55" s="17">
        <f t="shared" si="15"/>
        <v>643.5</v>
      </c>
      <c r="J55" s="7">
        <f t="shared" si="13"/>
        <v>0</v>
      </c>
      <c r="L55" s="38">
        <f t="shared" si="14"/>
        <v>0</v>
      </c>
      <c r="O55" s="15"/>
      <c r="Q55" s="16"/>
      <c r="AA55" s="60"/>
      <c r="AK55" s="40"/>
      <c r="AL55" s="42"/>
      <c r="AM55" s="41"/>
      <c r="AN55" s="41"/>
      <c r="AO55" s="41"/>
      <c r="AY55" s="60"/>
      <c r="AZ55" s="40"/>
      <c r="BA55" s="40"/>
      <c r="BB55" s="40"/>
      <c r="BC55" s="40"/>
      <c r="BD55" s="40"/>
      <c r="BJ55" s="21"/>
      <c r="BL55" s="24"/>
    </row>
    <row r="56" spans="2:64" x14ac:dyDescent="0.2">
      <c r="B56" s="16">
        <v>38108</v>
      </c>
      <c r="C56" s="2">
        <v>0</v>
      </c>
      <c r="D56" s="4">
        <v>21</v>
      </c>
      <c r="E56" s="3">
        <f t="shared" si="12"/>
        <v>0</v>
      </c>
      <c r="F56" s="3"/>
      <c r="G56" s="15">
        <v>30.75</v>
      </c>
      <c r="H56" s="15">
        <v>30.5</v>
      </c>
      <c r="I56" s="17">
        <f t="shared" si="15"/>
        <v>640.5</v>
      </c>
      <c r="J56" s="7">
        <f t="shared" si="13"/>
        <v>-0.25</v>
      </c>
      <c r="L56" s="38">
        <f t="shared" si="14"/>
        <v>0</v>
      </c>
      <c r="O56" s="15"/>
      <c r="Q56" s="16"/>
      <c r="AA56" s="60"/>
      <c r="AK56" s="40"/>
      <c r="AL56" s="42"/>
      <c r="AM56" s="41"/>
      <c r="AN56" s="41"/>
      <c r="AO56" s="41"/>
      <c r="AY56" s="60"/>
      <c r="AZ56" s="40"/>
      <c r="BA56" s="40"/>
      <c r="BB56" s="40"/>
      <c r="BC56" s="40"/>
      <c r="BD56" s="40"/>
      <c r="BJ56" s="21"/>
      <c r="BL56" s="24"/>
    </row>
    <row r="57" spans="2:64" x14ac:dyDescent="0.2">
      <c r="B57" s="16">
        <v>38139</v>
      </c>
      <c r="C57" s="2">
        <v>50</v>
      </c>
      <c r="D57" s="4">
        <v>21</v>
      </c>
      <c r="E57" s="3">
        <f t="shared" si="12"/>
        <v>16800</v>
      </c>
      <c r="F57" s="3"/>
      <c r="G57" s="15">
        <v>40.75</v>
      </c>
      <c r="H57" s="15">
        <v>40</v>
      </c>
      <c r="I57" s="17">
        <f t="shared" si="15"/>
        <v>840</v>
      </c>
      <c r="J57" s="7">
        <f t="shared" si="13"/>
        <v>-0.75</v>
      </c>
      <c r="L57" s="38">
        <f t="shared" si="14"/>
        <v>-12600</v>
      </c>
      <c r="O57" s="15"/>
      <c r="Q57" s="16"/>
      <c r="AA57" s="60"/>
      <c r="AK57" s="40"/>
      <c r="AL57" s="42"/>
      <c r="AM57" s="41"/>
      <c r="AN57" s="41"/>
      <c r="AO57" s="41"/>
      <c r="AY57" s="60"/>
      <c r="AZ57" s="40"/>
      <c r="BA57" s="40"/>
      <c r="BB57" s="40"/>
      <c r="BC57" s="40"/>
      <c r="BD57" s="40"/>
      <c r="BJ57" s="21"/>
      <c r="BL57" s="24"/>
    </row>
    <row r="58" spans="2:64" x14ac:dyDescent="0.2">
      <c r="B58" s="16">
        <v>38169</v>
      </c>
      <c r="C58" s="2">
        <v>180</v>
      </c>
      <c r="D58" s="4">
        <v>22</v>
      </c>
      <c r="E58" s="3">
        <f t="shared" si="12"/>
        <v>63360</v>
      </c>
      <c r="F58" s="3"/>
      <c r="G58" s="15">
        <v>50.25</v>
      </c>
      <c r="H58" s="15">
        <v>51.75</v>
      </c>
      <c r="I58" s="17">
        <f t="shared" si="15"/>
        <v>1138.5</v>
      </c>
      <c r="J58" s="7">
        <f t="shared" si="13"/>
        <v>1.5</v>
      </c>
      <c r="L58" s="38">
        <f t="shared" si="14"/>
        <v>95040</v>
      </c>
      <c r="O58" s="15"/>
      <c r="Q58" s="16"/>
      <c r="AA58" s="60"/>
      <c r="AK58" s="40"/>
      <c r="AL58" s="42"/>
      <c r="AM58" s="41"/>
      <c r="AN58" s="41"/>
      <c r="AO58" s="41"/>
      <c r="AY58" s="60"/>
      <c r="AZ58" s="40"/>
      <c r="BA58" s="40"/>
      <c r="BB58" s="40"/>
      <c r="BC58" s="40"/>
      <c r="BD58" s="40"/>
      <c r="BJ58" s="21"/>
      <c r="BL58" s="24"/>
    </row>
    <row r="59" spans="2:64" x14ac:dyDescent="0.2">
      <c r="B59" s="16">
        <v>38200</v>
      </c>
      <c r="C59" s="2">
        <v>180</v>
      </c>
      <c r="D59" s="4">
        <v>21</v>
      </c>
      <c r="E59" s="3">
        <f t="shared" si="12"/>
        <v>60480</v>
      </c>
      <c r="F59" s="3"/>
      <c r="G59" s="15">
        <v>50.25</v>
      </c>
      <c r="H59" s="15">
        <v>51.75</v>
      </c>
      <c r="I59" s="17">
        <f t="shared" si="15"/>
        <v>1086.75</v>
      </c>
      <c r="J59" s="7">
        <f t="shared" si="13"/>
        <v>1.5</v>
      </c>
      <c r="L59" s="38">
        <f t="shared" si="14"/>
        <v>90720</v>
      </c>
      <c r="O59" s="15"/>
      <c r="Q59" s="16"/>
      <c r="AA59" s="60"/>
      <c r="AK59" s="40"/>
      <c r="AL59" s="42"/>
      <c r="AM59" s="41"/>
      <c r="AN59" s="41"/>
      <c r="AO59" s="41"/>
      <c r="AY59" s="60"/>
      <c r="AZ59" s="40"/>
      <c r="BA59" s="40"/>
      <c r="BB59" s="40"/>
      <c r="BC59" s="40"/>
      <c r="BD59" s="40"/>
      <c r="BJ59" s="21"/>
      <c r="BL59" s="24"/>
    </row>
    <row r="60" spans="2:64" x14ac:dyDescent="0.2">
      <c r="B60" s="16">
        <v>38231</v>
      </c>
      <c r="C60" s="2">
        <v>0</v>
      </c>
      <c r="D60" s="4">
        <v>21</v>
      </c>
      <c r="E60" s="3">
        <f t="shared" si="12"/>
        <v>0</v>
      </c>
      <c r="F60" s="3"/>
      <c r="G60" s="15">
        <v>29.25</v>
      </c>
      <c r="H60" s="15">
        <v>28.75</v>
      </c>
      <c r="I60" s="17">
        <f t="shared" si="15"/>
        <v>603.75</v>
      </c>
      <c r="J60" s="7">
        <f t="shared" si="13"/>
        <v>-0.5</v>
      </c>
      <c r="L60" s="38">
        <f t="shared" si="14"/>
        <v>0</v>
      </c>
      <c r="O60" s="15"/>
      <c r="Q60" s="16"/>
      <c r="AA60" s="60"/>
      <c r="AK60" s="40"/>
      <c r="AL60" s="42"/>
      <c r="AM60" s="41"/>
      <c r="AN60" s="41"/>
      <c r="AO60" s="41"/>
      <c r="AY60" s="60"/>
      <c r="AZ60" s="40"/>
      <c r="BA60" s="40"/>
      <c r="BB60" s="40"/>
      <c r="BC60" s="40"/>
      <c r="BD60" s="40"/>
      <c r="BJ60" s="21"/>
      <c r="BL60" s="24"/>
    </row>
    <row r="61" spans="2:64" x14ac:dyDescent="0.2">
      <c r="B61" s="16">
        <v>38261</v>
      </c>
      <c r="C61" s="2">
        <v>0</v>
      </c>
      <c r="D61" s="4">
        <v>23</v>
      </c>
      <c r="E61" s="3">
        <f t="shared" si="12"/>
        <v>0</v>
      </c>
      <c r="F61" s="3"/>
      <c r="G61" s="15">
        <v>29</v>
      </c>
      <c r="H61" s="15">
        <v>28.75</v>
      </c>
      <c r="I61" s="17">
        <f t="shared" si="15"/>
        <v>661.25</v>
      </c>
      <c r="J61" s="7">
        <f t="shared" si="13"/>
        <v>-0.25</v>
      </c>
      <c r="L61" s="38">
        <f t="shared" si="14"/>
        <v>0</v>
      </c>
      <c r="O61" s="15"/>
      <c r="Q61" s="16"/>
      <c r="AA61" s="60"/>
      <c r="AK61" s="40"/>
      <c r="AL61" s="42"/>
      <c r="AM61" s="41"/>
      <c r="AN61" s="41"/>
      <c r="AO61" s="41"/>
      <c r="AY61" s="60"/>
      <c r="AZ61" s="40"/>
      <c r="BA61" s="40"/>
      <c r="BB61" s="40"/>
      <c r="BC61" s="40"/>
      <c r="BD61" s="40"/>
      <c r="BJ61" s="21"/>
      <c r="BL61" s="24"/>
    </row>
    <row r="62" spans="2:64" x14ac:dyDescent="0.2">
      <c r="B62" s="16">
        <v>38292</v>
      </c>
      <c r="C62" s="2">
        <v>0</v>
      </c>
      <c r="D62" s="4">
        <v>19</v>
      </c>
      <c r="E62" s="3">
        <f t="shared" si="12"/>
        <v>0</v>
      </c>
      <c r="F62" s="3"/>
      <c r="G62" s="15">
        <v>29</v>
      </c>
      <c r="H62" s="15">
        <v>28.75</v>
      </c>
      <c r="I62" s="17">
        <f t="shared" si="15"/>
        <v>546.25</v>
      </c>
      <c r="J62" s="7">
        <f t="shared" si="13"/>
        <v>-0.25</v>
      </c>
      <c r="L62" s="38">
        <f t="shared" si="14"/>
        <v>0</v>
      </c>
      <c r="O62" s="15"/>
      <c r="Q62" s="16"/>
      <c r="AA62" s="60"/>
      <c r="AK62" s="40"/>
      <c r="AL62" s="42"/>
      <c r="AM62" s="41"/>
      <c r="AN62" s="41"/>
      <c r="AO62" s="41"/>
      <c r="AY62" s="60"/>
      <c r="AZ62" s="40"/>
      <c r="BA62" s="40"/>
      <c r="BB62" s="40"/>
      <c r="BC62" s="40"/>
      <c r="BD62" s="40"/>
      <c r="BJ62" s="21"/>
      <c r="BL62" s="24"/>
    </row>
    <row r="63" spans="2:64" x14ac:dyDescent="0.2">
      <c r="B63" s="16">
        <v>38322</v>
      </c>
      <c r="C63" s="2">
        <v>0</v>
      </c>
      <c r="D63" s="4">
        <v>22</v>
      </c>
      <c r="E63" s="3">
        <f t="shared" si="12"/>
        <v>0</v>
      </c>
      <c r="F63" s="3"/>
      <c r="G63" s="15">
        <v>29</v>
      </c>
      <c r="H63" s="15">
        <v>28.75</v>
      </c>
      <c r="I63" s="17">
        <f t="shared" si="15"/>
        <v>632.5</v>
      </c>
      <c r="J63" s="7">
        <f t="shared" si="13"/>
        <v>-0.25</v>
      </c>
      <c r="L63" s="38">
        <f t="shared" si="14"/>
        <v>0</v>
      </c>
      <c r="O63" s="15"/>
      <c r="Q63" s="16"/>
      <c r="AA63" s="60"/>
      <c r="AK63" s="40"/>
      <c r="AL63" s="42"/>
      <c r="AM63" s="41"/>
      <c r="AN63" s="41"/>
      <c r="AO63" s="41"/>
      <c r="AY63" s="60"/>
      <c r="AZ63" s="40"/>
      <c r="BA63" s="40"/>
      <c r="BB63" s="40"/>
      <c r="BC63" s="40"/>
      <c r="BD63" s="40"/>
      <c r="BJ63" s="21"/>
      <c r="BL63" s="24"/>
    </row>
    <row r="64" spans="2:64" hidden="1" x14ac:dyDescent="0.2">
      <c r="B64" s="16"/>
      <c r="C64" s="2"/>
      <c r="D64" s="4">
        <f>SUM(D52:D63)</f>
        <v>255</v>
      </c>
      <c r="E64" s="3"/>
      <c r="F64" s="3"/>
      <c r="G64" s="15"/>
      <c r="H64" s="15"/>
      <c r="I64" s="17">
        <f>SUM(I52:I63)</f>
        <v>8698.75</v>
      </c>
      <c r="J64" s="7"/>
      <c r="L64" s="38"/>
      <c r="O64" s="15"/>
      <c r="Q64" s="16"/>
      <c r="AA64" s="60"/>
      <c r="AM64" s="41"/>
      <c r="AN64" s="41"/>
      <c r="AO64" s="41"/>
      <c r="AY64" s="60"/>
      <c r="AZ64" s="40"/>
      <c r="BA64" s="40"/>
      <c r="BB64" s="40"/>
      <c r="BC64" s="40"/>
      <c r="BD64" s="40"/>
      <c r="BJ64" s="21"/>
      <c r="BK64">
        <f t="shared" si="6"/>
        <v>0</v>
      </c>
      <c r="BL64" s="24">
        <f t="shared" si="3"/>
        <v>0</v>
      </c>
    </row>
    <row r="65" spans="2:64" x14ac:dyDescent="0.2">
      <c r="B65" s="16"/>
      <c r="C65" s="2"/>
      <c r="D65" s="4"/>
      <c r="E65" s="3"/>
      <c r="F65" s="3"/>
      <c r="G65" s="15"/>
      <c r="H65" s="15"/>
      <c r="I65" s="17"/>
      <c r="J65" s="7"/>
      <c r="L65" s="38"/>
      <c r="O65" s="15"/>
      <c r="Q65" s="16"/>
      <c r="AA65" s="40"/>
      <c r="AM65" s="41"/>
      <c r="AN65" s="41"/>
      <c r="AO65" s="41"/>
      <c r="AY65" s="60"/>
      <c r="AZ65" s="40"/>
      <c r="BA65" s="40"/>
      <c r="BB65" s="40"/>
      <c r="BC65" s="40"/>
      <c r="BD65" s="40"/>
      <c r="BJ65" s="40"/>
      <c r="BL65" s="41"/>
    </row>
    <row r="66" spans="2:64" x14ac:dyDescent="0.2">
      <c r="B66" s="16" t="s">
        <v>24</v>
      </c>
      <c r="C66" s="2">
        <v>80</v>
      </c>
      <c r="D66" s="4">
        <v>255</v>
      </c>
      <c r="E66" s="3">
        <f t="shared" si="9"/>
        <v>326400</v>
      </c>
      <c r="F66" s="3"/>
      <c r="G66" s="15">
        <v>34.229999999999997</v>
      </c>
      <c r="H66" s="15">
        <v>34.229999999999997</v>
      </c>
      <c r="I66" s="5"/>
      <c r="J66" s="7">
        <f t="shared" ref="J66:J71" si="16">H66-G66</f>
        <v>0</v>
      </c>
      <c r="L66" s="38">
        <f t="shared" ref="L66:L71" si="17">E66*J66</f>
        <v>0</v>
      </c>
      <c r="O66" s="15"/>
      <c r="AM66" s="25"/>
      <c r="AN66" s="25"/>
      <c r="AO66" s="23"/>
      <c r="AY66" s="60"/>
      <c r="AZ66" s="40"/>
      <c r="BL66" s="25"/>
    </row>
    <row r="67" spans="2:64" x14ac:dyDescent="0.2">
      <c r="B67" s="16" t="s">
        <v>34</v>
      </c>
      <c r="C67" s="2">
        <v>11</v>
      </c>
      <c r="D67" s="4">
        <v>254</v>
      </c>
      <c r="E67" s="3">
        <f t="shared" si="9"/>
        <v>44704</v>
      </c>
      <c r="F67" s="3"/>
      <c r="G67" s="15">
        <v>34.69</v>
      </c>
      <c r="H67" s="15">
        <v>34.69</v>
      </c>
      <c r="I67" s="5"/>
      <c r="J67" s="7">
        <f t="shared" si="16"/>
        <v>0</v>
      </c>
      <c r="L67" s="38">
        <f t="shared" si="17"/>
        <v>0</v>
      </c>
      <c r="O67" s="15"/>
      <c r="AM67" s="25"/>
      <c r="AN67" s="25"/>
      <c r="AO67" s="23"/>
      <c r="AY67" s="60"/>
      <c r="AZ67" s="40"/>
      <c r="BL67" s="25"/>
    </row>
    <row r="68" spans="2:64" x14ac:dyDescent="0.2">
      <c r="B68" s="16" t="s">
        <v>35</v>
      </c>
      <c r="C68" s="2">
        <v>30</v>
      </c>
      <c r="D68" s="4">
        <v>255</v>
      </c>
      <c r="E68" s="3">
        <f t="shared" si="9"/>
        <v>122400</v>
      </c>
      <c r="F68" s="3"/>
      <c r="G68" s="15">
        <v>35</v>
      </c>
      <c r="H68" s="15">
        <v>35</v>
      </c>
      <c r="I68" s="5"/>
      <c r="J68" s="7">
        <f t="shared" si="16"/>
        <v>0</v>
      </c>
      <c r="L68" s="38">
        <f t="shared" si="17"/>
        <v>0</v>
      </c>
      <c r="O68" s="15"/>
      <c r="AM68" s="25"/>
      <c r="AN68" s="25"/>
      <c r="AO68" s="23"/>
      <c r="AY68" s="60"/>
      <c r="AZ68" s="40"/>
      <c r="BL68" s="25"/>
    </row>
    <row r="69" spans="2:64" x14ac:dyDescent="0.2">
      <c r="B69" s="16" t="s">
        <v>36</v>
      </c>
      <c r="C69" s="2">
        <v>11</v>
      </c>
      <c r="D69" s="4">
        <v>256</v>
      </c>
      <c r="E69" s="3">
        <f>C69*D69*16</f>
        <v>45056</v>
      </c>
      <c r="F69" s="3"/>
      <c r="G69" s="15">
        <v>35.299999999999997</v>
      </c>
      <c r="H69" s="15">
        <v>35.299999999999997</v>
      </c>
      <c r="I69" s="5"/>
      <c r="J69" s="7">
        <f t="shared" si="16"/>
        <v>0</v>
      </c>
      <c r="L69" s="38">
        <f t="shared" si="17"/>
        <v>0</v>
      </c>
      <c r="O69" s="15"/>
      <c r="AM69" s="25"/>
      <c r="AN69" s="25"/>
      <c r="AO69" s="23"/>
      <c r="AY69" s="60"/>
      <c r="AZ69" s="40"/>
      <c r="BL69" s="25"/>
    </row>
    <row r="70" spans="2:64" x14ac:dyDescent="0.2">
      <c r="B70" s="16" t="s">
        <v>68</v>
      </c>
      <c r="C70" s="2">
        <v>-17</v>
      </c>
      <c r="D70" s="4">
        <v>256</v>
      </c>
      <c r="E70" s="3">
        <f>C70*D70*16</f>
        <v>-69632</v>
      </c>
      <c r="F70" s="3"/>
      <c r="G70" s="15">
        <v>35.94</v>
      </c>
      <c r="H70" s="15">
        <v>35.94</v>
      </c>
      <c r="I70" s="5"/>
      <c r="J70" s="7">
        <f t="shared" si="16"/>
        <v>0</v>
      </c>
      <c r="L70" s="38">
        <f t="shared" si="17"/>
        <v>0</v>
      </c>
      <c r="O70" s="15"/>
      <c r="AM70" s="25"/>
      <c r="AN70" s="25"/>
      <c r="AO70" s="23"/>
      <c r="AY70" s="60"/>
      <c r="AZ70" s="40"/>
      <c r="BL70" s="25"/>
    </row>
    <row r="71" spans="2:64" x14ac:dyDescent="0.2">
      <c r="B71" s="16" t="s">
        <v>83</v>
      </c>
      <c r="C71" s="2">
        <v>-30</v>
      </c>
      <c r="D71" s="4">
        <v>256</v>
      </c>
      <c r="E71" s="3">
        <f>C71*D71*16</f>
        <v>-122880</v>
      </c>
      <c r="G71" s="15">
        <v>36.020000000000003</v>
      </c>
      <c r="H71" s="15">
        <v>36.020000000000003</v>
      </c>
      <c r="J71" s="7">
        <f t="shared" si="16"/>
        <v>0</v>
      </c>
      <c r="L71" s="38">
        <f t="shared" si="17"/>
        <v>0</v>
      </c>
      <c r="O71" s="15"/>
      <c r="AY71" s="60"/>
      <c r="AZ71" s="40"/>
    </row>
    <row r="72" spans="2:64" x14ac:dyDescent="0.2">
      <c r="E72" s="20">
        <f>SUM(E19:E71)</f>
        <v>2759280</v>
      </c>
      <c r="G72" s="15"/>
      <c r="H72" s="15"/>
      <c r="O72" s="15"/>
      <c r="AY72" s="60"/>
      <c r="AZ72" s="40"/>
    </row>
    <row r="73" spans="2:64" x14ac:dyDescent="0.2">
      <c r="L73" s="25">
        <f>SUM(L19:L69)</f>
        <v>-1537612.7999999961</v>
      </c>
      <c r="O73" s="15"/>
      <c r="AY73" s="60"/>
      <c r="AZ73" s="40"/>
    </row>
    <row r="74" spans="2:64" x14ac:dyDescent="0.2">
      <c r="G74" s="15"/>
      <c r="O74" s="15"/>
      <c r="AY74" s="60"/>
      <c r="AZ74" s="40"/>
    </row>
    <row r="75" spans="2:64" ht="13.5" thickBot="1" x14ac:dyDescent="0.25">
      <c r="B75" s="5" t="s">
        <v>13</v>
      </c>
      <c r="G75" s="15"/>
      <c r="O75" s="15"/>
      <c r="AY75" s="60"/>
      <c r="AZ75" s="40"/>
    </row>
    <row r="76" spans="2:64" ht="19.5" customHeight="1" thickBot="1" x14ac:dyDescent="0.25">
      <c r="G76" s="15"/>
      <c r="O76" s="15"/>
      <c r="Q76" s="9" t="s">
        <v>14</v>
      </c>
      <c r="R76" s="11"/>
      <c r="AM76" s="12" t="s">
        <v>9</v>
      </c>
      <c r="AY76" s="60"/>
      <c r="AZ76" s="40"/>
    </row>
    <row r="77" spans="2:64" ht="13.5" thickBot="1" x14ac:dyDescent="0.25">
      <c r="B77" s="9" t="s">
        <v>2</v>
      </c>
      <c r="C77" s="10" t="s">
        <v>5</v>
      </c>
      <c r="D77" s="10" t="s">
        <v>7</v>
      </c>
      <c r="E77" s="11" t="s">
        <v>8</v>
      </c>
      <c r="F77" s="1"/>
      <c r="G77" s="10" t="s">
        <v>4</v>
      </c>
      <c r="H77" s="10" t="s">
        <v>4</v>
      </c>
      <c r="I77" s="10"/>
      <c r="J77" s="11" t="s">
        <v>6</v>
      </c>
      <c r="L77" s="14" t="s">
        <v>9</v>
      </c>
      <c r="O77" s="5"/>
      <c r="Q77" s="1"/>
      <c r="T77" s="8"/>
      <c r="AY77" s="60"/>
      <c r="AZ77" s="40"/>
    </row>
    <row r="78" spans="2:64" x14ac:dyDescent="0.2">
      <c r="O78" s="5"/>
      <c r="Q78" s="1"/>
      <c r="T78" s="8"/>
      <c r="AY78" s="60"/>
      <c r="AZ78" s="40"/>
    </row>
    <row r="79" spans="2:64" x14ac:dyDescent="0.2">
      <c r="B79" s="16">
        <v>37226</v>
      </c>
      <c r="C79" s="2">
        <v>0</v>
      </c>
      <c r="D79" s="4">
        <v>20</v>
      </c>
      <c r="E79" s="3">
        <f t="shared" ref="E79:E92" si="18">C79*D79*16</f>
        <v>0</v>
      </c>
      <c r="F79" s="3"/>
      <c r="G79" s="15">
        <v>31.5</v>
      </c>
      <c r="H79" s="15">
        <v>31.5</v>
      </c>
      <c r="I79" s="15"/>
      <c r="J79" s="7">
        <f t="shared" ref="J79:J95" si="19">H79-G79</f>
        <v>0</v>
      </c>
      <c r="L79" s="38">
        <f t="shared" ref="L79:L95" si="20">E79*J79</f>
        <v>0</v>
      </c>
      <c r="O79" s="5"/>
      <c r="Q79" s="16">
        <v>37226</v>
      </c>
      <c r="AA79" s="60"/>
      <c r="AK79" s="21"/>
      <c r="AL79" s="22">
        <f t="shared" ref="AL79:AL94" si="21">COUNT(R79:AK79)</f>
        <v>0</v>
      </c>
      <c r="AM79" s="24">
        <f t="shared" ref="AM79:AM94" si="22">IF(R79&gt;0,(H79-(AVERAGE(R79:AK79)))*50*16*AL79*D79,0)</f>
        <v>0</v>
      </c>
      <c r="AN79" s="41"/>
      <c r="AO79" s="16">
        <v>37226</v>
      </c>
      <c r="AY79" s="60"/>
      <c r="AZ79" s="40"/>
      <c r="BJ79" s="21"/>
      <c r="BK79">
        <f t="shared" ref="BK79:BK94" si="23">COUNT(AP79:BJ79)</f>
        <v>0</v>
      </c>
      <c r="BL79" s="24">
        <f t="shared" ref="BL79:BL94" si="24">IF(AP79&gt;0,((AVERAGE(AP79:BJ79))-H79)*50*16*BK79*D79,0)</f>
        <v>0</v>
      </c>
    </row>
    <row r="80" spans="2:64" x14ac:dyDescent="0.2">
      <c r="B80" s="16"/>
      <c r="C80" s="2"/>
      <c r="D80" s="4"/>
      <c r="E80" s="3"/>
      <c r="F80" s="3"/>
      <c r="G80" s="15"/>
      <c r="H80" s="15"/>
      <c r="I80" s="15"/>
      <c r="J80" s="7"/>
      <c r="L80" s="38"/>
      <c r="O80" s="5"/>
      <c r="Q80" s="16"/>
      <c r="AA80" s="60"/>
      <c r="AK80" s="21"/>
      <c r="AL80" s="22"/>
      <c r="AM80" s="24"/>
      <c r="AN80" s="41"/>
      <c r="AO80" s="16"/>
      <c r="AY80" s="60"/>
      <c r="AZ80" s="40"/>
      <c r="BJ80" s="21"/>
      <c r="BL80" s="24"/>
    </row>
    <row r="81" spans="2:64" x14ac:dyDescent="0.2">
      <c r="B81" s="16">
        <v>37257</v>
      </c>
      <c r="C81" s="2">
        <v>0</v>
      </c>
      <c r="D81" s="4">
        <v>22</v>
      </c>
      <c r="E81" s="3">
        <f t="shared" si="18"/>
        <v>0</v>
      </c>
      <c r="F81" s="3"/>
      <c r="G81" s="15">
        <v>32.42</v>
      </c>
      <c r="H81" s="15">
        <v>32.42</v>
      </c>
      <c r="I81" s="15"/>
      <c r="J81" s="7">
        <f t="shared" si="19"/>
        <v>0</v>
      </c>
      <c r="L81" s="38">
        <f t="shared" si="20"/>
        <v>0</v>
      </c>
      <c r="N81" s="5" t="s">
        <v>57</v>
      </c>
      <c r="O81" s="15" t="e">
        <f>#REF!/#REF!</f>
        <v>#REF!</v>
      </c>
      <c r="Q81" s="16">
        <v>37257</v>
      </c>
      <c r="AA81" s="60"/>
      <c r="AK81" s="21"/>
      <c r="AL81" s="22">
        <f t="shared" si="21"/>
        <v>0</v>
      </c>
      <c r="AM81" s="24">
        <f t="shared" si="22"/>
        <v>0</v>
      </c>
      <c r="AN81" s="41"/>
      <c r="AO81" s="16">
        <v>37257</v>
      </c>
      <c r="AY81" s="60"/>
      <c r="AZ81" s="40"/>
      <c r="BJ81" s="21"/>
      <c r="BK81">
        <f t="shared" si="23"/>
        <v>0</v>
      </c>
      <c r="BL81" s="24">
        <f t="shared" si="24"/>
        <v>0</v>
      </c>
    </row>
    <row r="82" spans="2:64" x14ac:dyDescent="0.2">
      <c r="B82" s="16">
        <v>37288</v>
      </c>
      <c r="C82" s="2">
        <v>0</v>
      </c>
      <c r="D82" s="4">
        <v>20</v>
      </c>
      <c r="E82" s="3">
        <f t="shared" si="18"/>
        <v>0</v>
      </c>
      <c r="F82" s="3"/>
      <c r="G82" s="15">
        <v>32.07</v>
      </c>
      <c r="H82" s="15">
        <v>32.07</v>
      </c>
      <c r="I82" s="15"/>
      <c r="J82" s="7">
        <f t="shared" si="19"/>
        <v>0</v>
      </c>
      <c r="L82" s="38">
        <f t="shared" si="20"/>
        <v>0</v>
      </c>
      <c r="O82" s="6"/>
      <c r="Q82" s="16">
        <v>37288</v>
      </c>
      <c r="AA82" s="60"/>
      <c r="AK82" s="21"/>
      <c r="AL82" s="22">
        <f t="shared" si="21"/>
        <v>0</v>
      </c>
      <c r="AM82" s="24">
        <f t="shared" si="22"/>
        <v>0</v>
      </c>
      <c r="AN82" s="41"/>
      <c r="AO82" s="16">
        <v>37288</v>
      </c>
      <c r="AY82" s="60"/>
      <c r="AZ82" s="40"/>
      <c r="BJ82" s="21"/>
      <c r="BK82">
        <f t="shared" si="23"/>
        <v>0</v>
      </c>
      <c r="BL82" s="24">
        <f t="shared" si="24"/>
        <v>0</v>
      </c>
    </row>
    <row r="83" spans="2:64" x14ac:dyDescent="0.2">
      <c r="B83" s="16">
        <v>37316</v>
      </c>
      <c r="C83" s="2">
        <v>0</v>
      </c>
      <c r="D83" s="4">
        <v>21</v>
      </c>
      <c r="E83" s="3">
        <f t="shared" si="18"/>
        <v>0</v>
      </c>
      <c r="F83" s="3"/>
      <c r="G83" s="15">
        <v>30.52</v>
      </c>
      <c r="H83" s="15">
        <v>30.52</v>
      </c>
      <c r="I83" s="15"/>
      <c r="J83" s="7">
        <f t="shared" si="19"/>
        <v>0</v>
      </c>
      <c r="L83" s="38">
        <f t="shared" si="20"/>
        <v>0</v>
      </c>
      <c r="O83" s="6"/>
      <c r="Q83" s="16">
        <v>37316</v>
      </c>
      <c r="AA83" s="60"/>
      <c r="AK83" s="21"/>
      <c r="AL83" s="22">
        <f t="shared" si="21"/>
        <v>0</v>
      </c>
      <c r="AM83" s="24">
        <f t="shared" si="22"/>
        <v>0</v>
      </c>
      <c r="AN83" s="41"/>
      <c r="AO83" s="16">
        <v>37316</v>
      </c>
      <c r="AY83" s="60"/>
      <c r="AZ83" s="40"/>
      <c r="BJ83" s="21"/>
      <c r="BK83">
        <f t="shared" si="23"/>
        <v>0</v>
      </c>
      <c r="BL83" s="24">
        <f t="shared" si="24"/>
        <v>0</v>
      </c>
    </row>
    <row r="84" spans="2:64" x14ac:dyDescent="0.2">
      <c r="B84" s="16">
        <v>37347</v>
      </c>
      <c r="C84" s="2">
        <v>0</v>
      </c>
      <c r="D84" s="4">
        <v>22</v>
      </c>
      <c r="E84" s="3">
        <f t="shared" si="18"/>
        <v>0</v>
      </c>
      <c r="F84" s="3"/>
      <c r="G84" s="15">
        <v>30.97</v>
      </c>
      <c r="H84" s="15">
        <v>30.97</v>
      </c>
      <c r="I84" s="15"/>
      <c r="J84" s="7">
        <f t="shared" si="19"/>
        <v>0</v>
      </c>
      <c r="L84" s="38">
        <f t="shared" si="20"/>
        <v>0</v>
      </c>
      <c r="O84" s="6"/>
      <c r="Q84" s="16">
        <v>37347</v>
      </c>
      <c r="AA84" s="60"/>
      <c r="AK84" s="21"/>
      <c r="AL84" s="22">
        <f t="shared" si="21"/>
        <v>0</v>
      </c>
      <c r="AM84" s="24">
        <f t="shared" si="22"/>
        <v>0</v>
      </c>
      <c r="AN84" s="41"/>
      <c r="AO84" s="16">
        <v>37347</v>
      </c>
      <c r="AY84" s="60"/>
      <c r="AZ84" s="40"/>
      <c r="BJ84" s="21"/>
      <c r="BK84">
        <f t="shared" si="23"/>
        <v>0</v>
      </c>
      <c r="BL84" s="24">
        <f t="shared" si="24"/>
        <v>0</v>
      </c>
    </row>
    <row r="85" spans="2:64" x14ac:dyDescent="0.2">
      <c r="B85" s="16">
        <v>37377</v>
      </c>
      <c r="C85" s="2">
        <v>0</v>
      </c>
      <c r="D85" s="4">
        <v>22</v>
      </c>
      <c r="E85" s="3">
        <f t="shared" si="18"/>
        <v>0</v>
      </c>
      <c r="F85" s="3"/>
      <c r="G85" s="15">
        <v>33.25</v>
      </c>
      <c r="H85" s="15">
        <v>33.25</v>
      </c>
      <c r="I85" s="15"/>
      <c r="J85" s="7">
        <f t="shared" si="19"/>
        <v>0</v>
      </c>
      <c r="L85" s="38">
        <f t="shared" si="20"/>
        <v>0</v>
      </c>
      <c r="O85" s="6"/>
      <c r="Q85" s="16">
        <v>37377</v>
      </c>
      <c r="AA85" s="60"/>
      <c r="AK85" s="21"/>
      <c r="AL85" s="22">
        <f t="shared" si="21"/>
        <v>0</v>
      </c>
      <c r="AM85" s="24">
        <f t="shared" si="22"/>
        <v>0</v>
      </c>
      <c r="AN85" s="41"/>
      <c r="AO85" s="16">
        <v>37377</v>
      </c>
      <c r="AY85" s="60"/>
      <c r="AZ85" s="40"/>
      <c r="BJ85" s="21"/>
      <c r="BK85">
        <f t="shared" si="23"/>
        <v>0</v>
      </c>
      <c r="BL85" s="24">
        <f t="shared" si="24"/>
        <v>0</v>
      </c>
    </row>
    <row r="86" spans="2:64" x14ac:dyDescent="0.2">
      <c r="B86" s="16">
        <v>37408</v>
      </c>
      <c r="C86" s="2">
        <v>0</v>
      </c>
      <c r="D86" s="4">
        <v>20</v>
      </c>
      <c r="E86" s="3">
        <f t="shared" si="18"/>
        <v>0</v>
      </c>
      <c r="F86" s="3"/>
      <c r="G86" s="15">
        <v>41</v>
      </c>
      <c r="H86" s="15">
        <v>41</v>
      </c>
      <c r="I86" s="15"/>
      <c r="J86" s="7">
        <f t="shared" si="19"/>
        <v>0</v>
      </c>
      <c r="L86" s="38">
        <f t="shared" si="20"/>
        <v>0</v>
      </c>
      <c r="O86" s="6"/>
      <c r="Q86" s="16">
        <v>37408</v>
      </c>
      <c r="AA86" s="60"/>
      <c r="AK86" s="21"/>
      <c r="AL86" s="22">
        <f t="shared" si="21"/>
        <v>0</v>
      </c>
      <c r="AM86" s="24">
        <f t="shared" si="22"/>
        <v>0</v>
      </c>
      <c r="AN86" s="41"/>
      <c r="AO86" s="16">
        <v>37408</v>
      </c>
      <c r="AY86" s="60"/>
      <c r="AZ86" s="40"/>
      <c r="BJ86" s="21"/>
      <c r="BK86">
        <f t="shared" si="23"/>
        <v>0</v>
      </c>
      <c r="BL86" s="24">
        <f t="shared" si="24"/>
        <v>0</v>
      </c>
    </row>
    <row r="87" spans="2:64" x14ac:dyDescent="0.2">
      <c r="B87" s="16">
        <v>37438</v>
      </c>
      <c r="C87" s="2">
        <v>0</v>
      </c>
      <c r="D87" s="4">
        <v>22</v>
      </c>
      <c r="E87" s="3">
        <f t="shared" si="18"/>
        <v>0</v>
      </c>
      <c r="F87" s="3"/>
      <c r="G87" s="15">
        <v>57.75</v>
      </c>
      <c r="H87" s="15">
        <v>57.75</v>
      </c>
      <c r="I87" s="15"/>
      <c r="J87" s="7">
        <f t="shared" si="19"/>
        <v>0</v>
      </c>
      <c r="L87" s="38">
        <f t="shared" si="20"/>
        <v>0</v>
      </c>
      <c r="O87" s="6"/>
      <c r="Q87" s="16">
        <v>37438</v>
      </c>
      <c r="AA87" s="60"/>
      <c r="AK87" s="21"/>
      <c r="AL87" s="22">
        <f t="shared" si="21"/>
        <v>0</v>
      </c>
      <c r="AM87" s="24">
        <f t="shared" si="22"/>
        <v>0</v>
      </c>
      <c r="AN87" s="41"/>
      <c r="AO87" s="16">
        <v>37438</v>
      </c>
      <c r="AP87">
        <v>56.5</v>
      </c>
      <c r="AY87" s="60"/>
      <c r="AZ87" s="40"/>
      <c r="BJ87" s="21"/>
      <c r="BK87">
        <f t="shared" si="23"/>
        <v>1</v>
      </c>
      <c r="BL87" s="24">
        <f t="shared" si="24"/>
        <v>-22000</v>
      </c>
    </row>
    <row r="88" spans="2:64" x14ac:dyDescent="0.2">
      <c r="B88" s="16">
        <v>37469</v>
      </c>
      <c r="C88" s="2">
        <v>0</v>
      </c>
      <c r="D88" s="4">
        <v>22</v>
      </c>
      <c r="E88" s="3">
        <f t="shared" si="18"/>
        <v>0</v>
      </c>
      <c r="F88" s="3"/>
      <c r="G88" s="15">
        <v>57.75</v>
      </c>
      <c r="H88" s="15">
        <v>57.75</v>
      </c>
      <c r="I88" s="15"/>
      <c r="J88" s="7">
        <f t="shared" si="19"/>
        <v>0</v>
      </c>
      <c r="L88" s="38">
        <f t="shared" si="20"/>
        <v>0</v>
      </c>
      <c r="O88" s="6"/>
      <c r="Q88" s="16">
        <v>37469</v>
      </c>
      <c r="AA88" s="60"/>
      <c r="AK88" s="21"/>
      <c r="AL88" s="22">
        <f t="shared" si="21"/>
        <v>0</v>
      </c>
      <c r="AM88" s="24">
        <f t="shared" si="22"/>
        <v>0</v>
      </c>
      <c r="AN88" s="41"/>
      <c r="AO88" s="16">
        <v>37469</v>
      </c>
      <c r="AP88">
        <v>56.5</v>
      </c>
      <c r="AY88" s="60"/>
      <c r="AZ88" s="40"/>
      <c r="BJ88" s="21"/>
      <c r="BK88">
        <f t="shared" si="23"/>
        <v>1</v>
      </c>
      <c r="BL88" s="24">
        <f t="shared" si="24"/>
        <v>-22000</v>
      </c>
    </row>
    <row r="89" spans="2:64" x14ac:dyDescent="0.2">
      <c r="B89" s="16">
        <v>37500</v>
      </c>
      <c r="C89" s="2">
        <v>0</v>
      </c>
      <c r="D89" s="4">
        <v>20</v>
      </c>
      <c r="E89" s="3">
        <f t="shared" si="18"/>
        <v>0</v>
      </c>
      <c r="F89" s="3"/>
      <c r="G89" s="15">
        <v>29.25</v>
      </c>
      <c r="H89" s="15">
        <v>29.25</v>
      </c>
      <c r="I89" s="15"/>
      <c r="J89" s="7">
        <f t="shared" si="19"/>
        <v>0</v>
      </c>
      <c r="L89" s="38">
        <f t="shared" si="20"/>
        <v>0</v>
      </c>
      <c r="O89" s="6"/>
      <c r="Q89" s="16"/>
      <c r="AA89" s="60"/>
      <c r="AK89" s="21"/>
      <c r="AL89" s="22">
        <f t="shared" si="21"/>
        <v>0</v>
      </c>
      <c r="AM89" s="24">
        <f t="shared" si="22"/>
        <v>0</v>
      </c>
      <c r="AN89" s="41"/>
      <c r="AO89" s="16"/>
      <c r="AY89" s="60"/>
      <c r="AZ89" s="40"/>
      <c r="BJ89" s="21"/>
      <c r="BL89" s="24"/>
    </row>
    <row r="90" spans="2:64" x14ac:dyDescent="0.2">
      <c r="B90" s="16">
        <v>37530</v>
      </c>
      <c r="C90" s="2">
        <v>0</v>
      </c>
      <c r="D90" s="4">
        <v>23</v>
      </c>
      <c r="E90" s="3">
        <f t="shared" si="18"/>
        <v>0</v>
      </c>
      <c r="F90" s="3"/>
      <c r="G90" s="15">
        <v>29.81</v>
      </c>
      <c r="H90" s="15">
        <v>29.81</v>
      </c>
      <c r="I90" s="15"/>
      <c r="J90" s="7">
        <f t="shared" si="19"/>
        <v>0</v>
      </c>
      <c r="L90" s="38">
        <f t="shared" si="20"/>
        <v>0</v>
      </c>
      <c r="O90" s="6"/>
      <c r="Q90" s="16"/>
      <c r="AA90" s="60"/>
      <c r="AK90" s="21"/>
      <c r="AL90" s="22">
        <f t="shared" si="21"/>
        <v>0</v>
      </c>
      <c r="AM90" s="24">
        <f t="shared" si="22"/>
        <v>0</v>
      </c>
      <c r="AN90" s="41"/>
      <c r="AO90" s="16"/>
      <c r="AY90" s="60"/>
      <c r="AZ90" s="40"/>
      <c r="BJ90" s="21"/>
      <c r="BL90" s="24"/>
    </row>
    <row r="91" spans="2:64" x14ac:dyDescent="0.2">
      <c r="B91" s="16">
        <v>37561</v>
      </c>
      <c r="C91" s="2">
        <v>0</v>
      </c>
      <c r="D91" s="4">
        <v>20</v>
      </c>
      <c r="E91" s="3">
        <f t="shared" si="18"/>
        <v>0</v>
      </c>
      <c r="F91" s="3"/>
      <c r="G91" s="15">
        <v>30.01</v>
      </c>
      <c r="H91" s="15">
        <v>30.01</v>
      </c>
      <c r="I91" s="15"/>
      <c r="J91" s="7">
        <f t="shared" si="19"/>
        <v>0</v>
      </c>
      <c r="L91" s="38">
        <f t="shared" si="20"/>
        <v>0</v>
      </c>
      <c r="O91" s="6"/>
      <c r="Q91" s="16"/>
      <c r="AA91" s="60"/>
      <c r="AK91" s="21"/>
      <c r="AL91" s="22">
        <f t="shared" si="21"/>
        <v>0</v>
      </c>
      <c r="AM91" s="24">
        <f t="shared" si="22"/>
        <v>0</v>
      </c>
      <c r="AN91" s="41"/>
      <c r="AO91" s="16"/>
      <c r="AY91" s="60"/>
      <c r="AZ91" s="40"/>
      <c r="BJ91" s="21"/>
      <c r="BL91" s="24"/>
    </row>
    <row r="92" spans="2:64" x14ac:dyDescent="0.2">
      <c r="B92" s="16">
        <v>37591</v>
      </c>
      <c r="C92" s="2">
        <v>0</v>
      </c>
      <c r="D92" s="4">
        <v>21</v>
      </c>
      <c r="E92" s="3">
        <f t="shared" si="18"/>
        <v>0</v>
      </c>
      <c r="F92" s="3"/>
      <c r="G92" s="15">
        <v>30.21</v>
      </c>
      <c r="H92" s="15">
        <v>30.21</v>
      </c>
      <c r="I92" s="15"/>
      <c r="J92" s="7">
        <f t="shared" si="19"/>
        <v>0</v>
      </c>
      <c r="L92" s="38">
        <f t="shared" si="20"/>
        <v>0</v>
      </c>
      <c r="O92" s="6"/>
      <c r="Q92" s="16"/>
      <c r="AA92" s="60"/>
      <c r="AK92" s="21"/>
      <c r="AL92" s="22">
        <f t="shared" si="21"/>
        <v>0</v>
      </c>
      <c r="AM92" s="24">
        <f t="shared" si="22"/>
        <v>0</v>
      </c>
      <c r="AN92" s="41"/>
      <c r="AO92" s="16"/>
      <c r="AY92" s="60"/>
      <c r="AZ92" s="40"/>
      <c r="BJ92" s="21"/>
      <c r="BL92" s="24"/>
    </row>
    <row r="93" spans="2:64" x14ac:dyDescent="0.2">
      <c r="B93" s="16"/>
      <c r="C93" s="2"/>
      <c r="D93" s="4"/>
      <c r="E93" s="3"/>
      <c r="F93" s="3"/>
      <c r="G93" s="15"/>
      <c r="H93" s="15"/>
      <c r="I93" s="15"/>
      <c r="J93" s="7"/>
      <c r="L93" s="38"/>
      <c r="O93" s="6"/>
      <c r="Q93" s="16"/>
      <c r="AA93" s="60"/>
      <c r="AK93" s="21"/>
      <c r="AL93" s="22">
        <f t="shared" si="21"/>
        <v>0</v>
      </c>
      <c r="AM93" s="24"/>
      <c r="AN93" s="41"/>
      <c r="AO93" s="16"/>
      <c r="AY93" s="60"/>
      <c r="AZ93" s="40"/>
      <c r="BJ93" s="21"/>
      <c r="BL93" s="24"/>
    </row>
    <row r="94" spans="2:64" x14ac:dyDescent="0.2">
      <c r="B94" s="16" t="s">
        <v>10</v>
      </c>
      <c r="C94" s="2">
        <v>0</v>
      </c>
      <c r="D94" s="4">
        <v>255</v>
      </c>
      <c r="E94" s="3">
        <f>C94*D94*16</f>
        <v>0</v>
      </c>
      <c r="F94" s="3"/>
      <c r="G94" s="15">
        <v>49.98</v>
      </c>
      <c r="H94" s="15">
        <v>49.98</v>
      </c>
      <c r="I94" s="15"/>
      <c r="J94" s="7">
        <f t="shared" si="19"/>
        <v>0</v>
      </c>
      <c r="L94" s="38">
        <f t="shared" si="20"/>
        <v>0</v>
      </c>
      <c r="O94" s="6"/>
      <c r="Q94" s="16">
        <v>37347</v>
      </c>
      <c r="AA94" s="60"/>
      <c r="AK94" s="21"/>
      <c r="AL94" s="22">
        <f t="shared" si="21"/>
        <v>0</v>
      </c>
      <c r="AM94" s="24">
        <f t="shared" si="22"/>
        <v>0</v>
      </c>
      <c r="AN94" s="41"/>
      <c r="AO94" s="16">
        <v>37347</v>
      </c>
      <c r="AY94" s="60"/>
      <c r="AZ94" s="40"/>
      <c r="BJ94" s="21"/>
      <c r="BK94">
        <f t="shared" si="23"/>
        <v>0</v>
      </c>
      <c r="BL94" s="24">
        <f t="shared" si="24"/>
        <v>0</v>
      </c>
    </row>
    <row r="95" spans="2:64" ht="13.5" thickBot="1" x14ac:dyDescent="0.25">
      <c r="B95" s="16" t="s">
        <v>24</v>
      </c>
      <c r="C95" s="2">
        <v>0</v>
      </c>
      <c r="D95" s="4">
        <v>255</v>
      </c>
      <c r="E95" s="18">
        <f>C95*D95*16</f>
        <v>0</v>
      </c>
      <c r="F95" s="3"/>
      <c r="G95" s="15">
        <v>34.75</v>
      </c>
      <c r="H95" s="15">
        <v>34.75</v>
      </c>
      <c r="I95" s="5"/>
      <c r="J95" s="7">
        <f t="shared" si="19"/>
        <v>0</v>
      </c>
      <c r="L95" s="38">
        <f t="shared" si="20"/>
        <v>0</v>
      </c>
      <c r="O95" s="6"/>
      <c r="AA95" s="60"/>
      <c r="AY95" s="60"/>
      <c r="AZ95" s="40"/>
    </row>
    <row r="96" spans="2:64" x14ac:dyDescent="0.2">
      <c r="E96" s="20">
        <f>SUM(E79:E95)</f>
        <v>0</v>
      </c>
      <c r="AM96" s="25">
        <f>SUM(AM79:AM94)</f>
        <v>0</v>
      </c>
      <c r="AY96" s="60"/>
      <c r="AZ96" s="40"/>
      <c r="BL96" s="25">
        <f>SUM(BL79:BL79)</f>
        <v>0</v>
      </c>
    </row>
    <row r="97" spans="2:64" x14ac:dyDescent="0.2">
      <c r="L97" s="25">
        <f>SUM(L79:L95)</f>
        <v>0</v>
      </c>
      <c r="AY97" s="60"/>
      <c r="AZ97" s="40"/>
    </row>
    <row r="99" spans="2:64" x14ac:dyDescent="0.2">
      <c r="B99" s="5" t="s">
        <v>25</v>
      </c>
      <c r="N99" s="5"/>
    </row>
    <row r="100" spans="2:64" ht="13.5" thickBot="1" x14ac:dyDescent="0.25"/>
    <row r="101" spans="2:64" ht="21" customHeight="1" thickBot="1" x14ac:dyDescent="0.25">
      <c r="B101" s="9" t="s">
        <v>2</v>
      </c>
      <c r="C101" s="10" t="s">
        <v>5</v>
      </c>
      <c r="D101" s="10" t="s">
        <v>7</v>
      </c>
      <c r="E101" s="11" t="s">
        <v>33</v>
      </c>
      <c r="F101" s="1"/>
      <c r="G101" s="9" t="s">
        <v>3</v>
      </c>
      <c r="H101" s="10" t="s">
        <v>4</v>
      </c>
      <c r="I101" s="10"/>
      <c r="J101" s="11" t="s">
        <v>6</v>
      </c>
      <c r="L101" s="14" t="s">
        <v>9</v>
      </c>
      <c r="N101" s="12" t="s">
        <v>28</v>
      </c>
      <c r="AM101" s="12" t="s">
        <v>9</v>
      </c>
      <c r="AO101" s="12" t="s">
        <v>28</v>
      </c>
      <c r="AP101" s="12" t="s">
        <v>17</v>
      </c>
      <c r="BL101" s="12" t="s">
        <v>9</v>
      </c>
    </row>
    <row r="103" spans="2:64" x14ac:dyDescent="0.2">
      <c r="B103" s="16">
        <v>37257</v>
      </c>
      <c r="C103" s="2">
        <v>-10000</v>
      </c>
      <c r="D103" s="4">
        <v>30</v>
      </c>
      <c r="E103" s="3">
        <f>D103*C103</f>
        <v>-300000</v>
      </c>
      <c r="F103" s="3"/>
      <c r="G103" s="44">
        <v>2.7010000000000001</v>
      </c>
      <c r="H103" s="44">
        <v>2.7010000000000001</v>
      </c>
      <c r="I103" s="15"/>
      <c r="J103" s="58">
        <f>H103-G103</f>
        <v>0</v>
      </c>
      <c r="L103" s="38">
        <f t="shared" ref="L103:L112" si="25">J103*E103</f>
        <v>0</v>
      </c>
      <c r="N103" s="16"/>
      <c r="AL103" s="42"/>
      <c r="AM103" s="43"/>
      <c r="AN103" s="41"/>
      <c r="BL103" s="43"/>
    </row>
    <row r="104" spans="2:64" x14ac:dyDescent="0.2">
      <c r="B104" s="16">
        <v>37288</v>
      </c>
      <c r="C104" s="2">
        <v>-20000</v>
      </c>
      <c r="D104" s="4">
        <v>29</v>
      </c>
      <c r="E104" s="3">
        <f>D104*C104</f>
        <v>-580000</v>
      </c>
      <c r="F104" s="3"/>
      <c r="G104" s="44">
        <v>2.786</v>
      </c>
      <c r="H104" s="44">
        <v>2.786</v>
      </c>
      <c r="I104" s="15"/>
      <c r="J104" s="58">
        <f>H104-G104</f>
        <v>0</v>
      </c>
      <c r="L104" s="38">
        <f t="shared" si="25"/>
        <v>0</v>
      </c>
      <c r="N104" s="16"/>
      <c r="AL104" s="42"/>
      <c r="AM104" s="43"/>
      <c r="AN104" s="41"/>
      <c r="BL104" s="43"/>
    </row>
    <row r="105" spans="2:64" x14ac:dyDescent="0.2">
      <c r="B105" s="16"/>
      <c r="C105" s="2"/>
      <c r="D105" s="4"/>
      <c r="E105" s="3">
        <f>D105*C105</f>
        <v>0</v>
      </c>
      <c r="F105" s="3"/>
      <c r="G105" s="44"/>
      <c r="H105" s="44"/>
      <c r="I105" s="15"/>
      <c r="J105" s="58"/>
      <c r="L105" s="38">
        <f t="shared" si="25"/>
        <v>0</v>
      </c>
      <c r="N105" s="16"/>
      <c r="AL105" s="42"/>
      <c r="AM105" s="43"/>
      <c r="AN105" s="41"/>
      <c r="BL105" s="43"/>
    </row>
    <row r="106" spans="2:64" x14ac:dyDescent="0.2">
      <c r="B106" s="16" t="s">
        <v>88</v>
      </c>
      <c r="C106" s="2">
        <v>-5000</v>
      </c>
      <c r="D106" s="4">
        <v>214</v>
      </c>
      <c r="E106" s="3">
        <f>D106*C106</f>
        <v>-1070000</v>
      </c>
      <c r="F106" s="3"/>
      <c r="G106" s="44">
        <v>2.81</v>
      </c>
      <c r="H106" s="44">
        <v>2.81</v>
      </c>
      <c r="I106" s="15"/>
      <c r="J106" s="58">
        <f>H106-G106</f>
        <v>0</v>
      </c>
      <c r="L106" s="38">
        <f t="shared" si="25"/>
        <v>0</v>
      </c>
      <c r="N106" s="16"/>
      <c r="AL106" s="42"/>
      <c r="AM106" s="43"/>
      <c r="AN106" s="41"/>
      <c r="BL106" s="43"/>
    </row>
    <row r="107" spans="2:64" x14ac:dyDescent="0.2">
      <c r="B107" s="16" t="s">
        <v>42</v>
      </c>
      <c r="C107" s="2">
        <v>-10000</v>
      </c>
      <c r="D107" s="4">
        <v>151</v>
      </c>
      <c r="E107" s="3">
        <f t="shared" ref="E107:E112" si="26">D107*C107</f>
        <v>-1510000</v>
      </c>
      <c r="F107" s="3"/>
      <c r="G107" s="44">
        <v>3.21</v>
      </c>
      <c r="H107" s="44">
        <v>3.21</v>
      </c>
      <c r="I107" s="15"/>
      <c r="J107" s="58">
        <f t="shared" ref="J107:J112" si="27">H107-G107</f>
        <v>0</v>
      </c>
      <c r="L107" s="38">
        <f t="shared" si="25"/>
        <v>0</v>
      </c>
      <c r="N107" s="16" t="s">
        <v>42</v>
      </c>
      <c r="AL107" s="42">
        <f t="shared" ref="AL107:AL113" si="28">COUNT(O107:AK107)</f>
        <v>0</v>
      </c>
      <c r="AM107" s="43">
        <f t="shared" ref="AM107:AM113" si="29">IF(O107&gt;0,(H107-(AVERAGE(O107:AH107)))*AL107*D107*5000,0)</f>
        <v>0</v>
      </c>
      <c r="AN107" s="41"/>
      <c r="AO107" s="16" t="s">
        <v>42</v>
      </c>
      <c r="BK107">
        <f t="shared" ref="BK107:BK112" si="30">COUNT(AP107:BJ107)</f>
        <v>0</v>
      </c>
      <c r="BL107" s="43">
        <f t="shared" ref="BL107:BL112" si="31">IF(AP107&gt;0,((AVERAGE(AP107:BJ107))-H107)*D107*5000*BK107,0)</f>
        <v>0</v>
      </c>
    </row>
    <row r="108" spans="2:64" x14ac:dyDescent="0.2">
      <c r="B108" s="16" t="s">
        <v>10</v>
      </c>
      <c r="C108" s="2">
        <v>0</v>
      </c>
      <c r="D108" s="4">
        <v>365</v>
      </c>
      <c r="E108" s="3">
        <f t="shared" si="26"/>
        <v>0</v>
      </c>
      <c r="F108" s="3"/>
      <c r="G108" s="44">
        <v>3.14</v>
      </c>
      <c r="H108" s="44">
        <v>3.14</v>
      </c>
      <c r="I108" s="15"/>
      <c r="J108" s="58">
        <f t="shared" si="27"/>
        <v>0</v>
      </c>
      <c r="L108" s="38">
        <f t="shared" si="25"/>
        <v>0</v>
      </c>
      <c r="N108" s="16" t="s">
        <v>10</v>
      </c>
      <c r="AL108" s="42">
        <f t="shared" si="28"/>
        <v>0</v>
      </c>
      <c r="AM108" s="43">
        <f t="shared" si="29"/>
        <v>0</v>
      </c>
      <c r="AN108" s="41"/>
      <c r="AO108" s="16"/>
      <c r="BK108">
        <f t="shared" si="30"/>
        <v>0</v>
      </c>
      <c r="BL108" s="43">
        <f t="shared" si="31"/>
        <v>0</v>
      </c>
    </row>
    <row r="109" spans="2:64" x14ac:dyDescent="0.2">
      <c r="B109" s="16" t="s">
        <v>11</v>
      </c>
      <c r="C109" s="2">
        <v>-10000</v>
      </c>
      <c r="D109" s="4">
        <v>365</v>
      </c>
      <c r="E109" s="3">
        <f t="shared" si="26"/>
        <v>-3650000</v>
      </c>
      <c r="F109" s="3"/>
      <c r="G109" s="44">
        <v>3.242</v>
      </c>
      <c r="H109" s="44">
        <v>3.242</v>
      </c>
      <c r="I109" s="15"/>
      <c r="J109" s="58">
        <f t="shared" si="27"/>
        <v>0</v>
      </c>
      <c r="L109" s="38">
        <f t="shared" si="25"/>
        <v>0</v>
      </c>
      <c r="N109" s="16" t="s">
        <v>11</v>
      </c>
      <c r="AL109" s="42">
        <f t="shared" si="28"/>
        <v>0</v>
      </c>
      <c r="AM109" s="43">
        <f t="shared" si="29"/>
        <v>0</v>
      </c>
      <c r="AN109" s="41"/>
      <c r="AO109" s="16"/>
      <c r="BK109">
        <f t="shared" si="30"/>
        <v>0</v>
      </c>
      <c r="BL109" s="43">
        <f t="shared" si="31"/>
        <v>0</v>
      </c>
    </row>
    <row r="110" spans="2:64" x14ac:dyDescent="0.2">
      <c r="B110" s="16" t="s">
        <v>12</v>
      </c>
      <c r="C110" s="2">
        <v>0</v>
      </c>
      <c r="D110" s="4">
        <v>365</v>
      </c>
      <c r="E110" s="3">
        <f t="shared" si="26"/>
        <v>0</v>
      </c>
      <c r="F110" s="3"/>
      <c r="G110" s="44">
        <v>3.48</v>
      </c>
      <c r="H110" s="44">
        <v>3.48</v>
      </c>
      <c r="I110" s="15"/>
      <c r="J110" s="58">
        <f t="shared" si="27"/>
        <v>0</v>
      </c>
      <c r="L110" s="38">
        <f t="shared" si="25"/>
        <v>0</v>
      </c>
      <c r="N110" s="16" t="s">
        <v>12</v>
      </c>
      <c r="AL110" s="42">
        <f t="shared" si="28"/>
        <v>0</v>
      </c>
      <c r="AM110" s="43">
        <f t="shared" si="29"/>
        <v>0</v>
      </c>
      <c r="AN110" s="41"/>
      <c r="AO110" s="16"/>
      <c r="BK110">
        <f t="shared" si="30"/>
        <v>0</v>
      </c>
      <c r="BL110" s="43">
        <f t="shared" si="31"/>
        <v>0</v>
      </c>
    </row>
    <row r="111" spans="2:64" x14ac:dyDescent="0.2">
      <c r="B111" s="16" t="s">
        <v>24</v>
      </c>
      <c r="C111" s="2">
        <v>0</v>
      </c>
      <c r="D111" s="4">
        <v>365</v>
      </c>
      <c r="E111" s="3">
        <f t="shared" si="26"/>
        <v>0</v>
      </c>
      <c r="F111" s="3"/>
      <c r="G111" s="44">
        <v>4.2060000000000004</v>
      </c>
      <c r="H111" s="44">
        <v>4.2060000000000004</v>
      </c>
      <c r="I111" s="15"/>
      <c r="J111" s="58">
        <f t="shared" si="27"/>
        <v>0</v>
      </c>
      <c r="L111" s="38">
        <f t="shared" si="25"/>
        <v>0</v>
      </c>
      <c r="N111" s="16" t="s">
        <v>24</v>
      </c>
      <c r="AL111" s="42">
        <f t="shared" si="28"/>
        <v>0</v>
      </c>
      <c r="AM111" s="43">
        <f t="shared" si="29"/>
        <v>0</v>
      </c>
      <c r="AN111" s="41"/>
      <c r="AO111" s="16" t="s">
        <v>24</v>
      </c>
      <c r="BK111">
        <f t="shared" si="30"/>
        <v>0</v>
      </c>
      <c r="BL111" s="43">
        <f t="shared" si="31"/>
        <v>0</v>
      </c>
    </row>
    <row r="112" spans="2:64" x14ac:dyDescent="0.2">
      <c r="B112" s="16" t="s">
        <v>34</v>
      </c>
      <c r="C112" s="2">
        <v>0</v>
      </c>
      <c r="D112" s="4">
        <v>365</v>
      </c>
      <c r="E112" s="3">
        <f t="shared" si="26"/>
        <v>0</v>
      </c>
      <c r="F112" s="3"/>
      <c r="G112" s="44">
        <v>4.226</v>
      </c>
      <c r="H112" s="44">
        <v>4.226</v>
      </c>
      <c r="I112" s="15"/>
      <c r="J112" s="58">
        <f t="shared" si="27"/>
        <v>0</v>
      </c>
      <c r="L112" s="38">
        <f t="shared" si="25"/>
        <v>0</v>
      </c>
      <c r="N112" s="16" t="s">
        <v>34</v>
      </c>
      <c r="AL112" s="42">
        <f t="shared" si="28"/>
        <v>0</v>
      </c>
      <c r="AM112" s="43">
        <f t="shared" si="29"/>
        <v>0</v>
      </c>
      <c r="AN112" s="41"/>
      <c r="AO112" s="16" t="s">
        <v>34</v>
      </c>
      <c r="BK112">
        <f t="shared" si="30"/>
        <v>0</v>
      </c>
      <c r="BL112" s="43">
        <f t="shared" si="31"/>
        <v>0</v>
      </c>
    </row>
    <row r="113" spans="2:64" x14ac:dyDescent="0.2">
      <c r="AL113" s="42">
        <f t="shared" si="28"/>
        <v>0</v>
      </c>
      <c r="AM113" s="43">
        <f t="shared" si="29"/>
        <v>0</v>
      </c>
    </row>
    <row r="114" spans="2:64" x14ac:dyDescent="0.2">
      <c r="E114" s="19">
        <f>SUM(E103:E112)</f>
        <v>-7110000</v>
      </c>
      <c r="AN114" s="25"/>
      <c r="BL114" s="25">
        <f>SUM(BL103:BL113)</f>
        <v>0</v>
      </c>
    </row>
    <row r="115" spans="2:64" x14ac:dyDescent="0.2">
      <c r="L115" s="25">
        <f>SUM(L103:L114)</f>
        <v>0</v>
      </c>
      <c r="AM115" s="25">
        <f>SUM(AM103:AM114)</f>
        <v>0</v>
      </c>
    </row>
    <row r="118" spans="2:64" x14ac:dyDescent="0.2">
      <c r="P118" t="s">
        <v>56</v>
      </c>
    </row>
    <row r="119" spans="2:64" x14ac:dyDescent="0.2">
      <c r="C119" s="8"/>
      <c r="D119" s="8"/>
      <c r="E119" s="8"/>
    </row>
    <row r="120" spans="2:64" x14ac:dyDescent="0.2">
      <c r="B120" s="61"/>
    </row>
    <row r="121" spans="2:64" x14ac:dyDescent="0.2">
      <c r="B121" s="61"/>
    </row>
    <row r="122" spans="2:64" x14ac:dyDescent="0.2">
      <c r="B122" s="61"/>
    </row>
    <row r="123" spans="2:64" x14ac:dyDescent="0.2">
      <c r="B123" s="61"/>
    </row>
    <row r="124" spans="2:64" x14ac:dyDescent="0.2">
      <c r="B124" s="61"/>
    </row>
    <row r="125" spans="2:64" x14ac:dyDescent="0.2">
      <c r="B125" s="61"/>
    </row>
    <row r="126" spans="2:64" x14ac:dyDescent="0.2">
      <c r="B126" s="61"/>
      <c r="T126" s="8" t="s">
        <v>61</v>
      </c>
    </row>
    <row r="127" spans="2:64" x14ac:dyDescent="0.2">
      <c r="B127" s="61"/>
    </row>
    <row r="128" spans="2:64" x14ac:dyDescent="0.2">
      <c r="B128" s="61"/>
      <c r="S128" s="8"/>
      <c r="T128" s="8" t="s">
        <v>63</v>
      </c>
      <c r="U128" s="8">
        <v>10</v>
      </c>
      <c r="V128" s="62" t="s">
        <v>62</v>
      </c>
      <c r="W128" s="8"/>
    </row>
    <row r="129" spans="2:22" x14ac:dyDescent="0.2">
      <c r="B129" s="61"/>
      <c r="V129" s="8">
        <v>1822</v>
      </c>
    </row>
    <row r="130" spans="2:22" x14ac:dyDescent="0.2">
      <c r="B130" s="61"/>
      <c r="T130" s="1">
        <v>97</v>
      </c>
      <c r="U130" s="8">
        <v>110</v>
      </c>
      <c r="V130" s="8">
        <f t="shared" ref="V130:V167" si="32">V129+U130</f>
        <v>1932</v>
      </c>
    </row>
    <row r="131" spans="2:22" x14ac:dyDescent="0.2">
      <c r="B131" s="61"/>
      <c r="T131" s="1">
        <v>70</v>
      </c>
      <c r="U131" s="8">
        <v>110</v>
      </c>
      <c r="V131" s="8">
        <f t="shared" si="32"/>
        <v>2042</v>
      </c>
    </row>
    <row r="132" spans="2:22" x14ac:dyDescent="0.2">
      <c r="B132" s="61"/>
      <c r="T132" s="1">
        <v>54</v>
      </c>
      <c r="U132" s="8">
        <v>84</v>
      </c>
      <c r="V132" s="8">
        <f t="shared" si="32"/>
        <v>2126</v>
      </c>
    </row>
    <row r="133" spans="2:22" x14ac:dyDescent="0.2">
      <c r="B133" s="61"/>
      <c r="T133" s="1">
        <v>63</v>
      </c>
      <c r="U133" s="8">
        <v>77</v>
      </c>
      <c r="V133" s="8">
        <f t="shared" si="32"/>
        <v>2203</v>
      </c>
    </row>
    <row r="134" spans="2:22" x14ac:dyDescent="0.2">
      <c r="B134" s="61"/>
      <c r="T134" s="1">
        <v>65</v>
      </c>
      <c r="U134" s="8">
        <v>80</v>
      </c>
      <c r="V134" s="8">
        <f t="shared" si="32"/>
        <v>2283</v>
      </c>
    </row>
    <row r="135" spans="2:22" x14ac:dyDescent="0.2">
      <c r="B135" s="61"/>
      <c r="T135" s="1">
        <v>52</v>
      </c>
      <c r="U135" s="8">
        <v>49</v>
      </c>
      <c r="V135" s="8">
        <f t="shared" si="32"/>
        <v>2332</v>
      </c>
    </row>
    <row r="136" spans="2:22" x14ac:dyDescent="0.2">
      <c r="B136" s="61"/>
      <c r="T136" s="1">
        <v>55</v>
      </c>
      <c r="U136" s="8">
        <v>87</v>
      </c>
      <c r="V136" s="8">
        <f t="shared" si="32"/>
        <v>2419</v>
      </c>
    </row>
    <row r="137" spans="2:22" x14ac:dyDescent="0.2">
      <c r="B137" s="61"/>
      <c r="T137" s="1">
        <v>52</v>
      </c>
      <c r="U137" s="8">
        <v>76</v>
      </c>
      <c r="V137" s="8">
        <f t="shared" si="32"/>
        <v>2495</v>
      </c>
    </row>
    <row r="138" spans="2:22" x14ac:dyDescent="0.2">
      <c r="B138" s="61"/>
      <c r="T138" s="1">
        <v>42</v>
      </c>
      <c r="U138" s="8">
        <v>77</v>
      </c>
      <c r="V138" s="8">
        <f t="shared" si="32"/>
        <v>2572</v>
      </c>
    </row>
    <row r="139" spans="2:22" x14ac:dyDescent="0.2">
      <c r="B139" s="61"/>
      <c r="T139" s="1">
        <v>72</v>
      </c>
      <c r="U139" s="8">
        <v>95</v>
      </c>
      <c r="V139" s="8">
        <f t="shared" si="32"/>
        <v>2667</v>
      </c>
    </row>
    <row r="140" spans="2:22" x14ac:dyDescent="0.2">
      <c r="B140" s="61"/>
      <c r="T140" s="1">
        <v>67</v>
      </c>
      <c r="U140" s="8">
        <v>90</v>
      </c>
      <c r="V140" s="8">
        <f t="shared" si="32"/>
        <v>2757</v>
      </c>
    </row>
    <row r="141" spans="2:22" x14ac:dyDescent="0.2">
      <c r="B141" s="61"/>
      <c r="T141" s="1">
        <v>77</v>
      </c>
      <c r="U141" s="8">
        <v>91</v>
      </c>
      <c r="V141" s="8">
        <f t="shared" si="32"/>
        <v>2848</v>
      </c>
    </row>
    <row r="142" spans="2:22" x14ac:dyDescent="0.2">
      <c r="B142" s="61"/>
      <c r="T142" s="1">
        <v>78</v>
      </c>
      <c r="U142" s="8">
        <v>66</v>
      </c>
      <c r="V142" s="8">
        <f t="shared" si="32"/>
        <v>2914</v>
      </c>
    </row>
    <row r="143" spans="2:22" x14ac:dyDescent="0.2">
      <c r="B143" s="61"/>
      <c r="T143" s="1">
        <v>62</v>
      </c>
      <c r="U143" s="8">
        <v>65</v>
      </c>
      <c r="V143" s="8">
        <f t="shared" si="32"/>
        <v>2979</v>
      </c>
    </row>
    <row r="144" spans="2:22" x14ac:dyDescent="0.2">
      <c r="B144" s="61"/>
      <c r="T144" s="1">
        <v>29</v>
      </c>
      <c r="U144" s="8">
        <v>63</v>
      </c>
      <c r="V144" s="8">
        <f t="shared" si="32"/>
        <v>3042</v>
      </c>
    </row>
    <row r="145" spans="2:27" x14ac:dyDescent="0.2">
      <c r="B145" s="61"/>
      <c r="T145" s="1">
        <v>71</v>
      </c>
      <c r="U145" s="8">
        <v>25</v>
      </c>
      <c r="V145" s="8">
        <f t="shared" si="32"/>
        <v>3067</v>
      </c>
      <c r="Y145" s="8" t="s">
        <v>70</v>
      </c>
      <c r="Z145" s="8" t="s">
        <v>71</v>
      </c>
      <c r="AA145" s="8" t="s">
        <v>72</v>
      </c>
    </row>
    <row r="146" spans="2:27" ht="13.5" thickBot="1" x14ac:dyDescent="0.25">
      <c r="B146" s="61"/>
      <c r="S146" s="5" t="s">
        <v>64</v>
      </c>
      <c r="T146" s="63">
        <v>70</v>
      </c>
      <c r="U146" s="67">
        <v>23</v>
      </c>
      <c r="V146" s="8">
        <f t="shared" si="32"/>
        <v>3090</v>
      </c>
      <c r="W146" s="68" t="s">
        <v>89</v>
      </c>
      <c r="X146" s="68" t="s">
        <v>90</v>
      </c>
      <c r="Y146" s="1">
        <v>3094</v>
      </c>
      <c r="Z146" s="1">
        <v>2725</v>
      </c>
      <c r="AA146" s="1">
        <v>3007</v>
      </c>
    </row>
    <row r="147" spans="2:27" x14ac:dyDescent="0.2">
      <c r="B147" s="61"/>
      <c r="R147" s="62" t="s">
        <v>65</v>
      </c>
      <c r="S147">
        <v>36</v>
      </c>
      <c r="T147" s="8">
        <v>18</v>
      </c>
      <c r="U147" s="8">
        <v>10</v>
      </c>
      <c r="V147" s="8">
        <f t="shared" si="32"/>
        <v>3100</v>
      </c>
      <c r="W147" s="8">
        <v>2748</v>
      </c>
      <c r="X147" s="1">
        <f>V147-W147</f>
        <v>352</v>
      </c>
    </row>
    <row r="148" spans="2:27" x14ac:dyDescent="0.2">
      <c r="B148" s="61"/>
      <c r="S148">
        <v>-6</v>
      </c>
      <c r="T148" s="1">
        <v>-8</v>
      </c>
      <c r="U148" s="8">
        <v>17</v>
      </c>
      <c r="V148" s="8">
        <f t="shared" si="32"/>
        <v>3117</v>
      </c>
      <c r="W148" s="8">
        <v>2742</v>
      </c>
      <c r="X148" s="1">
        <f t="shared" ref="X148:X167" si="33">V148-W148</f>
        <v>375</v>
      </c>
    </row>
    <row r="149" spans="2:27" x14ac:dyDescent="0.2">
      <c r="B149" s="61"/>
      <c r="S149">
        <v>-94</v>
      </c>
      <c r="T149" s="1">
        <v>-57</v>
      </c>
      <c r="U149" s="8">
        <v>15</v>
      </c>
      <c r="V149" s="8">
        <f t="shared" si="32"/>
        <v>3132</v>
      </c>
      <c r="W149" s="8">
        <v>2648</v>
      </c>
      <c r="X149" s="1">
        <f t="shared" si="33"/>
        <v>484</v>
      </c>
    </row>
    <row r="150" spans="2:27" x14ac:dyDescent="0.2">
      <c r="B150" s="61"/>
      <c r="S150">
        <v>-146</v>
      </c>
      <c r="T150" s="1">
        <v>-64</v>
      </c>
      <c r="U150" s="8">
        <v>12</v>
      </c>
      <c r="V150" s="8">
        <f t="shared" si="32"/>
        <v>3144</v>
      </c>
      <c r="W150" s="8">
        <v>2502</v>
      </c>
      <c r="X150" s="1">
        <f t="shared" si="33"/>
        <v>642</v>
      </c>
    </row>
    <row r="151" spans="2:27" x14ac:dyDescent="0.2">
      <c r="S151">
        <v>-73</v>
      </c>
      <c r="T151" s="1">
        <v>-62</v>
      </c>
      <c r="U151" s="8">
        <v>-16</v>
      </c>
      <c r="V151" s="8">
        <f t="shared" si="32"/>
        <v>3128</v>
      </c>
      <c r="W151" s="8">
        <v>2429</v>
      </c>
      <c r="X151" s="1">
        <f t="shared" si="33"/>
        <v>699</v>
      </c>
    </row>
    <row r="152" spans="2:27" x14ac:dyDescent="0.2">
      <c r="S152">
        <v>-158</v>
      </c>
      <c r="T152" s="1">
        <v>-66</v>
      </c>
      <c r="U152" s="1">
        <v>-40</v>
      </c>
      <c r="V152" s="1">
        <f t="shared" si="32"/>
        <v>3088</v>
      </c>
      <c r="W152" s="8">
        <v>2271</v>
      </c>
      <c r="X152" s="1">
        <f t="shared" si="33"/>
        <v>817</v>
      </c>
    </row>
    <row r="153" spans="2:27" x14ac:dyDescent="0.2">
      <c r="S153">
        <v>-158</v>
      </c>
      <c r="T153" s="1">
        <v>-122</v>
      </c>
      <c r="U153" s="1">
        <v>-65</v>
      </c>
      <c r="V153" s="1">
        <f t="shared" si="32"/>
        <v>3023</v>
      </c>
      <c r="W153" s="8">
        <v>2113</v>
      </c>
      <c r="X153" s="1">
        <f t="shared" si="33"/>
        <v>910</v>
      </c>
    </row>
    <row r="154" spans="2:27" x14ac:dyDescent="0.2">
      <c r="S154">
        <v>-175</v>
      </c>
      <c r="T154" s="1">
        <v>-133</v>
      </c>
      <c r="U154" s="1">
        <v>-100</v>
      </c>
      <c r="V154" s="1">
        <f t="shared" si="32"/>
        <v>2923</v>
      </c>
      <c r="W154" s="8">
        <v>1938</v>
      </c>
      <c r="X154" s="1">
        <f t="shared" si="33"/>
        <v>985</v>
      </c>
    </row>
    <row r="155" spans="2:27" x14ac:dyDescent="0.2">
      <c r="S155">
        <v>-209</v>
      </c>
      <c r="T155" s="1">
        <v>-135</v>
      </c>
      <c r="U155" s="1">
        <f t="shared" ref="U155:U167" si="34">T155</f>
        <v>-135</v>
      </c>
      <c r="V155" s="1">
        <f t="shared" si="32"/>
        <v>2788</v>
      </c>
      <c r="W155" s="8">
        <v>1729</v>
      </c>
      <c r="X155" s="1">
        <f t="shared" si="33"/>
        <v>1059</v>
      </c>
    </row>
    <row r="156" spans="2:27" x14ac:dyDescent="0.2">
      <c r="S156">
        <v>-167</v>
      </c>
      <c r="T156" s="1">
        <v>-131</v>
      </c>
      <c r="U156" s="1">
        <f t="shared" si="34"/>
        <v>-131</v>
      </c>
      <c r="V156" s="1">
        <f t="shared" si="32"/>
        <v>2657</v>
      </c>
      <c r="W156" s="8">
        <f>W155+S156</f>
        <v>1562</v>
      </c>
      <c r="X156" s="1">
        <f t="shared" si="33"/>
        <v>1095</v>
      </c>
    </row>
    <row r="157" spans="2:27" x14ac:dyDescent="0.2">
      <c r="S157">
        <v>-103</v>
      </c>
      <c r="T157" s="1">
        <v>-133</v>
      </c>
      <c r="U157" s="1">
        <f t="shared" si="34"/>
        <v>-133</v>
      </c>
      <c r="V157" s="1">
        <f t="shared" si="32"/>
        <v>2524</v>
      </c>
      <c r="W157" s="8">
        <f t="shared" ref="W157:W167" si="35">W156+S157</f>
        <v>1459</v>
      </c>
      <c r="X157" s="1">
        <f t="shared" si="33"/>
        <v>1065</v>
      </c>
    </row>
    <row r="158" spans="2:27" x14ac:dyDescent="0.2">
      <c r="S158">
        <v>-90</v>
      </c>
      <c r="T158" s="1">
        <v>-155</v>
      </c>
      <c r="U158" s="1">
        <f t="shared" si="34"/>
        <v>-155</v>
      </c>
      <c r="V158" s="1">
        <f t="shared" si="32"/>
        <v>2369</v>
      </c>
      <c r="W158" s="8">
        <f t="shared" si="35"/>
        <v>1369</v>
      </c>
      <c r="X158" s="1">
        <f t="shared" si="33"/>
        <v>1000</v>
      </c>
    </row>
    <row r="159" spans="2:27" x14ac:dyDescent="0.2">
      <c r="S159">
        <v>-128</v>
      </c>
      <c r="T159" s="1">
        <v>-153</v>
      </c>
      <c r="U159" s="1">
        <f t="shared" si="34"/>
        <v>-153</v>
      </c>
      <c r="V159" s="1">
        <f t="shared" si="32"/>
        <v>2216</v>
      </c>
      <c r="W159" s="8">
        <f t="shared" si="35"/>
        <v>1241</v>
      </c>
      <c r="X159" s="1">
        <f t="shared" si="33"/>
        <v>975</v>
      </c>
    </row>
    <row r="160" spans="2:27" x14ac:dyDescent="0.2">
      <c r="S160">
        <v>-105</v>
      </c>
      <c r="T160" s="1">
        <v>-145</v>
      </c>
      <c r="U160" s="1">
        <f t="shared" si="34"/>
        <v>-145</v>
      </c>
      <c r="V160" s="1">
        <f t="shared" si="32"/>
        <v>2071</v>
      </c>
      <c r="W160" s="8">
        <f t="shared" si="35"/>
        <v>1136</v>
      </c>
      <c r="X160" s="1">
        <f t="shared" si="33"/>
        <v>935</v>
      </c>
    </row>
    <row r="161" spans="18:27" x14ac:dyDescent="0.2">
      <c r="S161">
        <v>-95</v>
      </c>
      <c r="T161" s="1">
        <v>-132</v>
      </c>
      <c r="U161" s="1">
        <f t="shared" si="34"/>
        <v>-132</v>
      </c>
      <c r="V161" s="1">
        <f t="shared" si="32"/>
        <v>1939</v>
      </c>
      <c r="W161" s="8">
        <f t="shared" si="35"/>
        <v>1041</v>
      </c>
      <c r="X161" s="1">
        <f t="shared" si="33"/>
        <v>898</v>
      </c>
    </row>
    <row r="162" spans="18:27" x14ac:dyDescent="0.2">
      <c r="S162">
        <v>-81</v>
      </c>
      <c r="T162" s="1">
        <v>-116</v>
      </c>
      <c r="U162" s="1">
        <f t="shared" si="34"/>
        <v>-116</v>
      </c>
      <c r="V162" s="1">
        <f t="shared" si="32"/>
        <v>1823</v>
      </c>
      <c r="W162" s="8">
        <f t="shared" si="35"/>
        <v>960</v>
      </c>
      <c r="X162" s="1">
        <f t="shared" si="33"/>
        <v>863</v>
      </c>
    </row>
    <row r="163" spans="18:27" x14ac:dyDescent="0.2">
      <c r="S163">
        <v>-101</v>
      </c>
      <c r="T163" s="1">
        <v>-75</v>
      </c>
      <c r="U163" s="1">
        <f t="shared" si="34"/>
        <v>-75</v>
      </c>
      <c r="V163" s="1">
        <f t="shared" si="32"/>
        <v>1748</v>
      </c>
      <c r="W163" s="8">
        <f t="shared" si="35"/>
        <v>859</v>
      </c>
      <c r="X163" s="1">
        <f t="shared" si="33"/>
        <v>889</v>
      </c>
    </row>
    <row r="164" spans="18:27" x14ac:dyDescent="0.2">
      <c r="S164">
        <v>-73</v>
      </c>
      <c r="T164" s="1">
        <v>-77</v>
      </c>
      <c r="U164" s="1">
        <f t="shared" si="34"/>
        <v>-77</v>
      </c>
      <c r="V164" s="1">
        <f t="shared" si="32"/>
        <v>1671</v>
      </c>
      <c r="W164" s="8">
        <f t="shared" si="35"/>
        <v>786</v>
      </c>
      <c r="X164" s="1">
        <f t="shared" si="33"/>
        <v>885</v>
      </c>
    </row>
    <row r="165" spans="18:27" x14ac:dyDescent="0.2">
      <c r="S165">
        <v>-75</v>
      </c>
      <c r="T165" s="1">
        <v>-77</v>
      </c>
      <c r="U165" s="1">
        <f t="shared" si="34"/>
        <v>-77</v>
      </c>
      <c r="V165" s="1">
        <f t="shared" si="32"/>
        <v>1594</v>
      </c>
      <c r="W165" s="8">
        <f t="shared" si="35"/>
        <v>711</v>
      </c>
      <c r="X165" s="1">
        <f t="shared" si="33"/>
        <v>883</v>
      </c>
    </row>
    <row r="166" spans="18:27" x14ac:dyDescent="0.2">
      <c r="S166">
        <v>-23</v>
      </c>
      <c r="T166" s="1">
        <v>-71</v>
      </c>
      <c r="U166" s="1">
        <f t="shared" si="34"/>
        <v>-71</v>
      </c>
      <c r="V166" s="1">
        <f t="shared" si="32"/>
        <v>1523</v>
      </c>
      <c r="W166" s="8">
        <f t="shared" si="35"/>
        <v>688</v>
      </c>
      <c r="X166" s="1">
        <f t="shared" si="33"/>
        <v>835</v>
      </c>
    </row>
    <row r="167" spans="18:27" x14ac:dyDescent="0.2">
      <c r="R167" t="s">
        <v>66</v>
      </c>
      <c r="S167">
        <v>-12</v>
      </c>
      <c r="T167" s="1">
        <v>-41</v>
      </c>
      <c r="U167" s="1">
        <f t="shared" si="34"/>
        <v>-41</v>
      </c>
      <c r="V167" s="1">
        <f t="shared" si="32"/>
        <v>1482</v>
      </c>
      <c r="W167" s="8">
        <f t="shared" si="35"/>
        <v>676</v>
      </c>
      <c r="X167" s="1">
        <f t="shared" si="33"/>
        <v>806</v>
      </c>
      <c r="Y167" s="1">
        <v>1372</v>
      </c>
      <c r="Z167" s="1">
        <v>625</v>
      </c>
      <c r="AA167" s="1">
        <v>1055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6"/>
  <sheetViews>
    <sheetView topLeftCell="C30" workbookViewId="0">
      <selection activeCell="M63" sqref="M63"/>
    </sheetView>
  </sheetViews>
  <sheetFormatPr defaultRowHeight="12.75" x14ac:dyDescent="0.2"/>
  <cols>
    <col min="1" max="1" width="4.5703125" customWidth="1"/>
    <col min="7" max="9" width="0" hidden="1" customWidth="1"/>
    <col min="10" max="10" width="11.42578125" customWidth="1"/>
    <col min="11" max="11" width="5" customWidth="1"/>
    <col min="12" max="12" width="13" customWidth="1"/>
    <col min="13" max="13" width="10.42578125" customWidth="1"/>
    <col min="14" max="16" width="11.5703125" hidden="1" customWidth="1"/>
    <col min="18" max="18" width="4.140625" customWidth="1"/>
    <col min="19" max="19" width="15.5703125" customWidth="1"/>
    <col min="21" max="21" width="12.28515625" customWidth="1"/>
    <col min="22" max="22" width="9.85546875" customWidth="1"/>
  </cols>
  <sheetData>
    <row r="1" spans="2:22" ht="20.25" customHeight="1" x14ac:dyDescent="0.2">
      <c r="B1" s="5" t="s">
        <v>31</v>
      </c>
    </row>
    <row r="2" spans="2:22" ht="13.5" thickBot="1" x14ac:dyDescent="0.25"/>
    <row r="3" spans="2:22" ht="19.5" customHeight="1" thickBot="1" x14ac:dyDescent="0.25">
      <c r="B3" s="9" t="s">
        <v>2</v>
      </c>
      <c r="C3" s="10" t="s">
        <v>5</v>
      </c>
      <c r="D3" s="10"/>
      <c r="E3" s="10" t="s">
        <v>7</v>
      </c>
      <c r="F3" s="10" t="s">
        <v>60</v>
      </c>
      <c r="G3" s="10" t="s">
        <v>38</v>
      </c>
      <c r="H3" s="10" t="s">
        <v>40</v>
      </c>
      <c r="I3" s="10" t="s">
        <v>41</v>
      </c>
      <c r="J3" s="11" t="s">
        <v>8</v>
      </c>
      <c r="K3" s="1"/>
      <c r="L3" s="9" t="s">
        <v>3</v>
      </c>
      <c r="M3" s="10" t="s">
        <v>4</v>
      </c>
      <c r="N3" s="10" t="s">
        <v>39</v>
      </c>
      <c r="O3" s="10" t="s">
        <v>40</v>
      </c>
      <c r="P3" s="10" t="s">
        <v>41</v>
      </c>
      <c r="Q3" s="11" t="s">
        <v>6</v>
      </c>
      <c r="S3" s="14" t="s">
        <v>9</v>
      </c>
    </row>
    <row r="5" spans="2:22" ht="8.25" customHeight="1" x14ac:dyDescent="0.2">
      <c r="B5" s="16"/>
      <c r="C5" s="2"/>
      <c r="D5" s="2"/>
      <c r="E5" s="4"/>
      <c r="F5" s="4"/>
      <c r="G5" s="4"/>
      <c r="H5" s="4"/>
      <c r="I5" s="4"/>
      <c r="J5" s="3"/>
      <c r="K5" s="3"/>
      <c r="L5" s="15"/>
      <c r="M5" s="15"/>
      <c r="N5" s="15"/>
      <c r="O5" s="15"/>
      <c r="P5" s="15"/>
      <c r="Q5" s="7"/>
      <c r="S5" s="38"/>
    </row>
    <row r="6" spans="2:22" x14ac:dyDescent="0.2">
      <c r="B6" s="16"/>
      <c r="C6" s="2"/>
      <c r="D6" s="2"/>
      <c r="E6" s="4"/>
      <c r="F6" s="4"/>
      <c r="G6" s="4"/>
      <c r="H6" s="4"/>
      <c r="I6" s="4"/>
      <c r="J6" s="3"/>
      <c r="K6" s="3"/>
      <c r="L6" s="15"/>
      <c r="M6" s="15"/>
      <c r="N6" s="55"/>
      <c r="O6" s="55"/>
      <c r="P6" s="55"/>
      <c r="Q6" s="7"/>
      <c r="S6" s="38"/>
    </row>
    <row r="7" spans="2:22" ht="7.5" customHeight="1" x14ac:dyDescent="0.2">
      <c r="B7" s="16"/>
      <c r="C7" s="2"/>
      <c r="D7" s="2"/>
      <c r="E7" s="4"/>
      <c r="F7" s="4"/>
      <c r="G7" s="4"/>
      <c r="H7" s="4"/>
      <c r="I7" s="4"/>
      <c r="J7" s="3"/>
      <c r="K7" s="3"/>
      <c r="L7" s="15"/>
      <c r="M7" s="15"/>
      <c r="N7" s="55"/>
      <c r="O7" s="55"/>
      <c r="P7" s="55"/>
      <c r="Q7" s="7"/>
      <c r="S7" s="38"/>
    </row>
    <row r="8" spans="2:22" x14ac:dyDescent="0.2">
      <c r="B8" s="16">
        <v>37012</v>
      </c>
      <c r="C8" s="2">
        <v>0</v>
      </c>
      <c r="D8" s="2">
        <f>B12-B8</f>
        <v>31</v>
      </c>
      <c r="E8" s="4">
        <v>31</v>
      </c>
      <c r="F8" s="4">
        <f>E8*8</f>
        <v>248</v>
      </c>
      <c r="G8" s="4"/>
      <c r="H8" s="4">
        <f>F8</f>
        <v>248</v>
      </c>
      <c r="I8" s="4"/>
      <c r="J8" s="3">
        <f>C8*E8*8</f>
        <v>0</v>
      </c>
      <c r="K8" s="3"/>
      <c r="L8" s="15">
        <v>20</v>
      </c>
      <c r="M8" s="15">
        <v>17</v>
      </c>
      <c r="N8" s="55"/>
      <c r="O8" s="55">
        <f>M8*H8</f>
        <v>4216</v>
      </c>
      <c r="P8" s="55"/>
      <c r="Q8" s="7">
        <f>M8-L8</f>
        <v>-3</v>
      </c>
      <c r="S8" s="38">
        <f>J8*Q8</f>
        <v>0</v>
      </c>
    </row>
    <row r="9" spans="2:22" x14ac:dyDescent="0.2">
      <c r="B9" s="16" t="s">
        <v>30</v>
      </c>
      <c r="C9" s="2">
        <v>0</v>
      </c>
      <c r="D9" s="2"/>
      <c r="E9" s="4">
        <v>9</v>
      </c>
      <c r="F9" s="4">
        <f>E9*16</f>
        <v>144</v>
      </c>
      <c r="G9" s="4"/>
      <c r="H9" s="4"/>
      <c r="I9" s="4">
        <f>F9</f>
        <v>144</v>
      </c>
      <c r="J9" s="3">
        <f>C9*E9*24</f>
        <v>0</v>
      </c>
      <c r="K9" s="3"/>
      <c r="L9" s="15">
        <v>28</v>
      </c>
      <c r="M9" s="15">
        <v>31</v>
      </c>
      <c r="N9" s="55"/>
      <c r="O9" s="55"/>
      <c r="P9" s="55">
        <f>M9*I9</f>
        <v>4464</v>
      </c>
      <c r="Q9" s="7">
        <f>M9-L9</f>
        <v>3</v>
      </c>
      <c r="S9" s="38">
        <f>J9*Q9</f>
        <v>0</v>
      </c>
    </row>
    <row r="10" spans="2:22" x14ac:dyDescent="0.2">
      <c r="B10" s="16"/>
      <c r="C10" s="2"/>
      <c r="D10" s="2"/>
      <c r="E10" s="4"/>
      <c r="F10" s="4">
        <f>SUM(F8:F9)</f>
        <v>392</v>
      </c>
      <c r="G10" s="4">
        <f>F10</f>
        <v>392</v>
      </c>
      <c r="H10" s="4"/>
      <c r="I10" s="4"/>
      <c r="J10" s="3"/>
      <c r="K10" s="3"/>
      <c r="L10" s="15"/>
      <c r="M10" s="15">
        <f>((M8*F8)+(M9*F9))/F10</f>
        <v>22.142857142857142</v>
      </c>
      <c r="N10" s="55">
        <f>M10*G10</f>
        <v>8680</v>
      </c>
      <c r="O10" s="55"/>
      <c r="P10" s="55"/>
      <c r="Q10" s="7"/>
      <c r="S10" s="38"/>
    </row>
    <row r="11" spans="2:22" ht="7.5" customHeight="1" x14ac:dyDescent="0.2">
      <c r="B11" s="16"/>
      <c r="C11" s="2"/>
      <c r="D11" s="2"/>
      <c r="E11" s="4"/>
      <c r="F11" s="4"/>
      <c r="G11" s="4"/>
      <c r="H11" s="4"/>
      <c r="I11" s="4"/>
      <c r="J11" s="3"/>
      <c r="K11" s="3"/>
      <c r="L11" s="15"/>
      <c r="M11" s="15"/>
      <c r="N11" s="55"/>
      <c r="O11" s="55"/>
      <c r="P11" s="55"/>
      <c r="Q11" s="7"/>
      <c r="S11" s="38"/>
    </row>
    <row r="12" spans="2:22" x14ac:dyDescent="0.2">
      <c r="B12" s="16">
        <v>37043</v>
      </c>
      <c r="C12" s="2">
        <v>0</v>
      </c>
      <c r="D12" s="2">
        <f>B16-B12</f>
        <v>30</v>
      </c>
      <c r="E12" s="4">
        <v>30</v>
      </c>
      <c r="F12" s="4">
        <f>E12*8</f>
        <v>240</v>
      </c>
      <c r="G12" s="4"/>
      <c r="H12" s="4">
        <f>F12</f>
        <v>240</v>
      </c>
      <c r="I12" s="4"/>
      <c r="J12" s="3">
        <f>C12*E12*8</f>
        <v>0</v>
      </c>
      <c r="K12" s="3"/>
      <c r="L12" s="15">
        <v>17</v>
      </c>
      <c r="M12" s="15">
        <v>17</v>
      </c>
      <c r="N12" s="55"/>
      <c r="O12" s="55">
        <f>M12*H12</f>
        <v>4080</v>
      </c>
      <c r="P12" s="55"/>
      <c r="Q12" s="7">
        <f>M12-L12</f>
        <v>0</v>
      </c>
      <c r="S12" s="38">
        <f>J12*Q12</f>
        <v>0</v>
      </c>
    </row>
    <row r="13" spans="2:22" ht="12" customHeight="1" x14ac:dyDescent="0.2">
      <c r="B13" s="16" t="s">
        <v>30</v>
      </c>
      <c r="C13" s="2">
        <v>0</v>
      </c>
      <c r="D13" s="2"/>
      <c r="E13" s="4">
        <v>9</v>
      </c>
      <c r="F13" s="4">
        <f>E13*16</f>
        <v>144</v>
      </c>
      <c r="G13" s="4"/>
      <c r="H13" s="4"/>
      <c r="I13" s="4">
        <f>F13</f>
        <v>144</v>
      </c>
      <c r="J13" s="3">
        <f>C13*E13*16</f>
        <v>0</v>
      </c>
      <c r="K13" s="3"/>
      <c r="L13" s="15">
        <v>30</v>
      </c>
      <c r="M13" s="15">
        <v>22</v>
      </c>
      <c r="N13" s="55"/>
      <c r="O13" s="55"/>
      <c r="P13" s="55">
        <f>M13*I13</f>
        <v>3168</v>
      </c>
      <c r="Q13" s="7">
        <f>M13-L13</f>
        <v>-8</v>
      </c>
      <c r="S13" s="38">
        <f>J13*Q13</f>
        <v>0</v>
      </c>
    </row>
    <row r="14" spans="2:22" ht="12" customHeight="1" x14ac:dyDescent="0.2">
      <c r="B14" s="16"/>
      <c r="C14" s="2"/>
      <c r="D14" s="2"/>
      <c r="E14" s="4"/>
      <c r="F14" s="4">
        <f>SUM(F12:F13)</f>
        <v>384</v>
      </c>
      <c r="G14" s="4">
        <f>F14</f>
        <v>384</v>
      </c>
      <c r="H14" s="4"/>
      <c r="I14" s="4"/>
      <c r="J14" s="3"/>
      <c r="K14" s="3"/>
      <c r="L14" s="15"/>
      <c r="M14" s="15">
        <f>((M12*F12)+(M13*F13))/F14</f>
        <v>18.875</v>
      </c>
      <c r="N14" s="55">
        <f>M14*G14</f>
        <v>7248</v>
      </c>
      <c r="O14" s="55"/>
      <c r="P14" s="55"/>
      <c r="Q14" s="7"/>
      <c r="S14" s="38"/>
    </row>
    <row r="15" spans="2:22" ht="7.5" customHeight="1" x14ac:dyDescent="0.2">
      <c r="B15" s="16"/>
      <c r="C15" s="2"/>
      <c r="D15" s="2"/>
      <c r="E15" s="4"/>
      <c r="F15" s="4"/>
      <c r="G15" s="4"/>
      <c r="H15" s="4"/>
      <c r="I15" s="4"/>
      <c r="J15" s="3"/>
      <c r="K15" s="3"/>
      <c r="L15" s="15"/>
      <c r="M15" s="15"/>
      <c r="N15" s="55"/>
      <c r="O15" s="55"/>
      <c r="P15" s="55"/>
      <c r="Q15" s="7"/>
      <c r="S15" s="38"/>
    </row>
    <row r="16" spans="2:22" x14ac:dyDescent="0.2">
      <c r="B16" s="16">
        <v>37073</v>
      </c>
      <c r="C16" s="2">
        <v>0</v>
      </c>
      <c r="D16" s="2">
        <f>B20-B16</f>
        <v>31</v>
      </c>
      <c r="E16" s="4">
        <v>31</v>
      </c>
      <c r="F16" s="4">
        <f>E16*8</f>
        <v>248</v>
      </c>
      <c r="G16" s="4"/>
      <c r="H16" s="4">
        <f>F16</f>
        <v>248</v>
      </c>
      <c r="I16" s="4"/>
      <c r="J16" s="3">
        <f>C16*E16*8</f>
        <v>0</v>
      </c>
      <c r="K16" s="3"/>
      <c r="L16" s="15">
        <v>15</v>
      </c>
      <c r="M16" s="15">
        <v>14.5</v>
      </c>
      <c r="N16" s="55"/>
      <c r="O16" s="55">
        <f>M16*H16</f>
        <v>3596</v>
      </c>
      <c r="P16" s="55"/>
      <c r="Q16" s="7">
        <f>M16-L16</f>
        <v>-0.5</v>
      </c>
      <c r="S16" s="38">
        <f>J16*Q16</f>
        <v>0</v>
      </c>
      <c r="U16" s="8"/>
      <c r="V16" s="15"/>
    </row>
    <row r="17" spans="2:22" x14ac:dyDescent="0.2">
      <c r="B17" s="16" t="s">
        <v>30</v>
      </c>
      <c r="C17" s="2">
        <v>0</v>
      </c>
      <c r="D17" s="2"/>
      <c r="E17" s="4">
        <v>10</v>
      </c>
      <c r="F17" s="4">
        <f>E17*16</f>
        <v>160</v>
      </c>
      <c r="G17" s="4"/>
      <c r="H17" s="4"/>
      <c r="I17" s="4">
        <f>F17</f>
        <v>160</v>
      </c>
      <c r="J17" s="3">
        <f>C17*E17*16</f>
        <v>0</v>
      </c>
      <c r="K17" s="3"/>
      <c r="L17" s="15">
        <v>33</v>
      </c>
      <c r="M17" s="15">
        <v>24.5</v>
      </c>
      <c r="N17" s="55"/>
      <c r="O17" s="55"/>
      <c r="P17" s="55">
        <f>M17*I17</f>
        <v>3920</v>
      </c>
      <c r="Q17" s="7">
        <f>M17-L17</f>
        <v>-8.5</v>
      </c>
      <c r="S17" s="38">
        <f>J17*Q17</f>
        <v>0</v>
      </c>
      <c r="U17" s="8"/>
      <c r="V17" s="15"/>
    </row>
    <row r="18" spans="2:22" x14ac:dyDescent="0.2">
      <c r="B18" s="16"/>
      <c r="C18" s="2"/>
      <c r="D18" s="2"/>
      <c r="E18" s="4"/>
      <c r="F18" s="4">
        <f>SUM(F16:F17)</f>
        <v>408</v>
      </c>
      <c r="G18" s="4">
        <f>F18</f>
        <v>408</v>
      </c>
      <c r="H18" s="4"/>
      <c r="I18" s="4"/>
      <c r="J18" s="3"/>
      <c r="K18" s="3"/>
      <c r="L18" s="15"/>
      <c r="M18" s="15">
        <f>((M16*F16)+(M17*F17))/F18</f>
        <v>18.421568627450981</v>
      </c>
      <c r="N18" s="55">
        <f>M18*G18</f>
        <v>7516</v>
      </c>
      <c r="O18" s="55"/>
      <c r="P18" s="55"/>
      <c r="Q18" s="7"/>
      <c r="S18" s="38"/>
      <c r="U18" s="8" t="s">
        <v>37</v>
      </c>
      <c r="V18" s="15">
        <f>N39/G39</f>
        <v>20.5126582278481</v>
      </c>
    </row>
    <row r="19" spans="2:22" x14ac:dyDescent="0.2">
      <c r="B19" s="16"/>
      <c r="C19" s="2"/>
      <c r="D19" s="2"/>
      <c r="E19" s="4"/>
      <c r="F19" s="4"/>
      <c r="G19" s="4"/>
      <c r="H19" s="4"/>
      <c r="I19" s="4"/>
      <c r="J19" s="3"/>
      <c r="K19" s="3"/>
      <c r="L19" s="15"/>
      <c r="M19" s="15"/>
      <c r="N19" s="55"/>
      <c r="O19" s="55"/>
      <c r="P19" s="55"/>
      <c r="Q19" s="7"/>
      <c r="S19" s="38"/>
      <c r="U19" s="8" t="s">
        <v>40</v>
      </c>
      <c r="V19" s="15">
        <f>O39/H39</f>
        <v>16.932653061224489</v>
      </c>
    </row>
    <row r="20" spans="2:22" x14ac:dyDescent="0.2">
      <c r="B20" s="16">
        <v>37104</v>
      </c>
      <c r="C20" s="2">
        <v>0</v>
      </c>
      <c r="D20" s="2">
        <f>B24-B20</f>
        <v>31</v>
      </c>
      <c r="E20" s="4">
        <v>31</v>
      </c>
      <c r="F20" s="4">
        <f>E20*8</f>
        <v>248</v>
      </c>
      <c r="G20" s="4"/>
      <c r="H20" s="4">
        <f>F20</f>
        <v>248</v>
      </c>
      <c r="I20" s="4"/>
      <c r="J20" s="3">
        <f>C20*E20*8</f>
        <v>0</v>
      </c>
      <c r="K20" s="3"/>
      <c r="L20" s="15">
        <v>15</v>
      </c>
      <c r="M20" s="15">
        <v>16</v>
      </c>
      <c r="N20" s="55"/>
      <c r="O20" s="55">
        <f>M20*H20</f>
        <v>3968</v>
      </c>
      <c r="P20" s="55"/>
      <c r="Q20" s="7">
        <f>M20-L20</f>
        <v>1</v>
      </c>
      <c r="S20" s="38">
        <f>J20*Q20</f>
        <v>0</v>
      </c>
      <c r="U20" s="8" t="s">
        <v>41</v>
      </c>
      <c r="V20" s="15">
        <f>P39/I39</f>
        <v>26.36</v>
      </c>
    </row>
    <row r="21" spans="2:22" x14ac:dyDescent="0.2">
      <c r="B21" s="16" t="s">
        <v>30</v>
      </c>
      <c r="C21" s="2">
        <v>0</v>
      </c>
      <c r="D21" s="2"/>
      <c r="E21" s="4">
        <v>8</v>
      </c>
      <c r="F21" s="4">
        <f>E21*16</f>
        <v>128</v>
      </c>
      <c r="G21" s="4"/>
      <c r="H21" s="4"/>
      <c r="I21" s="4">
        <f>F21</f>
        <v>128</v>
      </c>
      <c r="J21" s="3">
        <f>C21*E21*16</f>
        <v>0</v>
      </c>
      <c r="K21" s="3"/>
      <c r="L21" s="15">
        <v>33</v>
      </c>
      <c r="M21" s="15">
        <v>28</v>
      </c>
      <c r="N21" s="55"/>
      <c r="O21" s="55"/>
      <c r="P21" s="55">
        <f>M21*I21</f>
        <v>3584</v>
      </c>
      <c r="Q21" s="7">
        <f>M21-L21</f>
        <v>-5</v>
      </c>
      <c r="S21" s="38">
        <f>J21*Q21</f>
        <v>0</v>
      </c>
      <c r="U21" s="8"/>
      <c r="V21" s="15"/>
    </row>
    <row r="22" spans="2:22" x14ac:dyDescent="0.2">
      <c r="B22" s="16"/>
      <c r="C22" s="2"/>
      <c r="D22" s="2"/>
      <c r="E22" s="4"/>
      <c r="F22" s="4">
        <f>SUM(F20:F21)</f>
        <v>376</v>
      </c>
      <c r="G22" s="4">
        <f>F22</f>
        <v>376</v>
      </c>
      <c r="H22" s="4"/>
      <c r="I22" s="4"/>
      <c r="J22" s="3"/>
      <c r="K22" s="3"/>
      <c r="L22" s="15"/>
      <c r="M22" s="15">
        <f>((M20*F20)+(M21*F21))/F22</f>
        <v>20.085106382978722</v>
      </c>
      <c r="N22" s="55">
        <f>M22*G22</f>
        <v>7552</v>
      </c>
      <c r="O22" s="55"/>
      <c r="P22" s="55"/>
      <c r="Q22" s="7"/>
      <c r="S22" s="38"/>
      <c r="U22" s="8"/>
      <c r="V22" s="15"/>
    </row>
    <row r="23" spans="2:22" x14ac:dyDescent="0.2">
      <c r="B23" s="16"/>
      <c r="C23" s="2"/>
      <c r="D23" s="2"/>
      <c r="E23" s="4"/>
      <c r="F23" s="4"/>
      <c r="G23" s="4"/>
      <c r="H23" s="4"/>
      <c r="I23" s="4"/>
      <c r="J23" s="3"/>
      <c r="K23" s="3"/>
      <c r="L23" s="15"/>
      <c r="M23" s="15"/>
      <c r="N23" s="55"/>
      <c r="O23" s="55"/>
      <c r="P23" s="55"/>
      <c r="Q23" s="7"/>
      <c r="S23" s="38"/>
      <c r="U23" s="8"/>
    </row>
    <row r="24" spans="2:22" x14ac:dyDescent="0.2">
      <c r="B24" s="16">
        <v>37135</v>
      </c>
      <c r="C24" s="2">
        <v>150</v>
      </c>
      <c r="D24" s="2">
        <f>B28-B24</f>
        <v>30</v>
      </c>
      <c r="E24" s="4">
        <v>30</v>
      </c>
      <c r="F24" s="4">
        <f>E24*8</f>
        <v>240</v>
      </c>
      <c r="G24" s="4"/>
      <c r="H24" s="4">
        <f>F24</f>
        <v>240</v>
      </c>
      <c r="I24" s="4"/>
      <c r="J24" s="3">
        <f>C24*E24*8</f>
        <v>36000</v>
      </c>
      <c r="K24" s="3"/>
      <c r="L24" s="15">
        <v>17</v>
      </c>
      <c r="M24" s="15">
        <v>17</v>
      </c>
      <c r="N24" s="55"/>
      <c r="O24" s="55">
        <f>M24*H24</f>
        <v>4080</v>
      </c>
      <c r="P24" s="55"/>
      <c r="Q24" s="7">
        <f>M24-L24</f>
        <v>0</v>
      </c>
      <c r="S24" s="38">
        <f>J24*Q24</f>
        <v>0</v>
      </c>
      <c r="U24" s="8"/>
      <c r="V24" s="15"/>
    </row>
    <row r="25" spans="2:22" x14ac:dyDescent="0.2">
      <c r="B25" s="16" t="s">
        <v>30</v>
      </c>
      <c r="C25" s="2">
        <v>150</v>
      </c>
      <c r="D25" s="2"/>
      <c r="E25" s="4">
        <v>11</v>
      </c>
      <c r="F25" s="4">
        <f>E25*16</f>
        <v>176</v>
      </c>
      <c r="G25" s="4"/>
      <c r="H25" s="4"/>
      <c r="I25" s="4">
        <f>F25</f>
        <v>176</v>
      </c>
      <c r="J25" s="3">
        <f>C25*E25*16</f>
        <v>26400</v>
      </c>
      <c r="K25" s="3"/>
      <c r="L25" s="15">
        <v>25</v>
      </c>
      <c r="M25" s="15">
        <v>25</v>
      </c>
      <c r="N25" s="55"/>
      <c r="O25" s="55"/>
      <c r="P25" s="55">
        <f>M25*I25</f>
        <v>4400</v>
      </c>
      <c r="Q25" s="7">
        <f>M25-L25</f>
        <v>0</v>
      </c>
      <c r="S25" s="38">
        <f>J25*Q25</f>
        <v>0</v>
      </c>
    </row>
    <row r="26" spans="2:22" x14ac:dyDescent="0.2">
      <c r="B26" s="16"/>
      <c r="C26" s="2"/>
      <c r="D26" s="2"/>
      <c r="E26" s="4"/>
      <c r="F26" s="4">
        <f>SUM(F24:F25)</f>
        <v>416</v>
      </c>
      <c r="G26" s="4">
        <f>F26</f>
        <v>416</v>
      </c>
      <c r="H26" s="4"/>
      <c r="I26" s="4"/>
      <c r="J26" s="3"/>
      <c r="K26" s="3"/>
      <c r="L26" s="15"/>
      <c r="M26" s="15">
        <f>((M24*F24)+(M25*F25))/F26</f>
        <v>20.384615384615383</v>
      </c>
      <c r="N26" s="55">
        <f>M26*G26</f>
        <v>8480</v>
      </c>
      <c r="O26" s="55"/>
      <c r="P26" s="55"/>
      <c r="Q26" s="7"/>
      <c r="S26" s="38"/>
    </row>
    <row r="27" spans="2:22" ht="9" customHeight="1" x14ac:dyDescent="0.2">
      <c r="B27" s="16"/>
      <c r="C27" s="2"/>
      <c r="D27" s="2"/>
      <c r="E27" s="4"/>
      <c r="F27" s="4"/>
      <c r="G27" s="4"/>
      <c r="H27" s="4"/>
      <c r="I27" s="4"/>
      <c r="J27" s="3"/>
      <c r="K27" s="3"/>
      <c r="L27" s="15"/>
      <c r="M27" s="15"/>
      <c r="N27" s="55"/>
      <c r="O27" s="55"/>
      <c r="P27" s="55"/>
      <c r="Q27" s="7"/>
      <c r="S27" s="38"/>
    </row>
    <row r="28" spans="2:22" x14ac:dyDescent="0.2">
      <c r="B28" s="16">
        <v>37165</v>
      </c>
      <c r="C28" s="2">
        <v>450</v>
      </c>
      <c r="D28" s="2">
        <f>B32-B28</f>
        <v>31</v>
      </c>
      <c r="E28" s="4">
        <v>31</v>
      </c>
      <c r="F28" s="4">
        <f>E28*8</f>
        <v>248</v>
      </c>
      <c r="G28" s="4"/>
      <c r="H28" s="4">
        <f>F28</f>
        <v>248</v>
      </c>
      <c r="I28" s="4"/>
      <c r="J28" s="3">
        <f>C28*E28*8</f>
        <v>111600</v>
      </c>
      <c r="K28" s="3"/>
      <c r="L28" s="15">
        <v>18</v>
      </c>
      <c r="M28" s="15">
        <v>18</v>
      </c>
      <c r="N28" s="55"/>
      <c r="O28" s="55">
        <f>M28*H28</f>
        <v>4464</v>
      </c>
      <c r="P28" s="55"/>
      <c r="Q28" s="7">
        <f>M28-L28</f>
        <v>0</v>
      </c>
      <c r="S28" s="38">
        <f>J28*Q28</f>
        <v>0</v>
      </c>
    </row>
    <row r="29" spans="2:22" x14ac:dyDescent="0.2">
      <c r="B29" s="16" t="s">
        <v>30</v>
      </c>
      <c r="C29" s="2">
        <v>450</v>
      </c>
      <c r="D29" s="2"/>
      <c r="E29" s="4">
        <v>8</v>
      </c>
      <c r="F29" s="4">
        <f>E29*16</f>
        <v>128</v>
      </c>
      <c r="G29" s="4"/>
      <c r="H29" s="4"/>
      <c r="I29" s="4">
        <f>F29</f>
        <v>128</v>
      </c>
      <c r="J29" s="3">
        <f>C29*E29*16</f>
        <v>57600</v>
      </c>
      <c r="K29" s="3"/>
      <c r="L29" s="15">
        <v>27</v>
      </c>
      <c r="M29" s="15">
        <v>27</v>
      </c>
      <c r="N29" s="55"/>
      <c r="O29" s="55"/>
      <c r="P29" s="55">
        <f>M29*I29</f>
        <v>3456</v>
      </c>
      <c r="Q29" s="7">
        <f>M29-L29</f>
        <v>0</v>
      </c>
      <c r="S29" s="38">
        <f>J29*Q29</f>
        <v>0</v>
      </c>
    </row>
    <row r="30" spans="2:22" x14ac:dyDescent="0.2">
      <c r="B30" s="16"/>
      <c r="C30" s="2"/>
      <c r="D30" s="2"/>
      <c r="E30" s="4"/>
      <c r="F30" s="4">
        <f>SUM(F28:F29)</f>
        <v>376</v>
      </c>
      <c r="G30" s="4">
        <f>F30</f>
        <v>376</v>
      </c>
      <c r="H30" s="4"/>
      <c r="I30" s="4"/>
      <c r="J30" s="3"/>
      <c r="K30" s="3"/>
      <c r="L30" s="15"/>
      <c r="M30" s="15">
        <f>((M28*F28)+(M29*F29))/F30</f>
        <v>21.063829787234042</v>
      </c>
      <c r="N30" s="55">
        <f>M30*G30</f>
        <v>7920</v>
      </c>
      <c r="O30" s="55"/>
      <c r="P30" s="55"/>
      <c r="Q30" s="7"/>
      <c r="S30" s="38"/>
      <c r="U30">
        <v>18.5</v>
      </c>
    </row>
    <row r="31" spans="2:22" ht="9" customHeight="1" x14ac:dyDescent="0.2">
      <c r="B31" s="16"/>
      <c r="C31" s="2"/>
      <c r="D31" s="2"/>
      <c r="E31" s="4"/>
      <c r="F31" s="4"/>
      <c r="G31" s="4"/>
      <c r="H31" s="4"/>
      <c r="I31" s="4"/>
      <c r="J31" s="3"/>
      <c r="K31" s="3"/>
      <c r="L31" s="15"/>
      <c r="M31" s="15"/>
      <c r="N31" s="55"/>
      <c r="O31" s="55"/>
      <c r="P31" s="55"/>
      <c r="Q31" s="7"/>
      <c r="S31" s="38"/>
    </row>
    <row r="32" spans="2:22" x14ac:dyDescent="0.2">
      <c r="B32" s="16">
        <v>37196</v>
      </c>
      <c r="C32" s="2">
        <v>450</v>
      </c>
      <c r="D32" s="2">
        <f>B36-B32</f>
        <v>30</v>
      </c>
      <c r="E32" s="4">
        <v>30</v>
      </c>
      <c r="F32" s="4">
        <f>E32*8</f>
        <v>240</v>
      </c>
      <c r="G32" s="4"/>
      <c r="H32" s="4">
        <f>F32</f>
        <v>240</v>
      </c>
      <c r="I32" s="4"/>
      <c r="J32" s="3">
        <f>C32*E32*8</f>
        <v>108000</v>
      </c>
      <c r="K32" s="3"/>
      <c r="L32" s="15">
        <v>18</v>
      </c>
      <c r="M32" s="15">
        <v>18</v>
      </c>
      <c r="N32" s="55"/>
      <c r="O32" s="55">
        <f>M32*H32</f>
        <v>4320</v>
      </c>
      <c r="P32" s="55"/>
      <c r="Q32" s="7">
        <f>M32-L32</f>
        <v>0</v>
      </c>
      <c r="S32" s="38">
        <f>J32*Q32</f>
        <v>0</v>
      </c>
      <c r="U32">
        <v>19</v>
      </c>
    </row>
    <row r="33" spans="2:22" x14ac:dyDescent="0.2">
      <c r="B33" s="16" t="s">
        <v>30</v>
      </c>
      <c r="C33" s="2">
        <v>450</v>
      </c>
      <c r="D33" s="2"/>
      <c r="E33" s="4">
        <v>9</v>
      </c>
      <c r="F33" s="4">
        <f>E33*16</f>
        <v>144</v>
      </c>
      <c r="G33" s="4"/>
      <c r="H33" s="4"/>
      <c r="I33" s="4">
        <f>F33</f>
        <v>144</v>
      </c>
      <c r="J33" s="3">
        <f>C33*E33*16</f>
        <v>64800</v>
      </c>
      <c r="K33" s="3"/>
      <c r="L33" s="15">
        <v>27</v>
      </c>
      <c r="M33" s="15">
        <v>27</v>
      </c>
      <c r="N33" s="55"/>
      <c r="O33" s="55"/>
      <c r="P33" s="55">
        <f>M33*I33</f>
        <v>3888</v>
      </c>
      <c r="Q33" s="7">
        <f>M33-L33</f>
        <v>0</v>
      </c>
      <c r="S33" s="38">
        <f>J33*Q33</f>
        <v>0</v>
      </c>
      <c r="U33">
        <v>20.74</v>
      </c>
    </row>
    <row r="34" spans="2:22" x14ac:dyDescent="0.2">
      <c r="B34" s="16"/>
      <c r="C34" s="2"/>
      <c r="D34" s="2"/>
      <c r="E34" s="4"/>
      <c r="F34" s="4">
        <f>SUM(F32:F33)</f>
        <v>384</v>
      </c>
      <c r="G34" s="4">
        <f>F34</f>
        <v>384</v>
      </c>
      <c r="H34" s="4"/>
      <c r="I34" s="4"/>
      <c r="J34" s="3"/>
      <c r="K34" s="3"/>
      <c r="L34" s="15"/>
      <c r="M34" s="15">
        <f>((M32*F32)+(M33*F33))/F34</f>
        <v>21.375</v>
      </c>
      <c r="N34" s="55">
        <f>M34*G34</f>
        <v>8208</v>
      </c>
      <c r="O34" s="55"/>
      <c r="P34" s="55"/>
      <c r="Q34" s="7"/>
      <c r="S34" s="38"/>
    </row>
    <row r="35" spans="2:22" ht="6" customHeight="1" x14ac:dyDescent="0.2">
      <c r="B35" s="16"/>
      <c r="C35" s="2"/>
      <c r="D35" s="2"/>
      <c r="E35" s="4"/>
      <c r="F35" s="4"/>
      <c r="G35" s="4"/>
      <c r="H35" s="4"/>
      <c r="I35" s="4"/>
      <c r="J35" s="3"/>
      <c r="K35" s="3"/>
      <c r="L35" s="15"/>
      <c r="M35" s="15"/>
      <c r="N35" s="55"/>
      <c r="O35" s="55"/>
      <c r="P35" s="55"/>
      <c r="Q35" s="7"/>
      <c r="S35" s="38"/>
    </row>
    <row r="36" spans="2:22" x14ac:dyDescent="0.2">
      <c r="B36" s="16">
        <v>37226</v>
      </c>
      <c r="C36" s="2">
        <v>450</v>
      </c>
      <c r="D36" s="2">
        <f>B41-B36</f>
        <v>31</v>
      </c>
      <c r="E36" s="4">
        <v>31</v>
      </c>
      <c r="F36" s="4">
        <f>E36*8</f>
        <v>248</v>
      </c>
      <c r="G36" s="4"/>
      <c r="H36" s="4">
        <f>F36</f>
        <v>248</v>
      </c>
      <c r="I36" s="4"/>
      <c r="J36" s="3">
        <f>C36*E36*8</f>
        <v>111600</v>
      </c>
      <c r="K36" s="3"/>
      <c r="L36" s="15">
        <v>18</v>
      </c>
      <c r="M36" s="15">
        <v>18</v>
      </c>
      <c r="N36" s="55"/>
      <c r="O36" s="55">
        <f>M36*H36</f>
        <v>4464</v>
      </c>
      <c r="P36" s="55"/>
      <c r="Q36" s="7">
        <f>M36-L36</f>
        <v>0</v>
      </c>
      <c r="S36" s="38">
        <f>J36*Q36</f>
        <v>0</v>
      </c>
    </row>
    <row r="37" spans="2:22" x14ac:dyDescent="0.2">
      <c r="B37" s="16" t="s">
        <v>30</v>
      </c>
      <c r="C37" s="2">
        <v>450</v>
      </c>
      <c r="D37" s="2"/>
      <c r="E37" s="4">
        <v>11</v>
      </c>
      <c r="F37" s="4">
        <f>E37*16</f>
        <v>176</v>
      </c>
      <c r="G37" s="4"/>
      <c r="H37" s="4"/>
      <c r="I37" s="4">
        <f>F37</f>
        <v>176</v>
      </c>
      <c r="J37" s="3">
        <f>C37*E37*16</f>
        <v>79200</v>
      </c>
      <c r="K37" s="3"/>
      <c r="L37" s="15">
        <v>27</v>
      </c>
      <c r="M37" s="15">
        <v>27</v>
      </c>
      <c r="N37" s="55"/>
      <c r="O37" s="55"/>
      <c r="P37" s="55">
        <f>M37*I37</f>
        <v>4752</v>
      </c>
      <c r="Q37" s="7">
        <f>M37-L37</f>
        <v>0</v>
      </c>
      <c r="S37" s="38">
        <f>J37*Q37</f>
        <v>0</v>
      </c>
    </row>
    <row r="38" spans="2:22" x14ac:dyDescent="0.2">
      <c r="B38" s="16"/>
      <c r="C38" s="2"/>
      <c r="D38" s="2"/>
      <c r="E38" s="4"/>
      <c r="F38" s="4">
        <f>SUM(F36:F37)</f>
        <v>424</v>
      </c>
      <c r="G38" s="4">
        <f>F38</f>
        <v>424</v>
      </c>
      <c r="H38" s="4"/>
      <c r="I38" s="4"/>
      <c r="J38" s="3"/>
      <c r="K38" s="3"/>
      <c r="L38" s="15"/>
      <c r="M38" s="15">
        <f>((M36*F36)+(M37*F37))/F38</f>
        <v>21.735849056603772</v>
      </c>
      <c r="N38" s="55">
        <f>M38*G38</f>
        <v>9216</v>
      </c>
      <c r="O38" s="55"/>
      <c r="P38" s="55"/>
      <c r="Q38" s="7"/>
      <c r="S38" s="38"/>
    </row>
    <row r="39" spans="2:22" s="52" customFormat="1" ht="13.5" thickBot="1" x14ac:dyDescent="0.25">
      <c r="B39" s="47"/>
      <c r="C39" s="48"/>
      <c r="D39" s="48"/>
      <c r="E39" s="49">
        <f>SUM(E5:E37)</f>
        <v>320</v>
      </c>
      <c r="F39" s="49">
        <f>SUM(F4:F37)</f>
        <v>5896</v>
      </c>
      <c r="G39" s="49">
        <f>SUM(G6:G38)</f>
        <v>3160</v>
      </c>
      <c r="H39" s="49">
        <f>SUM(H5:H38)</f>
        <v>1960</v>
      </c>
      <c r="I39" s="49">
        <f>SUM(I6:I38)</f>
        <v>1200</v>
      </c>
      <c r="J39" s="50">
        <f>SUM(J5:J37)</f>
        <v>595200</v>
      </c>
      <c r="K39" s="50"/>
      <c r="L39" s="51"/>
      <c r="M39" s="51"/>
      <c r="N39" s="54">
        <f>SUM(N6:N38)</f>
        <v>64820</v>
      </c>
      <c r="O39" s="54">
        <f>SUM(O5:O38)</f>
        <v>33188</v>
      </c>
      <c r="P39" s="54">
        <f>SUM(P6:P38)</f>
        <v>31632</v>
      </c>
      <c r="Q39" s="51"/>
      <c r="S39" s="53"/>
    </row>
    <row r="40" spans="2:22" ht="13.5" thickTop="1" x14ac:dyDescent="0.2">
      <c r="B40" s="16"/>
      <c r="C40" s="2"/>
      <c r="D40" s="2"/>
      <c r="E40" s="4"/>
      <c r="F40" s="4"/>
      <c r="G40" s="4"/>
      <c r="H40" s="4"/>
      <c r="I40" s="4"/>
      <c r="J40" s="3"/>
      <c r="K40" s="3"/>
      <c r="L40" s="15"/>
      <c r="M40" s="15"/>
      <c r="N40" s="15"/>
      <c r="O40" s="15"/>
      <c r="P40" s="15"/>
      <c r="Q40" s="7"/>
      <c r="S40" s="38"/>
    </row>
    <row r="41" spans="2:22" x14ac:dyDescent="0.2">
      <c r="B41" s="16">
        <v>37257</v>
      </c>
      <c r="C41" s="2">
        <v>0</v>
      </c>
      <c r="D41" s="2">
        <f>B45-B41</f>
        <v>31</v>
      </c>
      <c r="E41" s="4">
        <v>31</v>
      </c>
      <c r="F41" s="4">
        <f>E41*8</f>
        <v>248</v>
      </c>
      <c r="G41" s="4"/>
      <c r="H41" s="4">
        <f>F41</f>
        <v>248</v>
      </c>
      <c r="I41" s="4"/>
      <c r="J41" s="3">
        <f>C41*E41*8</f>
        <v>0</v>
      </c>
      <c r="K41" s="3"/>
      <c r="L41" s="15">
        <v>22</v>
      </c>
      <c r="M41" s="15">
        <v>22</v>
      </c>
      <c r="N41" s="15"/>
      <c r="O41" s="17">
        <f>M41*H41</f>
        <v>5456</v>
      </c>
      <c r="P41" s="15"/>
      <c r="Q41" s="7">
        <f>M41-L41</f>
        <v>0</v>
      </c>
      <c r="S41" s="38">
        <f>J41*Q41</f>
        <v>0</v>
      </c>
      <c r="U41" s="8" t="s">
        <v>10</v>
      </c>
      <c r="V41" s="15">
        <f>N88/G88</f>
        <v>20.157817109144542</v>
      </c>
    </row>
    <row r="42" spans="2:22" x14ac:dyDescent="0.2">
      <c r="B42" s="16" t="s">
        <v>30</v>
      </c>
      <c r="C42" s="2">
        <v>0</v>
      </c>
      <c r="D42" s="2"/>
      <c r="E42" s="4">
        <v>9</v>
      </c>
      <c r="F42" s="4">
        <f>E42*16</f>
        <v>144</v>
      </c>
      <c r="G42" s="4"/>
      <c r="H42" s="4"/>
      <c r="I42" s="4">
        <f>F42</f>
        <v>144</v>
      </c>
      <c r="J42" s="3">
        <f>C42*E42*24</f>
        <v>0</v>
      </c>
      <c r="K42" s="3"/>
      <c r="L42" s="15">
        <v>37</v>
      </c>
      <c r="M42" s="15">
        <v>37</v>
      </c>
      <c r="N42" s="15"/>
      <c r="O42" s="17"/>
      <c r="P42" s="17">
        <f>M42*I42</f>
        <v>5328</v>
      </c>
      <c r="Q42" s="7"/>
      <c r="S42" s="38"/>
      <c r="U42" s="8" t="s">
        <v>40</v>
      </c>
      <c r="V42" s="15">
        <f>O88/H88</f>
        <v>19.82191780821918</v>
      </c>
    </row>
    <row r="43" spans="2:22" x14ac:dyDescent="0.2">
      <c r="B43" s="16"/>
      <c r="C43" s="2"/>
      <c r="D43" s="2"/>
      <c r="E43" s="4"/>
      <c r="F43" s="4">
        <f>SUM(F41:F42)</f>
        <v>392</v>
      </c>
      <c r="G43" s="4">
        <f>F43</f>
        <v>392</v>
      </c>
      <c r="H43" s="4"/>
      <c r="I43" s="4"/>
      <c r="J43" s="3"/>
      <c r="K43" s="3"/>
      <c r="L43" s="15"/>
      <c r="M43" s="15">
        <v>21.25</v>
      </c>
      <c r="N43" s="17">
        <f>M43*G43</f>
        <v>8330</v>
      </c>
      <c r="O43" s="17"/>
      <c r="P43" s="17"/>
      <c r="Q43" s="7"/>
      <c r="S43" s="38"/>
      <c r="U43" s="8" t="s">
        <v>41</v>
      </c>
      <c r="V43" s="15">
        <f>P88/I88</f>
        <v>30.453674121405751</v>
      </c>
    </row>
    <row r="44" spans="2:22" ht="9" customHeight="1" x14ac:dyDescent="0.2">
      <c r="B44" s="16"/>
      <c r="C44" s="2"/>
      <c r="D44" s="2"/>
      <c r="E44" s="4"/>
      <c r="F44" s="4"/>
      <c r="G44" s="4"/>
      <c r="H44" s="4"/>
      <c r="I44" s="4"/>
      <c r="J44" s="3"/>
      <c r="K44" s="3"/>
      <c r="L44" s="15"/>
      <c r="M44" s="15"/>
      <c r="N44" s="17"/>
      <c r="O44" s="17"/>
      <c r="P44" s="17"/>
      <c r="Q44" s="7"/>
      <c r="S44" s="38"/>
    </row>
    <row r="45" spans="2:22" x14ac:dyDescent="0.2">
      <c r="B45" s="16">
        <v>37288</v>
      </c>
      <c r="C45" s="2">
        <v>0</v>
      </c>
      <c r="D45" s="2">
        <f>B49-B45</f>
        <v>28</v>
      </c>
      <c r="E45" s="4">
        <v>28</v>
      </c>
      <c r="F45" s="4">
        <f>E45*8</f>
        <v>224</v>
      </c>
      <c r="G45" s="4"/>
      <c r="H45" s="4">
        <f>F45</f>
        <v>224</v>
      </c>
      <c r="I45" s="4"/>
      <c r="J45" s="3">
        <f>C45*E45*8</f>
        <v>0</v>
      </c>
      <c r="K45" s="3"/>
      <c r="L45" s="15">
        <v>22</v>
      </c>
      <c r="M45" s="15">
        <v>22</v>
      </c>
      <c r="N45" s="17"/>
      <c r="O45" s="17">
        <f>M45*H45</f>
        <v>4928</v>
      </c>
      <c r="P45" s="17"/>
      <c r="Q45" s="7">
        <f>M45-L45</f>
        <v>0</v>
      </c>
      <c r="S45" s="38">
        <f>J45*Q45</f>
        <v>0</v>
      </c>
    </row>
    <row r="46" spans="2:22" x14ac:dyDescent="0.2">
      <c r="B46" s="16" t="s">
        <v>30</v>
      </c>
      <c r="C46" s="2">
        <v>0</v>
      </c>
      <c r="D46" s="2"/>
      <c r="E46" s="4">
        <v>8</v>
      </c>
      <c r="F46" s="4">
        <f>E46*16</f>
        <v>128</v>
      </c>
      <c r="G46" s="4"/>
      <c r="H46" s="4"/>
      <c r="I46" s="4">
        <f>F46</f>
        <v>128</v>
      </c>
      <c r="J46" s="3">
        <f>C46*E46*24</f>
        <v>0</v>
      </c>
      <c r="K46" s="3"/>
      <c r="L46" s="15">
        <v>37</v>
      </c>
      <c r="M46" s="15">
        <v>37</v>
      </c>
      <c r="N46" s="17"/>
      <c r="O46" s="17"/>
      <c r="P46" s="17">
        <f>M46*I46</f>
        <v>4736</v>
      </c>
      <c r="Q46" s="7"/>
      <c r="S46" s="38"/>
    </row>
    <row r="47" spans="2:22" x14ac:dyDescent="0.2">
      <c r="B47" s="16"/>
      <c r="C47" s="2"/>
      <c r="D47" s="2"/>
      <c r="E47" s="4"/>
      <c r="F47" s="4">
        <f>SUM(F45:F46)</f>
        <v>352</v>
      </c>
      <c r="G47" s="4">
        <f>F47</f>
        <v>352</v>
      </c>
      <c r="H47" s="4"/>
      <c r="I47" s="4"/>
      <c r="J47" s="3"/>
      <c r="K47" s="3"/>
      <c r="L47" s="15"/>
      <c r="M47" s="15">
        <v>21.25</v>
      </c>
      <c r="N47" s="17">
        <f>M47*G47</f>
        <v>7480</v>
      </c>
      <c r="O47" s="17"/>
      <c r="P47" s="17"/>
      <c r="Q47" s="7"/>
      <c r="S47" s="38"/>
    </row>
    <row r="48" spans="2:22" x14ac:dyDescent="0.2">
      <c r="B48" s="16"/>
      <c r="C48" s="2"/>
      <c r="D48" s="2"/>
      <c r="E48" s="4"/>
      <c r="F48" s="4"/>
      <c r="G48" s="4"/>
      <c r="H48" s="4"/>
      <c r="I48" s="4"/>
      <c r="J48" s="3"/>
      <c r="K48" s="3"/>
      <c r="L48" s="15"/>
      <c r="M48" s="15"/>
      <c r="N48" s="17"/>
      <c r="O48" s="17"/>
      <c r="P48" s="17"/>
      <c r="Q48" s="7"/>
      <c r="S48" s="38"/>
    </row>
    <row r="49" spans="2:19" x14ac:dyDescent="0.2">
      <c r="B49" s="16">
        <v>37316</v>
      </c>
      <c r="C49" s="2">
        <v>0</v>
      </c>
      <c r="D49" s="2">
        <f>B53-B49</f>
        <v>31</v>
      </c>
      <c r="E49" s="4">
        <v>31</v>
      </c>
      <c r="F49" s="4">
        <f>E49*8</f>
        <v>248</v>
      </c>
      <c r="G49" s="4"/>
      <c r="H49" s="4">
        <f>F49</f>
        <v>248</v>
      </c>
      <c r="I49" s="4"/>
      <c r="J49" s="3">
        <f>C49*E49*8</f>
        <v>0</v>
      </c>
      <c r="K49" s="3"/>
      <c r="L49" s="15">
        <v>20</v>
      </c>
      <c r="M49" s="15">
        <v>18</v>
      </c>
      <c r="N49" s="17"/>
      <c r="O49" s="17">
        <f>M49*H49</f>
        <v>4464</v>
      </c>
      <c r="P49" s="17"/>
      <c r="Q49" s="7">
        <f>M49-L49</f>
        <v>-2</v>
      </c>
      <c r="S49" s="38">
        <f>J49*Q49</f>
        <v>0</v>
      </c>
    </row>
    <row r="50" spans="2:19" x14ac:dyDescent="0.2">
      <c r="B50" s="16" t="s">
        <v>30</v>
      </c>
      <c r="C50" s="2">
        <v>0</v>
      </c>
      <c r="D50" s="2"/>
      <c r="E50" s="4">
        <v>10</v>
      </c>
      <c r="F50" s="4">
        <f>E50*24</f>
        <v>240</v>
      </c>
      <c r="G50" s="4"/>
      <c r="H50" s="4"/>
      <c r="I50" s="4">
        <f>F50</f>
        <v>240</v>
      </c>
      <c r="J50" s="3">
        <f>C50*E50*24</f>
        <v>0</v>
      </c>
      <c r="K50" s="3"/>
      <c r="L50" s="15">
        <v>29</v>
      </c>
      <c r="M50" s="15">
        <v>23</v>
      </c>
      <c r="N50" s="17"/>
      <c r="O50" s="17"/>
      <c r="P50" s="17">
        <f>M50*I50</f>
        <v>5520</v>
      </c>
      <c r="Q50" s="7"/>
      <c r="S50" s="38"/>
    </row>
    <row r="51" spans="2:19" x14ac:dyDescent="0.2">
      <c r="B51" s="16"/>
      <c r="C51" s="2"/>
      <c r="D51" s="2"/>
      <c r="E51" s="4"/>
      <c r="F51" s="4">
        <f>SUM(F49:F50)</f>
        <v>488</v>
      </c>
      <c r="G51" s="4">
        <f>F51</f>
        <v>488</v>
      </c>
      <c r="H51" s="4"/>
      <c r="I51" s="4"/>
      <c r="J51" s="3"/>
      <c r="K51" s="3"/>
      <c r="L51" s="15"/>
      <c r="M51" s="15">
        <v>19.75</v>
      </c>
      <c r="N51" s="17">
        <f>M51*G51</f>
        <v>9638</v>
      </c>
      <c r="O51" s="17"/>
      <c r="P51" s="17"/>
      <c r="Q51" s="7"/>
      <c r="S51" s="38"/>
    </row>
    <row r="52" spans="2:19" x14ac:dyDescent="0.2">
      <c r="B52" s="16"/>
      <c r="C52" s="2"/>
      <c r="D52" s="2"/>
      <c r="E52" s="4"/>
      <c r="F52" s="4"/>
      <c r="G52" s="4"/>
      <c r="H52" s="4"/>
      <c r="I52" s="4"/>
      <c r="J52" s="3"/>
      <c r="K52" s="3"/>
      <c r="L52" s="15"/>
      <c r="M52" s="15"/>
      <c r="N52" s="17"/>
      <c r="O52" s="17"/>
      <c r="P52" s="17"/>
      <c r="Q52" s="7"/>
      <c r="S52" s="38"/>
    </row>
    <row r="53" spans="2:19" x14ac:dyDescent="0.2">
      <c r="B53" s="16">
        <v>37347</v>
      </c>
      <c r="C53" s="2">
        <v>0</v>
      </c>
      <c r="D53" s="2">
        <f>B57-B53</f>
        <v>30</v>
      </c>
      <c r="E53" s="4">
        <v>30</v>
      </c>
      <c r="F53" s="4">
        <f>E53*8</f>
        <v>240</v>
      </c>
      <c r="G53" s="4"/>
      <c r="H53" s="4">
        <f>F53</f>
        <v>240</v>
      </c>
      <c r="I53" s="4"/>
      <c r="J53" s="3">
        <f>C53*E53*8</f>
        <v>0</v>
      </c>
      <c r="K53" s="3"/>
      <c r="L53" s="15">
        <v>19</v>
      </c>
      <c r="M53" s="15">
        <v>18</v>
      </c>
      <c r="N53" s="17"/>
      <c r="O53" s="17">
        <f>M53*H53</f>
        <v>4320</v>
      </c>
      <c r="P53" s="17"/>
      <c r="Q53" s="7">
        <f>M53-L53</f>
        <v>-1</v>
      </c>
      <c r="S53" s="38">
        <f>J53*Q53</f>
        <v>0</v>
      </c>
    </row>
    <row r="54" spans="2:19" ht="13.5" customHeight="1" x14ac:dyDescent="0.2">
      <c r="B54" s="16" t="s">
        <v>30</v>
      </c>
      <c r="C54" s="2">
        <v>0</v>
      </c>
      <c r="D54" s="2"/>
      <c r="E54" s="4">
        <v>8</v>
      </c>
      <c r="F54" s="4">
        <f>E54*24</f>
        <v>192</v>
      </c>
      <c r="G54" s="4"/>
      <c r="H54" s="4"/>
      <c r="I54" s="4">
        <f>F54</f>
        <v>192</v>
      </c>
      <c r="J54" s="3">
        <f>C54*E54*24</f>
        <v>0</v>
      </c>
      <c r="K54" s="3"/>
      <c r="L54" s="15">
        <v>27</v>
      </c>
      <c r="M54" s="15">
        <v>23</v>
      </c>
      <c r="N54" s="17"/>
      <c r="O54" s="17"/>
      <c r="P54" s="17">
        <f>M54*I54</f>
        <v>4416</v>
      </c>
      <c r="Q54" s="7"/>
      <c r="S54" s="38"/>
    </row>
    <row r="55" spans="2:19" ht="13.5" customHeight="1" x14ac:dyDescent="0.2">
      <c r="B55" s="16"/>
      <c r="C55" s="2"/>
      <c r="D55" s="2"/>
      <c r="E55" s="4"/>
      <c r="F55" s="4">
        <f>SUM(F53:F54)</f>
        <v>432</v>
      </c>
      <c r="G55" s="4">
        <f>F55</f>
        <v>432</v>
      </c>
      <c r="H55" s="4"/>
      <c r="I55" s="4"/>
      <c r="J55" s="3"/>
      <c r="K55" s="3"/>
      <c r="L55" s="15"/>
      <c r="M55" s="15">
        <v>19.75</v>
      </c>
      <c r="N55" s="17">
        <f>M55*G55</f>
        <v>8532</v>
      </c>
      <c r="O55" s="17"/>
      <c r="P55" s="17"/>
      <c r="Q55" s="7"/>
      <c r="S55" s="38"/>
    </row>
    <row r="56" spans="2:19" ht="6" customHeight="1" x14ac:dyDescent="0.2">
      <c r="B56" s="16"/>
      <c r="C56" s="2"/>
      <c r="D56" s="2"/>
      <c r="E56" s="4"/>
      <c r="F56" s="4"/>
      <c r="G56" s="4"/>
      <c r="H56" s="4"/>
      <c r="I56" s="4"/>
      <c r="J56" s="3"/>
      <c r="K56" s="3"/>
      <c r="L56" s="15"/>
      <c r="M56" s="15"/>
      <c r="N56" s="17"/>
      <c r="O56" s="17"/>
      <c r="P56" s="17"/>
      <c r="Q56" s="7"/>
      <c r="S56" s="38"/>
    </row>
    <row r="57" spans="2:19" x14ac:dyDescent="0.2">
      <c r="B57" s="16">
        <v>37377</v>
      </c>
      <c r="C57" s="2">
        <v>0</v>
      </c>
      <c r="D57" s="2">
        <f>B61-B57</f>
        <v>31</v>
      </c>
      <c r="E57" s="4">
        <v>31</v>
      </c>
      <c r="F57" s="4">
        <f>E57*8</f>
        <v>248</v>
      </c>
      <c r="G57" s="4"/>
      <c r="H57" s="4">
        <f>F57</f>
        <v>248</v>
      </c>
      <c r="I57" s="4"/>
      <c r="J57" s="3">
        <f>C57*E57*8</f>
        <v>0</v>
      </c>
      <c r="K57" s="3"/>
      <c r="L57" s="15">
        <v>19</v>
      </c>
      <c r="M57" s="15">
        <v>19</v>
      </c>
      <c r="N57" s="17"/>
      <c r="O57" s="17">
        <f>M57*H57</f>
        <v>4712</v>
      </c>
      <c r="P57" s="17"/>
      <c r="Q57" s="7">
        <f>M57-L57</f>
        <v>0</v>
      </c>
      <c r="S57" s="38">
        <f>J57*Q57</f>
        <v>0</v>
      </c>
    </row>
    <row r="58" spans="2:19" x14ac:dyDescent="0.2">
      <c r="B58" s="16" t="s">
        <v>30</v>
      </c>
      <c r="C58" s="2">
        <v>0</v>
      </c>
      <c r="D58" s="2"/>
      <c r="E58" s="4">
        <v>9</v>
      </c>
      <c r="F58" s="4">
        <f>E58*24</f>
        <v>216</v>
      </c>
      <c r="G58" s="4"/>
      <c r="H58" s="4"/>
      <c r="I58" s="4">
        <f>F58</f>
        <v>216</v>
      </c>
      <c r="J58" s="3">
        <f>C58*E58*24</f>
        <v>0</v>
      </c>
      <c r="K58" s="3"/>
      <c r="L58" s="15">
        <v>28</v>
      </c>
      <c r="M58" s="15">
        <v>28</v>
      </c>
      <c r="N58" s="17"/>
      <c r="O58" s="17"/>
      <c r="P58" s="17">
        <f>M58*I58</f>
        <v>6048</v>
      </c>
      <c r="Q58" s="7"/>
      <c r="S58" s="38"/>
    </row>
    <row r="59" spans="2:19" x14ac:dyDescent="0.2">
      <c r="B59" s="16"/>
      <c r="C59" s="2"/>
      <c r="D59" s="2"/>
      <c r="E59" s="4"/>
      <c r="F59" s="4">
        <f>SUM(F57:F58)</f>
        <v>464</v>
      </c>
      <c r="G59" s="4">
        <f>F59</f>
        <v>464</v>
      </c>
      <c r="H59" s="4"/>
      <c r="I59" s="4"/>
      <c r="J59" s="3"/>
      <c r="K59" s="3"/>
      <c r="L59" s="15"/>
      <c r="M59" s="15">
        <v>19</v>
      </c>
      <c r="N59" s="17">
        <f>M59*G59</f>
        <v>8816</v>
      </c>
      <c r="O59" s="17"/>
      <c r="P59" s="17"/>
      <c r="Q59" s="7"/>
      <c r="S59" s="38"/>
    </row>
    <row r="60" spans="2:19" ht="8.25" customHeight="1" x14ac:dyDescent="0.2">
      <c r="B60" s="16"/>
      <c r="C60" s="2"/>
      <c r="D60" s="2"/>
      <c r="E60" s="4"/>
      <c r="F60" s="4"/>
      <c r="G60" s="4"/>
      <c r="H60" s="4"/>
      <c r="I60" s="4"/>
      <c r="J60" s="3"/>
      <c r="K60" s="3"/>
      <c r="L60" s="15"/>
      <c r="M60" s="15"/>
      <c r="N60" s="17"/>
      <c r="O60" s="17"/>
      <c r="P60" s="17"/>
      <c r="Q60" s="7"/>
      <c r="S60" s="38"/>
    </row>
    <row r="61" spans="2:19" x14ac:dyDescent="0.2">
      <c r="B61" s="16">
        <v>37408</v>
      </c>
      <c r="C61" s="2">
        <v>0</v>
      </c>
      <c r="D61" s="2">
        <f>B65-B61</f>
        <v>30</v>
      </c>
      <c r="E61" s="4">
        <v>30</v>
      </c>
      <c r="F61" s="4">
        <f>E61*8</f>
        <v>240</v>
      </c>
      <c r="G61" s="4"/>
      <c r="H61" s="4">
        <f>F61</f>
        <v>240</v>
      </c>
      <c r="I61" s="4"/>
      <c r="J61" s="3">
        <f>C61*E61*8</f>
        <v>0</v>
      </c>
      <c r="K61" s="3"/>
      <c r="L61" s="15">
        <v>20</v>
      </c>
      <c r="M61" s="15">
        <v>20</v>
      </c>
      <c r="N61" s="17"/>
      <c r="O61" s="17">
        <f>M61*H61</f>
        <v>4800</v>
      </c>
      <c r="P61" s="17"/>
      <c r="Q61" s="7">
        <f>M61-L61</f>
        <v>0</v>
      </c>
      <c r="S61" s="38">
        <f>J61*Q61</f>
        <v>0</v>
      </c>
    </row>
    <row r="62" spans="2:19" x14ac:dyDescent="0.2">
      <c r="B62" s="16" t="s">
        <v>30</v>
      </c>
      <c r="C62" s="2">
        <v>0</v>
      </c>
      <c r="D62" s="2"/>
      <c r="E62" s="4">
        <v>10</v>
      </c>
      <c r="F62" s="4">
        <f>E62*24</f>
        <v>240</v>
      </c>
      <c r="G62" s="4"/>
      <c r="H62" s="4"/>
      <c r="I62" s="4">
        <f>F62</f>
        <v>240</v>
      </c>
      <c r="J62" s="3">
        <f>C62*E62*24</f>
        <v>0</v>
      </c>
      <c r="K62" s="3"/>
      <c r="L62" s="15">
        <v>31</v>
      </c>
      <c r="M62" s="15">
        <v>31</v>
      </c>
      <c r="N62" s="17"/>
      <c r="O62" s="17"/>
      <c r="P62" s="17">
        <f>M62*I62</f>
        <v>7440</v>
      </c>
      <c r="Q62" s="7"/>
      <c r="S62" s="38"/>
    </row>
    <row r="63" spans="2:19" x14ac:dyDescent="0.2">
      <c r="B63" s="16"/>
      <c r="C63" s="2"/>
      <c r="D63" s="2"/>
      <c r="E63" s="4"/>
      <c r="F63" s="4">
        <f>SUM(F61:F62)</f>
        <v>480</v>
      </c>
      <c r="G63" s="4">
        <f>F63</f>
        <v>480</v>
      </c>
      <c r="H63" s="4"/>
      <c r="I63" s="4"/>
      <c r="J63" s="3"/>
      <c r="K63" s="3"/>
      <c r="L63" s="15"/>
      <c r="M63" s="15">
        <v>19.75</v>
      </c>
      <c r="N63" s="17">
        <f>M63*G63</f>
        <v>9480</v>
      </c>
      <c r="O63" s="17"/>
      <c r="P63" s="17"/>
      <c r="Q63" s="7"/>
      <c r="S63" s="38"/>
    </row>
    <row r="64" spans="2:19" ht="7.5" customHeight="1" x14ac:dyDescent="0.2">
      <c r="B64" s="16"/>
      <c r="C64" s="2"/>
      <c r="D64" s="2"/>
      <c r="E64" s="4"/>
      <c r="F64" s="4"/>
      <c r="G64" s="4"/>
      <c r="H64" s="4"/>
      <c r="I64" s="4"/>
      <c r="J64" s="3"/>
      <c r="K64" s="3"/>
      <c r="L64" s="15"/>
      <c r="M64" s="15"/>
      <c r="N64" s="17"/>
      <c r="O64" s="17"/>
      <c r="P64" s="17"/>
      <c r="Q64" s="7"/>
      <c r="S64" s="38"/>
    </row>
    <row r="65" spans="2:21" x14ac:dyDescent="0.2">
      <c r="B65" s="16">
        <v>37438</v>
      </c>
      <c r="C65" s="2">
        <v>0</v>
      </c>
      <c r="D65" s="2">
        <f>B69-B65</f>
        <v>31</v>
      </c>
      <c r="E65" s="4">
        <v>31</v>
      </c>
      <c r="F65" s="4">
        <f>E65*8</f>
        <v>248</v>
      </c>
      <c r="G65" s="4"/>
      <c r="H65" s="4">
        <f>F65</f>
        <v>248</v>
      </c>
      <c r="I65" s="4"/>
      <c r="J65" s="3">
        <f>C65*E65*8</f>
        <v>0</v>
      </c>
      <c r="K65" s="3"/>
      <c r="L65" s="15">
        <v>20</v>
      </c>
      <c r="M65" s="15">
        <v>20</v>
      </c>
      <c r="N65" s="17"/>
      <c r="O65" s="17">
        <f>M65*H65</f>
        <v>4960</v>
      </c>
      <c r="P65" s="17"/>
      <c r="Q65" s="7">
        <f>M65-L65</f>
        <v>0</v>
      </c>
      <c r="S65" s="38">
        <f>J65*Q65</f>
        <v>0</v>
      </c>
    </row>
    <row r="66" spans="2:21" x14ac:dyDescent="0.2">
      <c r="B66" s="16" t="s">
        <v>30</v>
      </c>
      <c r="C66" s="2">
        <v>0</v>
      </c>
      <c r="D66" s="2"/>
      <c r="E66" s="4">
        <v>9</v>
      </c>
      <c r="F66" s="4">
        <f>E66*24</f>
        <v>216</v>
      </c>
      <c r="G66" s="4"/>
      <c r="H66" s="4"/>
      <c r="I66" s="4">
        <f>F66</f>
        <v>216</v>
      </c>
      <c r="J66" s="3">
        <f>C66*E66*24</f>
        <v>0</v>
      </c>
      <c r="K66" s="3"/>
      <c r="L66" s="15">
        <v>42</v>
      </c>
      <c r="M66" s="15">
        <v>42</v>
      </c>
      <c r="N66" s="17"/>
      <c r="O66" s="17"/>
      <c r="P66" s="17">
        <f>M66*I66</f>
        <v>9072</v>
      </c>
      <c r="Q66" s="7"/>
      <c r="S66" s="38"/>
    </row>
    <row r="67" spans="2:21" x14ac:dyDescent="0.2">
      <c r="B67" s="16"/>
      <c r="C67" s="2"/>
      <c r="D67" s="2"/>
      <c r="E67" s="4"/>
      <c r="F67" s="4">
        <f>SUM(F65:F66)</f>
        <v>464</v>
      </c>
      <c r="G67" s="4">
        <f>F67</f>
        <v>464</v>
      </c>
      <c r="H67" s="4"/>
      <c r="I67" s="4"/>
      <c r="J67" s="3"/>
      <c r="K67" s="3"/>
      <c r="L67" s="15"/>
      <c r="M67" s="15">
        <v>22.5</v>
      </c>
      <c r="N67" s="17">
        <f>M67*G67</f>
        <v>10440</v>
      </c>
      <c r="O67" s="17"/>
      <c r="P67" s="17"/>
      <c r="Q67" s="7"/>
      <c r="S67" s="38"/>
    </row>
    <row r="68" spans="2:21" x14ac:dyDescent="0.2">
      <c r="B68" s="16"/>
      <c r="C68" s="2"/>
      <c r="D68" s="2"/>
      <c r="E68" s="4"/>
      <c r="F68" s="4"/>
      <c r="G68" s="4"/>
      <c r="H68" s="4"/>
      <c r="I68" s="4"/>
      <c r="J68" s="3"/>
      <c r="K68" s="3"/>
      <c r="L68" s="15"/>
      <c r="M68" s="15"/>
      <c r="N68" s="17"/>
      <c r="O68" s="17"/>
      <c r="P68" s="17"/>
      <c r="Q68" s="7"/>
      <c r="S68" s="38"/>
    </row>
    <row r="69" spans="2:21" x14ac:dyDescent="0.2">
      <c r="B69" s="16">
        <v>37469</v>
      </c>
      <c r="C69" s="2">
        <v>0</v>
      </c>
      <c r="D69" s="2">
        <f>B73-B69</f>
        <v>31</v>
      </c>
      <c r="E69" s="4">
        <v>31</v>
      </c>
      <c r="F69" s="4">
        <f>E69*8</f>
        <v>248</v>
      </c>
      <c r="G69" s="4"/>
      <c r="H69" s="4">
        <f>F69</f>
        <v>248</v>
      </c>
      <c r="I69" s="4"/>
      <c r="J69" s="3">
        <f>C69*E69*8</f>
        <v>0</v>
      </c>
      <c r="K69" s="3"/>
      <c r="L69" s="15">
        <v>20</v>
      </c>
      <c r="M69" s="15">
        <v>20</v>
      </c>
      <c r="N69" s="17"/>
      <c r="O69" s="17">
        <f>M69*H69</f>
        <v>4960</v>
      </c>
      <c r="P69" s="17"/>
      <c r="Q69" s="7">
        <f>M69-L69</f>
        <v>0</v>
      </c>
      <c r="S69" s="38">
        <f>J69*Q69</f>
        <v>0</v>
      </c>
    </row>
    <row r="70" spans="2:21" x14ac:dyDescent="0.2">
      <c r="B70" s="16" t="s">
        <v>30</v>
      </c>
      <c r="C70" s="2">
        <v>0</v>
      </c>
      <c r="D70" s="2"/>
      <c r="E70" s="4">
        <v>9</v>
      </c>
      <c r="F70" s="4">
        <f>E70*24</f>
        <v>216</v>
      </c>
      <c r="G70" s="4"/>
      <c r="H70" s="4"/>
      <c r="I70" s="4">
        <f>F70</f>
        <v>216</v>
      </c>
      <c r="J70" s="3">
        <f>C70*E70*24</f>
        <v>0</v>
      </c>
      <c r="K70" s="3"/>
      <c r="L70" s="15">
        <v>42</v>
      </c>
      <c r="M70" s="15">
        <v>42</v>
      </c>
      <c r="N70" s="17"/>
      <c r="O70" s="17"/>
      <c r="P70" s="17">
        <f>M70*I70</f>
        <v>9072</v>
      </c>
      <c r="Q70" s="7"/>
      <c r="S70" s="38"/>
    </row>
    <row r="71" spans="2:21" x14ac:dyDescent="0.2">
      <c r="B71" s="16"/>
      <c r="C71" s="2"/>
      <c r="D71" s="2"/>
      <c r="E71" s="4"/>
      <c r="F71" s="4">
        <f>SUM(F69:F70)</f>
        <v>464</v>
      </c>
      <c r="G71" s="4">
        <f>F71</f>
        <v>464</v>
      </c>
      <c r="H71" s="4"/>
      <c r="I71" s="4"/>
      <c r="J71" s="3"/>
      <c r="K71" s="3"/>
      <c r="L71" s="15"/>
      <c r="M71" s="15">
        <v>22.5</v>
      </c>
      <c r="N71" s="17">
        <f>M71*G71</f>
        <v>10440</v>
      </c>
      <c r="O71" s="17"/>
      <c r="P71" s="17"/>
      <c r="Q71" s="7"/>
      <c r="S71" s="38"/>
    </row>
    <row r="72" spans="2:21" ht="7.5" customHeight="1" x14ac:dyDescent="0.2">
      <c r="B72" s="16"/>
      <c r="C72" s="2"/>
      <c r="D72" s="2"/>
      <c r="E72" s="4"/>
      <c r="F72" s="4"/>
      <c r="G72" s="4"/>
      <c r="H72" s="4"/>
      <c r="I72" s="4"/>
      <c r="J72" s="3"/>
      <c r="K72" s="3"/>
      <c r="L72" s="15"/>
      <c r="M72" s="15"/>
      <c r="N72" s="17"/>
      <c r="O72" s="17"/>
      <c r="P72" s="17"/>
      <c r="Q72" s="7"/>
      <c r="S72" s="38"/>
    </row>
    <row r="73" spans="2:21" ht="14.25" customHeight="1" x14ac:dyDescent="0.2">
      <c r="B73" s="16">
        <v>37500</v>
      </c>
      <c r="C73" s="2">
        <v>0</v>
      </c>
      <c r="D73" s="2">
        <f>B77-B73</f>
        <v>30</v>
      </c>
      <c r="E73" s="4">
        <v>30</v>
      </c>
      <c r="F73" s="4">
        <f>E73*8</f>
        <v>240</v>
      </c>
      <c r="G73" s="4"/>
      <c r="H73" s="4">
        <f>F73</f>
        <v>240</v>
      </c>
      <c r="I73" s="4"/>
      <c r="J73" s="3">
        <f>C73*E73*8</f>
        <v>0</v>
      </c>
      <c r="K73" s="3"/>
      <c r="L73" s="15">
        <v>19</v>
      </c>
      <c r="M73" s="15">
        <v>19</v>
      </c>
      <c r="N73" s="17"/>
      <c r="O73" s="17">
        <f>M73*H73</f>
        <v>4560</v>
      </c>
      <c r="P73" s="17"/>
      <c r="Q73" s="7">
        <f>M73-L73</f>
        <v>0</v>
      </c>
      <c r="S73" s="38">
        <f>J73*Q73</f>
        <v>0</v>
      </c>
    </row>
    <row r="74" spans="2:21" ht="14.25" customHeight="1" x14ac:dyDescent="0.2">
      <c r="B74" s="16" t="s">
        <v>30</v>
      </c>
      <c r="C74" s="2">
        <v>0</v>
      </c>
      <c r="D74" s="2"/>
      <c r="E74" s="4">
        <v>10</v>
      </c>
      <c r="F74" s="4">
        <f>E74*24</f>
        <v>240</v>
      </c>
      <c r="G74" s="4"/>
      <c r="H74" s="4"/>
      <c r="I74" s="4">
        <f>F74</f>
        <v>240</v>
      </c>
      <c r="J74" s="3">
        <f>C74*E74*24</f>
        <v>0</v>
      </c>
      <c r="K74" s="3"/>
      <c r="L74" s="15">
        <v>26</v>
      </c>
      <c r="M74" s="15">
        <v>26</v>
      </c>
      <c r="N74" s="17"/>
      <c r="O74" s="17"/>
      <c r="P74" s="17">
        <f>M74*I74</f>
        <v>6240</v>
      </c>
      <c r="Q74" s="7"/>
      <c r="S74" s="38"/>
    </row>
    <row r="75" spans="2:21" ht="14.25" customHeight="1" x14ac:dyDescent="0.2">
      <c r="B75" s="16"/>
      <c r="C75" s="2"/>
      <c r="D75" s="2"/>
      <c r="E75" s="4"/>
      <c r="F75" s="4">
        <f>SUM(F73:F74)</f>
        <v>480</v>
      </c>
      <c r="G75" s="4">
        <f>F75</f>
        <v>480</v>
      </c>
      <c r="H75" s="4"/>
      <c r="I75" s="4"/>
      <c r="J75" s="3"/>
      <c r="K75" s="3"/>
      <c r="L75" s="15"/>
      <c r="M75" s="15">
        <v>18.350000000000001</v>
      </c>
      <c r="N75" s="17">
        <f>M75*G75</f>
        <v>8808</v>
      </c>
      <c r="O75" s="17"/>
      <c r="P75" s="17"/>
      <c r="Q75" s="7"/>
      <c r="S75" s="38"/>
    </row>
    <row r="76" spans="2:21" ht="8.25" customHeight="1" x14ac:dyDescent="0.2">
      <c r="B76" s="16"/>
      <c r="C76" s="2"/>
      <c r="D76" s="2"/>
      <c r="E76" s="4"/>
      <c r="F76" s="4"/>
      <c r="G76" s="4"/>
      <c r="H76" s="4"/>
      <c r="I76" s="4"/>
      <c r="J76" s="3"/>
      <c r="K76" s="3"/>
      <c r="L76" s="15"/>
      <c r="M76" s="15"/>
      <c r="N76" s="17"/>
      <c r="O76" s="17"/>
      <c r="P76" s="17"/>
      <c r="Q76" s="7"/>
      <c r="S76" s="38"/>
    </row>
    <row r="77" spans="2:21" x14ac:dyDescent="0.2">
      <c r="B77" s="16">
        <v>37530</v>
      </c>
      <c r="C77" s="2">
        <v>0</v>
      </c>
      <c r="D77" s="2">
        <f>B81-B77</f>
        <v>31</v>
      </c>
      <c r="E77" s="4">
        <v>31</v>
      </c>
      <c r="F77" s="4">
        <f>E77*8</f>
        <v>248</v>
      </c>
      <c r="G77" s="4"/>
      <c r="H77" s="4">
        <f>F77</f>
        <v>248</v>
      </c>
      <c r="I77" s="4"/>
      <c r="J77" s="3">
        <f>C77*E77*8</f>
        <v>0</v>
      </c>
      <c r="K77" s="3"/>
      <c r="L77" s="15">
        <v>20</v>
      </c>
      <c r="M77" s="15">
        <v>20</v>
      </c>
      <c r="N77" s="17"/>
      <c r="O77" s="17">
        <f>M77*H77</f>
        <v>4960</v>
      </c>
      <c r="P77" s="17"/>
      <c r="Q77" s="7">
        <f>M77-L77</f>
        <v>0</v>
      </c>
      <c r="S77" s="38">
        <f>J77*Q77</f>
        <v>0</v>
      </c>
    </row>
    <row r="78" spans="2:21" x14ac:dyDescent="0.2">
      <c r="B78" s="16" t="s">
        <v>30</v>
      </c>
      <c r="C78" s="2">
        <v>0</v>
      </c>
      <c r="D78" s="2"/>
      <c r="E78" s="4">
        <v>8</v>
      </c>
      <c r="F78" s="4">
        <f>E78*24</f>
        <v>192</v>
      </c>
      <c r="G78" s="4"/>
      <c r="H78" s="4"/>
      <c r="I78" s="4">
        <f>F78</f>
        <v>192</v>
      </c>
      <c r="J78" s="3">
        <f>C78*E78*24</f>
        <v>0</v>
      </c>
      <c r="K78" s="3"/>
      <c r="L78" s="15">
        <v>27</v>
      </c>
      <c r="M78" s="15">
        <v>27</v>
      </c>
      <c r="N78" s="17"/>
      <c r="O78" s="17"/>
      <c r="P78" s="17">
        <f>M78*I78</f>
        <v>5184</v>
      </c>
      <c r="Q78" s="7"/>
      <c r="S78" s="38"/>
    </row>
    <row r="79" spans="2:21" x14ac:dyDescent="0.2">
      <c r="B79" s="16"/>
      <c r="C79" s="2"/>
      <c r="D79" s="2"/>
      <c r="E79" s="4"/>
      <c r="F79" s="4">
        <f>SUM(F77:F78)</f>
        <v>440</v>
      </c>
      <c r="G79" s="4">
        <f>F79</f>
        <v>440</v>
      </c>
      <c r="H79" s="4"/>
      <c r="I79" s="4"/>
      <c r="J79" s="3"/>
      <c r="K79" s="3"/>
      <c r="L79" s="15"/>
      <c r="M79" s="15">
        <v>18.75</v>
      </c>
      <c r="N79" s="17">
        <f>M79*G79</f>
        <v>8250</v>
      </c>
      <c r="O79" s="17"/>
      <c r="P79" s="17"/>
      <c r="Q79" s="7"/>
      <c r="S79" s="38"/>
      <c r="U79">
        <v>18.75</v>
      </c>
    </row>
    <row r="80" spans="2:21" x14ac:dyDescent="0.2">
      <c r="B80" s="16"/>
      <c r="C80" s="2"/>
      <c r="D80" s="2"/>
      <c r="E80" s="4"/>
      <c r="F80" s="4"/>
      <c r="G80" s="4"/>
      <c r="H80" s="4"/>
      <c r="I80" s="4"/>
      <c r="J80" s="3"/>
      <c r="K80" s="3"/>
      <c r="L80" s="15"/>
      <c r="M80" s="15"/>
      <c r="N80" s="17"/>
      <c r="O80" s="17"/>
      <c r="P80" s="17"/>
      <c r="Q80" s="7"/>
      <c r="S80" s="38"/>
      <c r="U80">
        <v>19.25</v>
      </c>
    </row>
    <row r="81" spans="2:21" x14ac:dyDescent="0.2">
      <c r="B81" s="16">
        <v>37561</v>
      </c>
      <c r="C81" s="2">
        <v>0</v>
      </c>
      <c r="D81" s="2">
        <f>B85-B81</f>
        <v>30</v>
      </c>
      <c r="E81" s="4">
        <v>30</v>
      </c>
      <c r="F81" s="4">
        <f>E81*8</f>
        <v>240</v>
      </c>
      <c r="G81" s="4"/>
      <c r="H81" s="4">
        <f>F81</f>
        <v>240</v>
      </c>
      <c r="I81" s="4"/>
      <c r="J81" s="3">
        <f>C81*E81*8</f>
        <v>0</v>
      </c>
      <c r="K81" s="3"/>
      <c r="L81" s="15">
        <v>20</v>
      </c>
      <c r="M81" s="15">
        <v>20</v>
      </c>
      <c r="N81" s="17"/>
      <c r="O81" s="17">
        <f>M81*H81</f>
        <v>4800</v>
      </c>
      <c r="P81" s="17"/>
      <c r="Q81" s="7">
        <f>M81-L81</f>
        <v>0</v>
      </c>
      <c r="S81" s="38">
        <f>J81*Q81</f>
        <v>0</v>
      </c>
      <c r="U81">
        <v>20.25</v>
      </c>
    </row>
    <row r="82" spans="2:21" x14ac:dyDescent="0.2">
      <c r="B82" s="16" t="s">
        <v>30</v>
      </c>
      <c r="C82" s="2">
        <v>0</v>
      </c>
      <c r="D82" s="2"/>
      <c r="E82" s="4">
        <v>10</v>
      </c>
      <c r="F82" s="4">
        <f>E82*24</f>
        <v>240</v>
      </c>
      <c r="G82" s="4"/>
      <c r="H82" s="4"/>
      <c r="I82" s="4">
        <f>F82</f>
        <v>240</v>
      </c>
      <c r="J82" s="3">
        <f>C82*E82*24</f>
        <v>0</v>
      </c>
      <c r="K82" s="3"/>
      <c r="L82" s="15">
        <v>27</v>
      </c>
      <c r="M82" s="15">
        <v>27</v>
      </c>
      <c r="N82" s="17"/>
      <c r="O82" s="17"/>
      <c r="P82" s="17">
        <f>M82*I82</f>
        <v>6480</v>
      </c>
      <c r="Q82" s="7"/>
      <c r="S82" s="38"/>
    </row>
    <row r="83" spans="2:21" x14ac:dyDescent="0.2">
      <c r="B83" s="16"/>
      <c r="C83" s="2"/>
      <c r="D83" s="2"/>
      <c r="E83" s="4"/>
      <c r="F83" s="4">
        <f>SUM(F81:F82)</f>
        <v>480</v>
      </c>
      <c r="G83" s="4">
        <f>F83</f>
        <v>480</v>
      </c>
      <c r="H83" s="4"/>
      <c r="I83" s="4"/>
      <c r="J83" s="3"/>
      <c r="K83" s="3"/>
      <c r="L83" s="15"/>
      <c r="M83" s="15">
        <v>19.25</v>
      </c>
      <c r="N83" s="17">
        <f>M83*G83</f>
        <v>9240</v>
      </c>
      <c r="O83" s="17"/>
      <c r="P83" s="17"/>
      <c r="Q83" s="7"/>
      <c r="S83" s="38"/>
    </row>
    <row r="84" spans="2:21" x14ac:dyDescent="0.2">
      <c r="B84" s="16"/>
      <c r="C84" s="2"/>
      <c r="D84" s="2"/>
      <c r="E84" s="4"/>
      <c r="F84" s="4"/>
      <c r="G84" s="4"/>
      <c r="H84" s="4"/>
      <c r="I84" s="4"/>
      <c r="J84" s="3"/>
      <c r="K84" s="3"/>
      <c r="L84" s="15"/>
      <c r="M84" s="15"/>
      <c r="N84" s="17"/>
      <c r="O84" s="17"/>
      <c r="P84" s="17"/>
      <c r="Q84" s="7"/>
      <c r="S84" s="38"/>
    </row>
    <row r="85" spans="2:21" x14ac:dyDescent="0.2">
      <c r="B85" s="16">
        <v>37591</v>
      </c>
      <c r="C85" s="2">
        <v>0</v>
      </c>
      <c r="D85" s="2">
        <f>B89-B85</f>
        <v>31</v>
      </c>
      <c r="E85" s="4">
        <v>31</v>
      </c>
      <c r="F85" s="4">
        <f>E85*8</f>
        <v>248</v>
      </c>
      <c r="G85" s="4"/>
      <c r="H85" s="4">
        <f>F85</f>
        <v>248</v>
      </c>
      <c r="I85" s="4"/>
      <c r="J85" s="3">
        <f>C85*E85*8</f>
        <v>0</v>
      </c>
      <c r="K85" s="3"/>
      <c r="L85" s="15">
        <v>20</v>
      </c>
      <c r="M85" s="15">
        <v>20</v>
      </c>
      <c r="N85" s="17"/>
      <c r="O85" s="17">
        <f>M85*H85</f>
        <v>4960</v>
      </c>
      <c r="P85" s="17"/>
      <c r="Q85" s="7">
        <f>M85-L85</f>
        <v>0</v>
      </c>
      <c r="S85" s="38">
        <f>J85*Q85</f>
        <v>0</v>
      </c>
    </row>
    <row r="86" spans="2:21" x14ac:dyDescent="0.2">
      <c r="B86" s="16" t="s">
        <v>30</v>
      </c>
      <c r="C86" s="2">
        <v>0</v>
      </c>
      <c r="D86" s="2"/>
      <c r="E86" s="4">
        <v>10</v>
      </c>
      <c r="F86" s="4">
        <f>E86*24</f>
        <v>240</v>
      </c>
      <c r="G86" s="4"/>
      <c r="H86" s="4"/>
      <c r="I86" s="4">
        <f>F86</f>
        <v>240</v>
      </c>
      <c r="J86" s="3">
        <f>C86*E86*24</f>
        <v>0</v>
      </c>
      <c r="K86" s="3"/>
      <c r="L86" s="15">
        <v>28</v>
      </c>
      <c r="M86" s="15">
        <v>28</v>
      </c>
      <c r="N86" s="17"/>
      <c r="O86" s="17"/>
      <c r="P86" s="17">
        <f>M86*I86</f>
        <v>6720</v>
      </c>
      <c r="Q86" s="7"/>
      <c r="S86" s="38"/>
    </row>
    <row r="87" spans="2:21" x14ac:dyDescent="0.2">
      <c r="B87" s="16"/>
      <c r="C87" s="2"/>
      <c r="D87" s="2"/>
      <c r="E87" s="4"/>
      <c r="F87" s="4">
        <f>SUM(F85:F86)</f>
        <v>488</v>
      </c>
      <c r="G87" s="4">
        <f>F87</f>
        <v>488</v>
      </c>
      <c r="H87" s="4"/>
      <c r="I87" s="4"/>
      <c r="J87" s="3"/>
      <c r="K87" s="3"/>
      <c r="L87" s="15"/>
      <c r="M87" s="15">
        <v>20.25</v>
      </c>
      <c r="N87" s="17">
        <f>M87*G87</f>
        <v>9882</v>
      </c>
      <c r="O87" s="17"/>
      <c r="P87" s="17"/>
      <c r="Q87" s="7"/>
      <c r="S87" s="38"/>
    </row>
    <row r="88" spans="2:21" x14ac:dyDescent="0.2">
      <c r="B88" s="16"/>
      <c r="C88" s="2"/>
      <c r="D88" s="2"/>
      <c r="E88" s="4"/>
      <c r="F88" s="4"/>
      <c r="G88" s="4">
        <f>SUM(G41:G87)</f>
        <v>5424</v>
      </c>
      <c r="H88" s="4">
        <f>SUM(H41:H87)</f>
        <v>2920</v>
      </c>
      <c r="I88" s="4">
        <f>SUM(I41:I87)</f>
        <v>2504</v>
      </c>
      <c r="J88" s="3"/>
      <c r="K88" s="3"/>
      <c r="L88" s="15"/>
      <c r="M88" s="15"/>
      <c r="N88" s="17">
        <f>SUM(N41:N87)</f>
        <v>109336</v>
      </c>
      <c r="O88" s="17">
        <f>SUM(O41:O87)</f>
        <v>57880</v>
      </c>
      <c r="P88" s="17">
        <f>SUM(P41:P87)</f>
        <v>76256</v>
      </c>
      <c r="Q88" s="7"/>
      <c r="S88" s="38"/>
    </row>
    <row r="89" spans="2:21" x14ac:dyDescent="0.2">
      <c r="B89" s="16">
        <v>37622</v>
      </c>
      <c r="C89" s="2"/>
      <c r="D89" s="2"/>
      <c r="E89" s="45">
        <f>SUM(E41:E86)</f>
        <v>475</v>
      </c>
      <c r="F89" s="45">
        <f>SUM(F41:F86)</f>
        <v>10360</v>
      </c>
      <c r="G89" s="45"/>
      <c r="H89" s="45"/>
      <c r="I89" s="45"/>
      <c r="J89" s="3"/>
      <c r="K89" s="3"/>
      <c r="L89" s="15"/>
      <c r="M89" s="15"/>
      <c r="N89" s="17"/>
      <c r="O89" s="15"/>
      <c r="P89" s="15"/>
      <c r="Q89" s="7"/>
      <c r="S89" s="38"/>
      <c r="U89">
        <v>49.26</v>
      </c>
    </row>
    <row r="90" spans="2:21" x14ac:dyDescent="0.2">
      <c r="B90" s="16"/>
      <c r="C90" s="2"/>
      <c r="D90" s="2"/>
      <c r="E90" s="45"/>
      <c r="F90" s="4"/>
      <c r="G90" s="4"/>
      <c r="H90" s="4"/>
      <c r="I90" s="4"/>
      <c r="J90" s="3"/>
      <c r="K90" s="3"/>
      <c r="L90" s="15"/>
      <c r="M90" s="15"/>
      <c r="N90" s="17"/>
      <c r="O90" s="15"/>
      <c r="P90" s="15"/>
      <c r="Q90" s="7"/>
      <c r="S90" s="38"/>
      <c r="U90">
        <v>43.25</v>
      </c>
    </row>
    <row r="91" spans="2:21" x14ac:dyDescent="0.2">
      <c r="B91" s="16" t="s">
        <v>10</v>
      </c>
      <c r="C91" s="2">
        <v>150</v>
      </c>
      <c r="D91" s="2"/>
      <c r="E91" s="1">
        <v>365</v>
      </c>
      <c r="F91" s="4">
        <v>4680</v>
      </c>
      <c r="G91" s="4"/>
      <c r="H91" s="4"/>
      <c r="I91" s="4"/>
      <c r="J91" s="3">
        <f t="shared" ref="J91:J96" si="0">F91*C91</f>
        <v>702000</v>
      </c>
      <c r="K91" s="3"/>
      <c r="L91" s="15">
        <v>21.48</v>
      </c>
      <c r="M91" s="15">
        <v>21.48</v>
      </c>
      <c r="N91" s="17"/>
      <c r="O91" s="15"/>
      <c r="P91" s="15"/>
      <c r="Q91" s="7">
        <f t="shared" ref="Q91:Q96" si="1">M91-L91</f>
        <v>0</v>
      </c>
      <c r="S91" s="38">
        <f t="shared" ref="S91:S96" si="2">J91*Q91</f>
        <v>0</v>
      </c>
      <c r="T91">
        <v>22</v>
      </c>
      <c r="U91">
        <v>42.25</v>
      </c>
    </row>
    <row r="92" spans="2:21" x14ac:dyDescent="0.2">
      <c r="B92" s="16" t="s">
        <v>29</v>
      </c>
      <c r="C92" s="2">
        <v>0</v>
      </c>
      <c r="D92" s="2"/>
      <c r="E92" s="1">
        <v>365</v>
      </c>
      <c r="F92" s="4">
        <v>4680</v>
      </c>
      <c r="G92" s="4"/>
      <c r="H92" s="4"/>
      <c r="I92" s="4"/>
      <c r="J92" s="3">
        <f t="shared" si="0"/>
        <v>0</v>
      </c>
      <c r="K92" s="3"/>
      <c r="L92" s="15">
        <v>23.59</v>
      </c>
      <c r="M92" s="15">
        <v>23.59</v>
      </c>
      <c r="N92" s="17"/>
      <c r="O92" s="15"/>
      <c r="P92" s="15"/>
      <c r="Q92" s="7">
        <f t="shared" si="1"/>
        <v>0</v>
      </c>
      <c r="S92" s="38">
        <f t="shared" si="2"/>
        <v>0</v>
      </c>
      <c r="T92">
        <v>23.5</v>
      </c>
      <c r="U92">
        <v>41.49</v>
      </c>
    </row>
    <row r="93" spans="2:21" x14ac:dyDescent="0.2">
      <c r="B93" s="16" t="s">
        <v>12</v>
      </c>
      <c r="C93" s="2">
        <v>-350</v>
      </c>
      <c r="D93" s="2"/>
      <c r="E93" s="4">
        <v>365</v>
      </c>
      <c r="F93" s="4">
        <v>4672</v>
      </c>
      <c r="G93" s="4"/>
      <c r="H93" s="4"/>
      <c r="I93" s="4"/>
      <c r="J93" s="3">
        <f t="shared" si="0"/>
        <v>-1635200</v>
      </c>
      <c r="K93" s="3"/>
      <c r="L93" s="15">
        <v>23.78</v>
      </c>
      <c r="M93" s="15">
        <v>23.78</v>
      </c>
      <c r="N93" s="17"/>
      <c r="O93" s="15"/>
      <c r="P93" s="15"/>
      <c r="Q93" s="7">
        <f t="shared" si="1"/>
        <v>0</v>
      </c>
      <c r="S93" s="38">
        <f t="shared" si="2"/>
        <v>0</v>
      </c>
      <c r="T93">
        <v>24</v>
      </c>
    </row>
    <row r="94" spans="2:21" x14ac:dyDescent="0.2">
      <c r="B94" s="16" t="s">
        <v>24</v>
      </c>
      <c r="C94" s="2">
        <v>-250</v>
      </c>
      <c r="D94" s="2"/>
      <c r="E94" s="4">
        <v>365</v>
      </c>
      <c r="F94" s="4">
        <v>4680</v>
      </c>
      <c r="G94" s="4"/>
      <c r="H94" s="4"/>
      <c r="I94" s="4"/>
      <c r="J94" s="3">
        <f t="shared" si="0"/>
        <v>-1170000</v>
      </c>
      <c r="K94" s="3"/>
      <c r="L94" s="15">
        <v>23.83</v>
      </c>
      <c r="M94" s="15">
        <v>23.83</v>
      </c>
      <c r="N94" s="17"/>
      <c r="O94" s="15"/>
      <c r="P94" s="15"/>
      <c r="Q94" s="7">
        <f t="shared" si="1"/>
        <v>0</v>
      </c>
      <c r="S94" s="38">
        <f t="shared" si="2"/>
        <v>0</v>
      </c>
      <c r="T94">
        <v>24</v>
      </c>
    </row>
    <row r="95" spans="2:21" x14ac:dyDescent="0.2">
      <c r="B95" s="16" t="s">
        <v>34</v>
      </c>
      <c r="C95" s="2">
        <v>-250</v>
      </c>
      <c r="D95" s="2"/>
      <c r="E95" s="4">
        <v>365</v>
      </c>
      <c r="F95" s="4">
        <v>4696</v>
      </c>
      <c r="G95" s="4"/>
      <c r="H95" s="4"/>
      <c r="I95" s="4"/>
      <c r="J95" s="3">
        <f t="shared" si="0"/>
        <v>-1174000</v>
      </c>
      <c r="K95" s="3"/>
      <c r="L95" s="15">
        <v>23.83</v>
      </c>
      <c r="M95" s="15">
        <v>23.83</v>
      </c>
      <c r="N95" s="17"/>
      <c r="O95" s="15"/>
      <c r="P95" s="15"/>
      <c r="Q95" s="7">
        <f t="shared" si="1"/>
        <v>0</v>
      </c>
      <c r="S95" s="38">
        <f t="shared" si="2"/>
        <v>0</v>
      </c>
      <c r="T95">
        <v>24</v>
      </c>
    </row>
    <row r="96" spans="2:21" ht="13.5" thickBot="1" x14ac:dyDescent="0.25">
      <c r="B96" s="16" t="s">
        <v>35</v>
      </c>
      <c r="C96" s="2">
        <v>0</v>
      </c>
      <c r="E96" s="4">
        <v>365</v>
      </c>
      <c r="F96" s="4">
        <v>4680</v>
      </c>
      <c r="G96" s="4"/>
      <c r="H96" s="4"/>
      <c r="I96" s="4"/>
      <c r="J96" s="18">
        <f t="shared" si="0"/>
        <v>0</v>
      </c>
      <c r="L96" s="15">
        <v>23.95</v>
      </c>
      <c r="M96" s="15">
        <v>23.95</v>
      </c>
      <c r="N96" s="17"/>
      <c r="O96" s="15"/>
      <c r="P96" s="15"/>
      <c r="Q96" s="7">
        <f t="shared" si="1"/>
        <v>0</v>
      </c>
      <c r="S96" s="38">
        <f t="shared" si="2"/>
        <v>0</v>
      </c>
    </row>
    <row r="97" spans="3:19" x14ac:dyDescent="0.2">
      <c r="C97" s="2"/>
      <c r="J97" s="19">
        <f>SUM(J91:J96)</f>
        <v>-3277200</v>
      </c>
      <c r="M97" s="15"/>
      <c r="N97" s="17"/>
      <c r="O97" s="15"/>
      <c r="P97" s="15"/>
      <c r="S97" s="46">
        <f>SUM(S5:S96)</f>
        <v>0</v>
      </c>
    </row>
    <row r="98" spans="3:19" x14ac:dyDescent="0.2">
      <c r="M98" s="15"/>
      <c r="N98" s="17"/>
      <c r="O98" s="15"/>
      <c r="P98" s="15"/>
    </row>
    <row r="99" spans="3:19" x14ac:dyDescent="0.2">
      <c r="E99" s="65"/>
      <c r="N99" s="17"/>
    </row>
    <row r="100" spans="3:19" x14ac:dyDescent="0.2">
      <c r="E100" s="65"/>
      <c r="N100" s="17"/>
    </row>
    <row r="101" spans="3:19" x14ac:dyDescent="0.2">
      <c r="E101" s="65"/>
      <c r="N101" s="17"/>
    </row>
    <row r="102" spans="3:19" x14ac:dyDescent="0.2">
      <c r="E102" s="65"/>
      <c r="N102" s="17"/>
    </row>
    <row r="103" spans="3:19" x14ac:dyDescent="0.2">
      <c r="E103" s="65"/>
      <c r="N103" s="17"/>
    </row>
    <row r="104" spans="3:19" x14ac:dyDescent="0.2">
      <c r="N104" s="17"/>
    </row>
    <row r="105" spans="3:19" x14ac:dyDescent="0.2">
      <c r="N105" s="17"/>
    </row>
    <row r="106" spans="3:19" x14ac:dyDescent="0.2">
      <c r="N106" s="17"/>
    </row>
    <row r="107" spans="3:19" x14ac:dyDescent="0.2">
      <c r="N107" s="17"/>
    </row>
    <row r="108" spans="3:19" x14ac:dyDescent="0.2">
      <c r="N108" s="17"/>
    </row>
    <row r="109" spans="3:19" x14ac:dyDescent="0.2">
      <c r="N109" s="17"/>
    </row>
    <row r="110" spans="3:19" x14ac:dyDescent="0.2">
      <c r="N110" s="17"/>
    </row>
    <row r="111" spans="3:19" x14ac:dyDescent="0.2">
      <c r="N111" s="17"/>
    </row>
    <row r="112" spans="3:19" x14ac:dyDescent="0.2">
      <c r="N112" s="17"/>
    </row>
    <row r="113" spans="14:14" x14ac:dyDescent="0.2">
      <c r="N113" s="17"/>
    </row>
    <row r="114" spans="14:14" x14ac:dyDescent="0.2">
      <c r="N114" s="17"/>
    </row>
    <row r="115" spans="14:14" x14ac:dyDescent="0.2">
      <c r="N115" s="17"/>
    </row>
    <row r="116" spans="14:14" x14ac:dyDescent="0.2">
      <c r="N116" s="17"/>
    </row>
    <row r="117" spans="14:14" x14ac:dyDescent="0.2">
      <c r="N117" s="17"/>
    </row>
    <row r="118" spans="14:14" x14ac:dyDescent="0.2">
      <c r="N118" s="17"/>
    </row>
    <row r="119" spans="14:14" x14ac:dyDescent="0.2">
      <c r="N119" s="17"/>
    </row>
    <row r="120" spans="14:14" x14ac:dyDescent="0.2">
      <c r="N120" s="17"/>
    </row>
    <row r="121" spans="14:14" x14ac:dyDescent="0.2">
      <c r="N121" s="17"/>
    </row>
    <row r="122" spans="14:14" x14ac:dyDescent="0.2">
      <c r="N122" s="17"/>
    </row>
    <row r="123" spans="14:14" x14ac:dyDescent="0.2">
      <c r="N123" s="17"/>
    </row>
    <row r="124" spans="14:14" x14ac:dyDescent="0.2">
      <c r="N124" s="17"/>
    </row>
    <row r="125" spans="14:14" x14ac:dyDescent="0.2">
      <c r="N125" s="17"/>
    </row>
    <row r="126" spans="14:14" x14ac:dyDescent="0.2">
      <c r="N126" s="17"/>
    </row>
    <row r="127" spans="14:14" x14ac:dyDescent="0.2">
      <c r="N127" s="17"/>
    </row>
    <row r="128" spans="14:14" x14ac:dyDescent="0.2">
      <c r="N128" s="17"/>
    </row>
    <row r="129" spans="14:14" x14ac:dyDescent="0.2">
      <c r="N129" s="17"/>
    </row>
    <row r="130" spans="14:14" x14ac:dyDescent="0.2">
      <c r="N130" s="17"/>
    </row>
    <row r="131" spans="14:14" x14ac:dyDescent="0.2">
      <c r="N131" s="17"/>
    </row>
    <row r="132" spans="14:14" x14ac:dyDescent="0.2">
      <c r="N132" s="17"/>
    </row>
    <row r="133" spans="14:14" x14ac:dyDescent="0.2">
      <c r="N133" s="17"/>
    </row>
    <row r="134" spans="14:14" x14ac:dyDescent="0.2">
      <c r="N134" s="17"/>
    </row>
    <row r="135" spans="14:14" x14ac:dyDescent="0.2">
      <c r="N135" s="17"/>
    </row>
    <row r="136" spans="14:14" x14ac:dyDescent="0.2">
      <c r="N136" s="17"/>
    </row>
    <row r="137" spans="14:14" x14ac:dyDescent="0.2">
      <c r="N137" s="17"/>
    </row>
    <row r="138" spans="14:14" x14ac:dyDescent="0.2">
      <c r="N138" s="17"/>
    </row>
    <row r="139" spans="14:14" x14ac:dyDescent="0.2">
      <c r="N139" s="17"/>
    </row>
    <row r="140" spans="14:14" x14ac:dyDescent="0.2">
      <c r="N140" s="17"/>
    </row>
    <row r="141" spans="14:14" x14ac:dyDescent="0.2">
      <c r="N141" s="17"/>
    </row>
    <row r="142" spans="14:14" x14ac:dyDescent="0.2">
      <c r="N142" s="17"/>
    </row>
    <row r="143" spans="14:14" x14ac:dyDescent="0.2">
      <c r="N143" s="17"/>
    </row>
    <row r="144" spans="14:14" x14ac:dyDescent="0.2">
      <c r="N144" s="17"/>
    </row>
    <row r="145" spans="14:14" x14ac:dyDescent="0.2">
      <c r="N145" s="17"/>
    </row>
    <row r="146" spans="14:14" x14ac:dyDescent="0.2">
      <c r="N146" s="17"/>
    </row>
    <row r="147" spans="14:14" x14ac:dyDescent="0.2">
      <c r="N147" s="17"/>
    </row>
    <row r="148" spans="14:14" x14ac:dyDescent="0.2">
      <c r="N148" s="17"/>
    </row>
    <row r="149" spans="14:14" x14ac:dyDescent="0.2">
      <c r="N149" s="17"/>
    </row>
    <row r="150" spans="14:14" x14ac:dyDescent="0.2">
      <c r="N150" s="17"/>
    </row>
    <row r="151" spans="14:14" x14ac:dyDescent="0.2">
      <c r="N151" s="17"/>
    </row>
    <row r="152" spans="14:14" x14ac:dyDescent="0.2">
      <c r="N152" s="17"/>
    </row>
    <row r="153" spans="14:14" x14ac:dyDescent="0.2">
      <c r="N153" s="17"/>
    </row>
    <row r="154" spans="14:14" x14ac:dyDescent="0.2">
      <c r="N154" s="17"/>
    </row>
    <row r="155" spans="14:14" x14ac:dyDescent="0.2">
      <c r="N155" s="17"/>
    </row>
    <row r="156" spans="14:14" x14ac:dyDescent="0.2">
      <c r="N156" s="17"/>
    </row>
    <row r="157" spans="14:14" x14ac:dyDescent="0.2">
      <c r="N157" s="17"/>
    </row>
    <row r="158" spans="14:14" x14ac:dyDescent="0.2">
      <c r="N158" s="17"/>
    </row>
    <row r="159" spans="14:14" x14ac:dyDescent="0.2">
      <c r="N159" s="17"/>
    </row>
    <row r="160" spans="14:14" x14ac:dyDescent="0.2">
      <c r="N160" s="17"/>
    </row>
    <row r="161" spans="14:14" x14ac:dyDescent="0.2">
      <c r="N161" s="17"/>
    </row>
    <row r="162" spans="14:14" x14ac:dyDescent="0.2">
      <c r="N162" s="17"/>
    </row>
    <row r="163" spans="14:14" x14ac:dyDescent="0.2">
      <c r="N163" s="17"/>
    </row>
    <row r="164" spans="14:14" x14ac:dyDescent="0.2">
      <c r="N164" s="17"/>
    </row>
    <row r="165" spans="14:14" x14ac:dyDescent="0.2">
      <c r="N165" s="17"/>
    </row>
    <row r="166" spans="14:14" x14ac:dyDescent="0.2">
      <c r="N166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3"/>
  <sheetViews>
    <sheetView topLeftCell="L7" workbookViewId="0">
      <selection activeCell="V24" sqref="V24"/>
    </sheetView>
  </sheetViews>
  <sheetFormatPr defaultRowHeight="12.75" x14ac:dyDescent="0.2"/>
  <cols>
    <col min="1" max="1" width="0.5703125" customWidth="1"/>
    <col min="2" max="2" width="8.85546875" customWidth="1"/>
    <col min="3" max="3" width="7.42578125" customWidth="1"/>
    <col min="4" max="4" width="6.85546875" customWidth="1"/>
    <col min="5" max="5" width="10" customWidth="1"/>
    <col min="6" max="6" width="2" customWidth="1"/>
    <col min="7" max="7" width="9.85546875" customWidth="1"/>
    <col min="8" max="8" width="10.28515625" customWidth="1"/>
    <col min="9" max="9" width="0" hidden="1" customWidth="1"/>
    <col min="10" max="10" width="9.28515625" customWidth="1"/>
    <col min="11" max="11" width="2.7109375" customWidth="1"/>
    <col min="12" max="12" width="13.42578125" customWidth="1"/>
    <col min="13" max="13" width="0.7109375" customWidth="1"/>
    <col min="14" max="14" width="7.85546875" customWidth="1"/>
    <col min="15" max="15" width="0.7109375" customWidth="1"/>
    <col min="16" max="16" width="8.85546875" customWidth="1"/>
    <col min="17" max="17" width="7.7109375" customWidth="1"/>
    <col min="18" max="18" width="6.85546875" customWidth="1"/>
    <col min="19" max="19" width="10.140625" customWidth="1"/>
    <col min="20" max="20" width="0.42578125" customWidth="1"/>
    <col min="21" max="21" width="9.85546875" customWidth="1"/>
    <col min="22" max="22" width="10.28515625" customWidth="1"/>
    <col min="23" max="23" width="0" hidden="1" customWidth="1"/>
    <col min="24" max="24" width="9.28515625" customWidth="1"/>
    <col min="25" max="25" width="2.7109375" customWidth="1"/>
    <col min="26" max="26" width="14.7109375" customWidth="1"/>
    <col min="27" max="27" width="1.7109375" customWidth="1"/>
    <col min="32" max="32" width="10.28515625" customWidth="1"/>
    <col min="33" max="33" width="9.5703125" customWidth="1"/>
  </cols>
  <sheetData>
    <row r="1" spans="2:36" x14ac:dyDescent="0.2">
      <c r="B1" s="5"/>
      <c r="P1" s="5"/>
    </row>
    <row r="2" spans="2:36" ht="22.5" customHeight="1" x14ac:dyDescent="0.2">
      <c r="B2" s="5" t="s">
        <v>67</v>
      </c>
      <c r="P2" s="5" t="s">
        <v>69</v>
      </c>
    </row>
    <row r="3" spans="2:36" x14ac:dyDescent="0.2">
      <c r="AD3" s="5" t="s">
        <v>75</v>
      </c>
      <c r="AE3" s="5"/>
      <c r="AF3" s="5" t="s">
        <v>76</v>
      </c>
      <c r="AG3" s="5"/>
      <c r="AH3" t="s">
        <v>79</v>
      </c>
      <c r="AJ3" t="s">
        <v>80</v>
      </c>
    </row>
    <row r="4" spans="2:36" x14ac:dyDescent="0.2">
      <c r="AD4" s="5"/>
      <c r="AE4" s="5"/>
      <c r="AF4" s="5" t="s">
        <v>77</v>
      </c>
      <c r="AG4" s="5" t="s">
        <v>78</v>
      </c>
    </row>
    <row r="5" spans="2:36" ht="13.5" thickBot="1" x14ac:dyDescent="0.25">
      <c r="D5">
        <v>93</v>
      </c>
      <c r="AF5" t="s">
        <v>81</v>
      </c>
      <c r="AG5" t="s">
        <v>82</v>
      </c>
      <c r="AH5" t="s">
        <v>85</v>
      </c>
    </row>
    <row r="6" spans="2:36" ht="13.5" thickBot="1" x14ac:dyDescent="0.25">
      <c r="B6" s="9" t="s">
        <v>2</v>
      </c>
      <c r="C6" s="10" t="s">
        <v>5</v>
      </c>
      <c r="D6" s="10" t="s">
        <v>7</v>
      </c>
      <c r="E6" s="11" t="s">
        <v>8</v>
      </c>
      <c r="F6" s="1"/>
      <c r="G6" s="9" t="s">
        <v>3</v>
      </c>
      <c r="H6" s="10" t="s">
        <v>4</v>
      </c>
      <c r="I6" s="11"/>
      <c r="J6" s="11" t="s">
        <v>6</v>
      </c>
      <c r="L6" s="14" t="s">
        <v>9</v>
      </c>
      <c r="P6" s="9" t="s">
        <v>2</v>
      </c>
      <c r="Q6" s="10" t="s">
        <v>5</v>
      </c>
      <c r="R6" s="10" t="s">
        <v>7</v>
      </c>
      <c r="S6" s="11" t="s">
        <v>8</v>
      </c>
      <c r="T6" s="1"/>
      <c r="U6" s="9" t="s">
        <v>3</v>
      </c>
      <c r="V6" s="10" t="s">
        <v>4</v>
      </c>
      <c r="W6" s="11"/>
      <c r="X6" s="11" t="s">
        <v>6</v>
      </c>
      <c r="Z6" s="14" t="s">
        <v>9</v>
      </c>
      <c r="AF6" t="s">
        <v>86</v>
      </c>
      <c r="AH6" t="s">
        <v>87</v>
      </c>
    </row>
    <row r="8" spans="2:36" x14ac:dyDescent="0.2">
      <c r="B8" s="16">
        <v>37226</v>
      </c>
      <c r="C8" s="2">
        <v>900</v>
      </c>
      <c r="D8" s="4">
        <v>20</v>
      </c>
      <c r="E8" s="3">
        <f t="shared" ref="E8:E42" si="0">C8*D8*16</f>
        <v>288000</v>
      </c>
      <c r="F8" s="3"/>
      <c r="G8" s="15">
        <v>30.5</v>
      </c>
      <c r="H8" s="15">
        <v>30.5</v>
      </c>
      <c r="I8" s="15"/>
      <c r="J8" s="7">
        <f t="shared" ref="J8:J42" si="1">H8-G8</f>
        <v>0</v>
      </c>
      <c r="L8" s="38">
        <f t="shared" ref="L8:L35" si="2">E8*J8</f>
        <v>0</v>
      </c>
      <c r="P8" s="16">
        <v>37226</v>
      </c>
      <c r="Q8" s="2">
        <v>0</v>
      </c>
      <c r="R8" s="4">
        <v>20</v>
      </c>
      <c r="S8" s="3">
        <f>Q8*R8*16</f>
        <v>0</v>
      </c>
      <c r="T8" s="3"/>
      <c r="U8" s="15">
        <v>25.5</v>
      </c>
      <c r="V8" s="15">
        <v>25.5</v>
      </c>
      <c r="W8" s="15"/>
      <c r="X8" s="7">
        <f>V8-U8</f>
        <v>0</v>
      </c>
      <c r="Z8" s="38">
        <f t="shared" ref="Z8:Z21" si="3">S8*X8</f>
        <v>0</v>
      </c>
    </row>
    <row r="9" spans="2:36" x14ac:dyDescent="0.2">
      <c r="B9" s="16"/>
      <c r="C9" s="2"/>
      <c r="D9" s="4"/>
      <c r="E9" s="3"/>
      <c r="F9" s="3"/>
      <c r="G9" s="15"/>
      <c r="H9" s="15"/>
      <c r="I9" s="15"/>
      <c r="J9" s="7"/>
      <c r="L9" s="8" t="s">
        <v>57</v>
      </c>
      <c r="N9" s="15">
        <f>I22/D22</f>
        <v>40.745098039215684</v>
      </c>
      <c r="P9" s="16"/>
      <c r="Q9" s="2"/>
      <c r="R9" s="4"/>
      <c r="S9" s="3"/>
      <c r="T9" s="3"/>
      <c r="U9" s="15"/>
      <c r="V9" s="15"/>
      <c r="W9" s="15"/>
      <c r="X9" s="7"/>
      <c r="Z9" s="8" t="s">
        <v>57</v>
      </c>
      <c r="AB9" s="15">
        <f>W22/R22</f>
        <v>32.815686274509801</v>
      </c>
    </row>
    <row r="10" spans="2:36" x14ac:dyDescent="0.2">
      <c r="B10" s="16">
        <v>37257</v>
      </c>
      <c r="C10" s="2">
        <v>0</v>
      </c>
      <c r="D10" s="4">
        <v>22</v>
      </c>
      <c r="E10" s="3">
        <f t="shared" si="0"/>
        <v>0</v>
      </c>
      <c r="F10" s="3"/>
      <c r="G10" s="15">
        <v>36.5</v>
      </c>
      <c r="H10" s="15">
        <v>37.5</v>
      </c>
      <c r="I10" s="17">
        <f>H10*D10</f>
        <v>825</v>
      </c>
      <c r="J10" s="7">
        <f t="shared" si="1"/>
        <v>1</v>
      </c>
      <c r="L10" s="38">
        <f t="shared" si="2"/>
        <v>0</v>
      </c>
      <c r="P10" s="16">
        <v>37257</v>
      </c>
      <c r="Q10" s="2">
        <v>-50</v>
      </c>
      <c r="R10" s="4">
        <v>22</v>
      </c>
      <c r="S10" s="3">
        <f t="shared" ref="S10:S21" si="4">Q10*R10*16</f>
        <v>-17600</v>
      </c>
      <c r="T10" s="3"/>
      <c r="U10" s="15">
        <v>29</v>
      </c>
      <c r="V10" s="15">
        <v>30</v>
      </c>
      <c r="W10" s="17">
        <f>V10*R10</f>
        <v>660</v>
      </c>
      <c r="X10" s="7">
        <f t="shared" ref="X10:X21" si="5">V10-U10</f>
        <v>1</v>
      </c>
      <c r="Z10" s="38">
        <f t="shared" si="3"/>
        <v>-17600</v>
      </c>
    </row>
    <row r="11" spans="2:36" x14ac:dyDescent="0.2">
      <c r="B11" s="16">
        <v>37288</v>
      </c>
      <c r="C11" s="2">
        <v>0</v>
      </c>
      <c r="D11" s="4">
        <v>20</v>
      </c>
      <c r="E11" s="3">
        <f t="shared" si="0"/>
        <v>0</v>
      </c>
      <c r="F11" s="3"/>
      <c r="G11" s="15">
        <v>36.5</v>
      </c>
      <c r="H11" s="15">
        <v>37.5</v>
      </c>
      <c r="I11" s="17">
        <f t="shared" ref="I11:I21" si="6">H11*D11</f>
        <v>750</v>
      </c>
      <c r="J11" s="7">
        <f t="shared" si="1"/>
        <v>1</v>
      </c>
      <c r="L11" s="38">
        <f t="shared" si="2"/>
        <v>0</v>
      </c>
      <c r="P11" s="16">
        <v>37288</v>
      </c>
      <c r="Q11" s="2">
        <v>-50</v>
      </c>
      <c r="R11" s="4">
        <v>20</v>
      </c>
      <c r="S11" s="3">
        <f t="shared" si="4"/>
        <v>-16000</v>
      </c>
      <c r="T11" s="3"/>
      <c r="U11" s="15">
        <v>30</v>
      </c>
      <c r="V11" s="15">
        <v>30</v>
      </c>
      <c r="W11" s="17">
        <f t="shared" ref="W11:W21" si="7">V11*R11</f>
        <v>600</v>
      </c>
      <c r="X11" s="7">
        <f t="shared" si="5"/>
        <v>0</v>
      </c>
      <c r="Z11" s="38">
        <f t="shared" si="3"/>
        <v>0</v>
      </c>
    </row>
    <row r="12" spans="2:36" x14ac:dyDescent="0.2">
      <c r="B12" s="64">
        <v>37316</v>
      </c>
      <c r="C12" s="2">
        <v>750</v>
      </c>
      <c r="D12" s="4">
        <v>21</v>
      </c>
      <c r="E12" s="3">
        <f t="shared" si="0"/>
        <v>252000</v>
      </c>
      <c r="F12" s="3"/>
      <c r="G12" s="15">
        <v>35</v>
      </c>
      <c r="H12" s="15">
        <v>36</v>
      </c>
      <c r="I12" s="17">
        <f t="shared" si="6"/>
        <v>756</v>
      </c>
      <c r="J12" s="7">
        <f t="shared" si="1"/>
        <v>1</v>
      </c>
      <c r="L12" s="38">
        <f t="shared" si="2"/>
        <v>252000</v>
      </c>
      <c r="P12" s="64">
        <v>37316</v>
      </c>
      <c r="Q12" s="2">
        <v>50</v>
      </c>
      <c r="R12" s="4">
        <v>21</v>
      </c>
      <c r="S12" s="3">
        <f t="shared" si="4"/>
        <v>16800</v>
      </c>
      <c r="T12" s="3"/>
      <c r="U12" s="15">
        <v>27</v>
      </c>
      <c r="V12" s="15">
        <v>28</v>
      </c>
      <c r="W12" s="17">
        <f t="shared" si="7"/>
        <v>588</v>
      </c>
      <c r="X12" s="7">
        <f t="shared" si="5"/>
        <v>1</v>
      </c>
      <c r="Z12" s="38">
        <f t="shared" si="3"/>
        <v>16800</v>
      </c>
    </row>
    <row r="13" spans="2:36" x14ac:dyDescent="0.2">
      <c r="B13" s="64">
        <v>37347</v>
      </c>
      <c r="C13" s="2">
        <v>750</v>
      </c>
      <c r="D13" s="4">
        <v>22</v>
      </c>
      <c r="E13" s="3">
        <f t="shared" si="0"/>
        <v>264000</v>
      </c>
      <c r="F13" s="3"/>
      <c r="G13" s="15">
        <v>35</v>
      </c>
      <c r="H13" s="15">
        <v>36</v>
      </c>
      <c r="I13" s="17">
        <f t="shared" si="6"/>
        <v>792</v>
      </c>
      <c r="J13" s="7">
        <f t="shared" si="1"/>
        <v>1</v>
      </c>
      <c r="L13" s="38">
        <f t="shared" si="2"/>
        <v>264000</v>
      </c>
      <c r="P13" s="64">
        <v>37347</v>
      </c>
      <c r="Q13" s="2">
        <v>50</v>
      </c>
      <c r="R13" s="4">
        <v>22</v>
      </c>
      <c r="S13" s="3">
        <f t="shared" si="4"/>
        <v>17600</v>
      </c>
      <c r="T13" s="3">
        <v>0</v>
      </c>
      <c r="U13" s="15">
        <v>27</v>
      </c>
      <c r="V13" s="15">
        <v>28</v>
      </c>
      <c r="W13" s="17">
        <f t="shared" si="7"/>
        <v>616</v>
      </c>
      <c r="X13" s="7">
        <f t="shared" si="5"/>
        <v>1</v>
      </c>
      <c r="Z13" s="38">
        <f t="shared" si="3"/>
        <v>17600</v>
      </c>
      <c r="AD13">
        <v>1</v>
      </c>
    </row>
    <row r="14" spans="2:36" x14ac:dyDescent="0.2">
      <c r="B14" s="16">
        <v>37377</v>
      </c>
      <c r="C14" s="2">
        <v>-150</v>
      </c>
      <c r="D14" s="4">
        <v>22</v>
      </c>
      <c r="E14" s="3">
        <f t="shared" si="0"/>
        <v>-52800</v>
      </c>
      <c r="F14" s="3"/>
      <c r="G14" s="15">
        <v>36.25</v>
      </c>
      <c r="H14" s="15">
        <v>37</v>
      </c>
      <c r="I14" s="17">
        <f t="shared" si="6"/>
        <v>814</v>
      </c>
      <c r="J14" s="7">
        <f t="shared" si="1"/>
        <v>0.75</v>
      </c>
      <c r="L14" s="38">
        <f t="shared" si="2"/>
        <v>-39600</v>
      </c>
      <c r="P14" s="16">
        <v>37377</v>
      </c>
      <c r="Q14" s="2">
        <v>750</v>
      </c>
      <c r="R14" s="4">
        <v>22</v>
      </c>
      <c r="S14" s="3">
        <f t="shared" si="4"/>
        <v>264000</v>
      </c>
      <c r="T14" s="3"/>
      <c r="U14" s="15">
        <v>29</v>
      </c>
      <c r="V14" s="15">
        <v>29</v>
      </c>
      <c r="W14" s="17">
        <f t="shared" si="7"/>
        <v>638</v>
      </c>
      <c r="X14" s="7">
        <f t="shared" si="5"/>
        <v>0</v>
      </c>
      <c r="Z14" s="38">
        <f t="shared" si="3"/>
        <v>0</v>
      </c>
      <c r="AD14">
        <v>2</v>
      </c>
    </row>
    <row r="15" spans="2:36" x14ac:dyDescent="0.2">
      <c r="B15" s="16">
        <v>37408</v>
      </c>
      <c r="C15" s="2">
        <v>-250</v>
      </c>
      <c r="D15" s="4">
        <v>20</v>
      </c>
      <c r="E15" s="3">
        <f t="shared" si="0"/>
        <v>-80000</v>
      </c>
      <c r="F15" s="3"/>
      <c r="G15" s="15">
        <v>43.5</v>
      </c>
      <c r="H15" s="15">
        <v>44</v>
      </c>
      <c r="I15" s="17">
        <f t="shared" si="6"/>
        <v>880</v>
      </c>
      <c r="J15" s="7">
        <f t="shared" si="1"/>
        <v>0.5</v>
      </c>
      <c r="L15" s="38">
        <f t="shared" si="2"/>
        <v>-40000</v>
      </c>
      <c r="P15" s="16">
        <v>37408</v>
      </c>
      <c r="Q15" s="2">
        <v>1284</v>
      </c>
      <c r="R15" s="4">
        <v>20</v>
      </c>
      <c r="S15" s="3">
        <f t="shared" si="4"/>
        <v>410880</v>
      </c>
      <c r="T15" s="3"/>
      <c r="U15" s="15">
        <v>39.5</v>
      </c>
      <c r="V15" s="15">
        <v>39.5</v>
      </c>
      <c r="W15" s="17">
        <f t="shared" si="7"/>
        <v>790</v>
      </c>
      <c r="X15" s="7">
        <f t="shared" si="5"/>
        <v>0</v>
      </c>
      <c r="Z15" s="38">
        <f t="shared" si="3"/>
        <v>0</v>
      </c>
      <c r="AD15">
        <v>3</v>
      </c>
    </row>
    <row r="16" spans="2:36" x14ac:dyDescent="0.2">
      <c r="B16" s="16">
        <v>37438</v>
      </c>
      <c r="C16" s="2">
        <v>-250</v>
      </c>
      <c r="D16" s="4">
        <v>22</v>
      </c>
      <c r="E16" s="3">
        <f t="shared" si="0"/>
        <v>-88000</v>
      </c>
      <c r="F16" s="3"/>
      <c r="G16" s="15">
        <v>61.75</v>
      </c>
      <c r="H16" s="15">
        <v>61.75</v>
      </c>
      <c r="I16" s="17">
        <f t="shared" si="6"/>
        <v>1358.5</v>
      </c>
      <c r="J16" s="7">
        <f t="shared" si="1"/>
        <v>0</v>
      </c>
      <c r="L16" s="38">
        <f t="shared" si="2"/>
        <v>0</v>
      </c>
      <c r="P16" s="16">
        <v>37438</v>
      </c>
      <c r="Q16" s="2">
        <v>700</v>
      </c>
      <c r="R16" s="4">
        <v>22</v>
      </c>
      <c r="S16" s="3">
        <f t="shared" si="4"/>
        <v>246400</v>
      </c>
      <c r="T16" s="3"/>
      <c r="U16" s="15">
        <v>48.5</v>
      </c>
      <c r="V16" s="15">
        <v>48.75</v>
      </c>
      <c r="W16" s="17">
        <f t="shared" si="7"/>
        <v>1072.5</v>
      </c>
      <c r="X16" s="7">
        <f t="shared" si="5"/>
        <v>0.25</v>
      </c>
      <c r="Z16" s="38">
        <f t="shared" si="3"/>
        <v>61600</v>
      </c>
      <c r="AD16">
        <v>4</v>
      </c>
    </row>
    <row r="17" spans="2:30" x14ac:dyDescent="0.2">
      <c r="B17" s="16">
        <v>37469</v>
      </c>
      <c r="C17" s="2">
        <v>-250</v>
      </c>
      <c r="D17" s="4">
        <v>22</v>
      </c>
      <c r="E17" s="3">
        <f t="shared" si="0"/>
        <v>-88000</v>
      </c>
      <c r="F17" s="3"/>
      <c r="G17" s="15">
        <v>61.75</v>
      </c>
      <c r="H17" s="15">
        <v>61.75</v>
      </c>
      <c r="I17" s="17">
        <f t="shared" si="6"/>
        <v>1358.5</v>
      </c>
      <c r="J17" s="7">
        <f t="shared" si="1"/>
        <v>0</v>
      </c>
      <c r="L17" s="38">
        <f t="shared" si="2"/>
        <v>0</v>
      </c>
      <c r="P17" s="16">
        <v>37469</v>
      </c>
      <c r="Q17" s="2">
        <v>700</v>
      </c>
      <c r="R17" s="4">
        <v>22</v>
      </c>
      <c r="S17" s="3">
        <f t="shared" si="4"/>
        <v>246400</v>
      </c>
      <c r="T17" s="3"/>
      <c r="U17" s="15">
        <v>48.5</v>
      </c>
      <c r="V17" s="15">
        <v>48.75</v>
      </c>
      <c r="W17" s="17">
        <f t="shared" si="7"/>
        <v>1072.5</v>
      </c>
      <c r="X17" s="7">
        <f t="shared" si="5"/>
        <v>0.25</v>
      </c>
      <c r="Z17" s="38">
        <f t="shared" si="3"/>
        <v>61600</v>
      </c>
      <c r="AD17">
        <v>5</v>
      </c>
    </row>
    <row r="18" spans="2:30" x14ac:dyDescent="0.2">
      <c r="B18" s="16">
        <v>37500</v>
      </c>
      <c r="C18" s="2">
        <v>-200</v>
      </c>
      <c r="D18" s="4">
        <v>20</v>
      </c>
      <c r="E18" s="3">
        <f t="shared" si="0"/>
        <v>-64000</v>
      </c>
      <c r="F18" s="3"/>
      <c r="G18" s="15">
        <v>34.5</v>
      </c>
      <c r="H18" s="15">
        <v>34</v>
      </c>
      <c r="I18" s="17">
        <f t="shared" si="6"/>
        <v>680</v>
      </c>
      <c r="J18" s="7">
        <f t="shared" si="1"/>
        <v>-0.5</v>
      </c>
      <c r="L18" s="38">
        <f t="shared" si="2"/>
        <v>32000</v>
      </c>
      <c r="P18" s="16">
        <v>37500</v>
      </c>
      <c r="Q18" s="2">
        <v>-50</v>
      </c>
      <c r="R18" s="4">
        <v>20</v>
      </c>
      <c r="S18" s="3">
        <f t="shared" si="4"/>
        <v>-16000</v>
      </c>
      <c r="T18" s="3"/>
      <c r="U18" s="15">
        <v>27.5</v>
      </c>
      <c r="V18" s="15">
        <v>27.75</v>
      </c>
      <c r="W18" s="17">
        <f t="shared" si="7"/>
        <v>555</v>
      </c>
      <c r="X18" s="7">
        <f t="shared" si="5"/>
        <v>0.25</v>
      </c>
      <c r="Z18" s="38">
        <f t="shared" si="3"/>
        <v>-4000</v>
      </c>
      <c r="AD18">
        <v>6</v>
      </c>
    </row>
    <row r="19" spans="2:30" x14ac:dyDescent="0.2">
      <c r="B19" s="64">
        <v>37530</v>
      </c>
      <c r="C19" s="2">
        <v>-300</v>
      </c>
      <c r="D19" s="4">
        <v>23</v>
      </c>
      <c r="E19" s="3">
        <f t="shared" si="0"/>
        <v>-110400</v>
      </c>
      <c r="F19" s="3"/>
      <c r="G19" s="15">
        <v>34.5</v>
      </c>
      <c r="H19" s="15">
        <v>34</v>
      </c>
      <c r="I19" s="17">
        <f t="shared" si="6"/>
        <v>782</v>
      </c>
      <c r="J19" s="7">
        <f t="shared" si="1"/>
        <v>-0.5</v>
      </c>
      <c r="L19" s="38">
        <f t="shared" si="2"/>
        <v>55200</v>
      </c>
      <c r="P19" s="64">
        <v>37530</v>
      </c>
      <c r="Q19" s="2">
        <v>50</v>
      </c>
      <c r="R19" s="4">
        <v>23</v>
      </c>
      <c r="S19" s="3">
        <f t="shared" si="4"/>
        <v>18400</v>
      </c>
      <c r="T19" s="3"/>
      <c r="U19" s="15">
        <v>27.5</v>
      </c>
      <c r="V19" s="15">
        <v>27.75</v>
      </c>
      <c r="W19" s="17">
        <f t="shared" si="7"/>
        <v>638.25</v>
      </c>
      <c r="X19" s="7">
        <f t="shared" si="5"/>
        <v>0.25</v>
      </c>
      <c r="Z19" s="38">
        <f t="shared" si="3"/>
        <v>4600</v>
      </c>
      <c r="AD19">
        <v>7</v>
      </c>
    </row>
    <row r="20" spans="2:30" x14ac:dyDescent="0.2">
      <c r="B20" s="64">
        <v>37561</v>
      </c>
      <c r="C20" s="2">
        <v>-300</v>
      </c>
      <c r="D20" s="4">
        <v>20</v>
      </c>
      <c r="E20" s="3">
        <f t="shared" si="0"/>
        <v>-96000</v>
      </c>
      <c r="F20" s="3"/>
      <c r="G20" s="15">
        <v>34.5</v>
      </c>
      <c r="H20" s="15">
        <v>34</v>
      </c>
      <c r="I20" s="17">
        <f t="shared" si="6"/>
        <v>680</v>
      </c>
      <c r="J20" s="7">
        <f t="shared" si="1"/>
        <v>-0.5</v>
      </c>
      <c r="L20" s="38">
        <f t="shared" si="2"/>
        <v>48000</v>
      </c>
      <c r="P20" s="64">
        <v>37561</v>
      </c>
      <c r="Q20" s="2">
        <v>50</v>
      </c>
      <c r="R20" s="4">
        <v>20</v>
      </c>
      <c r="S20" s="3">
        <f t="shared" si="4"/>
        <v>16000</v>
      </c>
      <c r="T20" s="3"/>
      <c r="U20" s="15">
        <v>27.5</v>
      </c>
      <c r="V20" s="15">
        <v>27.75</v>
      </c>
      <c r="W20" s="17">
        <f t="shared" si="7"/>
        <v>555</v>
      </c>
      <c r="X20" s="7">
        <f t="shared" si="5"/>
        <v>0.25</v>
      </c>
      <c r="Z20" s="38">
        <f t="shared" si="3"/>
        <v>4000</v>
      </c>
      <c r="AD20">
        <v>8</v>
      </c>
    </row>
    <row r="21" spans="2:30" x14ac:dyDescent="0.2">
      <c r="B21" s="64">
        <v>37591</v>
      </c>
      <c r="C21" s="2">
        <v>-300</v>
      </c>
      <c r="D21" s="4">
        <v>21</v>
      </c>
      <c r="E21" s="3">
        <f t="shared" si="0"/>
        <v>-100800</v>
      </c>
      <c r="F21" s="3"/>
      <c r="G21" s="15">
        <v>34.5</v>
      </c>
      <c r="H21" s="15">
        <v>34</v>
      </c>
      <c r="I21" s="17">
        <f t="shared" si="6"/>
        <v>714</v>
      </c>
      <c r="J21" s="7">
        <f t="shared" si="1"/>
        <v>-0.5</v>
      </c>
      <c r="L21" s="38">
        <f t="shared" si="2"/>
        <v>50400</v>
      </c>
      <c r="P21" s="64">
        <v>37591</v>
      </c>
      <c r="Q21" s="2">
        <v>50</v>
      </c>
      <c r="R21" s="4">
        <v>21</v>
      </c>
      <c r="S21" s="3">
        <f t="shared" si="4"/>
        <v>16800</v>
      </c>
      <c r="T21" s="3"/>
      <c r="U21" s="15">
        <v>27.5</v>
      </c>
      <c r="V21" s="15">
        <v>27.75</v>
      </c>
      <c r="W21" s="17">
        <f t="shared" si="7"/>
        <v>582.75</v>
      </c>
      <c r="X21" s="7">
        <f t="shared" si="5"/>
        <v>0.25</v>
      </c>
      <c r="Z21" s="38">
        <f t="shared" si="3"/>
        <v>4200</v>
      </c>
      <c r="AD21">
        <v>9</v>
      </c>
    </row>
    <row r="22" spans="2:30" x14ac:dyDescent="0.2">
      <c r="B22" s="16"/>
      <c r="C22" s="2"/>
      <c r="D22" s="4">
        <f>SUM(D10:D21)</f>
        <v>255</v>
      </c>
      <c r="E22" s="3"/>
      <c r="F22" s="3"/>
      <c r="G22" s="15"/>
      <c r="H22" s="15"/>
      <c r="I22" s="17">
        <f>SUM(I10:I21)</f>
        <v>10390</v>
      </c>
      <c r="J22" s="7"/>
      <c r="L22" s="7"/>
      <c r="Q22" s="2"/>
      <c r="R22" s="4">
        <f>SUM(R10:R21)</f>
        <v>255</v>
      </c>
      <c r="S22" s="3"/>
      <c r="T22" s="3"/>
      <c r="U22" s="15"/>
      <c r="V22" s="15"/>
      <c r="W22" s="17">
        <f>SUM(W10:W21)</f>
        <v>8368</v>
      </c>
      <c r="X22" s="7"/>
      <c r="Z22" s="38"/>
      <c r="AD22">
        <v>10</v>
      </c>
    </row>
    <row r="23" spans="2:30" x14ac:dyDescent="0.2">
      <c r="C23" s="2"/>
      <c r="D23" s="4"/>
      <c r="E23" s="3"/>
      <c r="F23" s="3"/>
      <c r="G23" s="15"/>
      <c r="H23" s="15"/>
      <c r="I23" s="17"/>
      <c r="J23" s="7"/>
      <c r="L23" s="8" t="s">
        <v>11</v>
      </c>
      <c r="N23" s="13">
        <f>I36/D36</f>
        <v>42.378431372549016</v>
      </c>
      <c r="Q23" s="2"/>
      <c r="R23" s="4"/>
      <c r="S23" s="3"/>
      <c r="T23" s="3"/>
      <c r="U23" s="15"/>
      <c r="V23" s="15"/>
      <c r="W23" s="17"/>
      <c r="X23" s="7"/>
      <c r="Z23" s="8" t="s">
        <v>11</v>
      </c>
      <c r="AB23" s="13">
        <f>W36/R36</f>
        <v>33.985294117647058</v>
      </c>
      <c r="AD23">
        <v>11</v>
      </c>
    </row>
    <row r="24" spans="2:30" x14ac:dyDescent="0.2">
      <c r="B24" s="16">
        <v>37622</v>
      </c>
      <c r="C24" s="2">
        <v>0</v>
      </c>
      <c r="D24" s="4">
        <v>22</v>
      </c>
      <c r="E24" s="3">
        <f t="shared" si="0"/>
        <v>0</v>
      </c>
      <c r="F24" s="3"/>
      <c r="G24" s="15">
        <v>38.5</v>
      </c>
      <c r="H24" s="15">
        <v>38.5</v>
      </c>
      <c r="I24" s="17">
        <f>H24*D24</f>
        <v>847</v>
      </c>
      <c r="J24" s="7">
        <f t="shared" si="1"/>
        <v>0</v>
      </c>
      <c r="L24" s="38">
        <f t="shared" si="2"/>
        <v>0</v>
      </c>
      <c r="P24" s="16">
        <v>37622</v>
      </c>
      <c r="Q24" s="2">
        <v>150</v>
      </c>
      <c r="R24" s="4">
        <v>22</v>
      </c>
      <c r="S24" s="3">
        <f t="shared" ref="S24:S35" si="8">Q24*R24*16</f>
        <v>52800</v>
      </c>
      <c r="T24" s="3"/>
      <c r="U24" s="15">
        <v>30.75</v>
      </c>
      <c r="V24" s="15">
        <v>31</v>
      </c>
      <c r="W24" s="17">
        <f>V24*R24</f>
        <v>682</v>
      </c>
      <c r="X24" s="7">
        <f t="shared" ref="X24:X35" si="9">V24-U24</f>
        <v>0.25</v>
      </c>
      <c r="Z24" s="38">
        <f t="shared" ref="Z24:Z35" si="10">S24*X24</f>
        <v>13200</v>
      </c>
      <c r="AD24">
        <v>12</v>
      </c>
    </row>
    <row r="25" spans="2:30" x14ac:dyDescent="0.2">
      <c r="B25" s="16">
        <v>37653</v>
      </c>
      <c r="C25" s="2">
        <v>0</v>
      </c>
      <c r="D25" s="4">
        <v>20</v>
      </c>
      <c r="E25" s="3">
        <f t="shared" si="0"/>
        <v>0</v>
      </c>
      <c r="F25" s="3"/>
      <c r="G25" s="15">
        <v>38.5</v>
      </c>
      <c r="H25" s="15">
        <v>38.5</v>
      </c>
      <c r="I25" s="17">
        <f t="shared" ref="I25:I35" si="11">H25*D25</f>
        <v>770</v>
      </c>
      <c r="J25" s="7">
        <f t="shared" si="1"/>
        <v>0</v>
      </c>
      <c r="L25" s="38">
        <f t="shared" si="2"/>
        <v>0</v>
      </c>
      <c r="P25" s="16">
        <v>37653</v>
      </c>
      <c r="Q25" s="2">
        <v>150</v>
      </c>
      <c r="R25" s="4">
        <v>20</v>
      </c>
      <c r="S25" s="3">
        <f t="shared" si="8"/>
        <v>48000</v>
      </c>
      <c r="T25" s="3"/>
      <c r="U25" s="15">
        <v>30.75</v>
      </c>
      <c r="V25" s="15">
        <v>31</v>
      </c>
      <c r="W25" s="17">
        <f t="shared" ref="W25:W35" si="12">V25*R25</f>
        <v>620</v>
      </c>
      <c r="X25" s="7">
        <f t="shared" si="9"/>
        <v>0.25</v>
      </c>
      <c r="Z25" s="38">
        <f t="shared" si="10"/>
        <v>12000</v>
      </c>
      <c r="AD25">
        <v>13</v>
      </c>
    </row>
    <row r="26" spans="2:30" x14ac:dyDescent="0.2">
      <c r="B26" s="64">
        <v>37681</v>
      </c>
      <c r="C26" s="2">
        <v>0</v>
      </c>
      <c r="D26" s="4">
        <v>21</v>
      </c>
      <c r="E26" s="3">
        <f t="shared" si="0"/>
        <v>0</v>
      </c>
      <c r="F26" s="3"/>
      <c r="G26" s="15">
        <v>36.5</v>
      </c>
      <c r="H26" s="15">
        <v>36.5</v>
      </c>
      <c r="I26" s="17">
        <f t="shared" si="11"/>
        <v>766.5</v>
      </c>
      <c r="J26" s="7">
        <f t="shared" si="1"/>
        <v>0</v>
      </c>
      <c r="L26" s="38">
        <f t="shared" si="2"/>
        <v>0</v>
      </c>
      <c r="P26" s="64">
        <v>37681</v>
      </c>
      <c r="Q26" s="2">
        <v>150</v>
      </c>
      <c r="R26" s="4">
        <v>21</v>
      </c>
      <c r="S26" s="3">
        <f t="shared" si="8"/>
        <v>50400</v>
      </c>
      <c r="T26" s="3"/>
      <c r="U26" s="15">
        <v>28.5</v>
      </c>
      <c r="V26" s="15">
        <v>29</v>
      </c>
      <c r="W26" s="17">
        <f t="shared" si="12"/>
        <v>609</v>
      </c>
      <c r="X26" s="7">
        <f t="shared" si="9"/>
        <v>0.5</v>
      </c>
      <c r="Z26" s="38">
        <f t="shared" si="10"/>
        <v>25200</v>
      </c>
      <c r="AD26">
        <v>14</v>
      </c>
    </row>
    <row r="27" spans="2:30" x14ac:dyDescent="0.2">
      <c r="B27" s="64">
        <v>37712</v>
      </c>
      <c r="C27" s="2">
        <v>50</v>
      </c>
      <c r="D27" s="4">
        <v>22</v>
      </c>
      <c r="E27" s="3">
        <f t="shared" si="0"/>
        <v>17600</v>
      </c>
      <c r="F27" s="3"/>
      <c r="G27" s="15">
        <v>36.5</v>
      </c>
      <c r="H27" s="15">
        <v>36.5</v>
      </c>
      <c r="I27" s="17">
        <f t="shared" si="11"/>
        <v>803</v>
      </c>
      <c r="J27" s="7">
        <f t="shared" si="1"/>
        <v>0</v>
      </c>
      <c r="L27" s="38">
        <f t="shared" si="2"/>
        <v>0</v>
      </c>
      <c r="P27" s="64">
        <v>37712</v>
      </c>
      <c r="Q27" s="2">
        <v>150</v>
      </c>
      <c r="R27" s="4">
        <v>22</v>
      </c>
      <c r="S27" s="3">
        <f t="shared" si="8"/>
        <v>52800</v>
      </c>
      <c r="T27" s="3"/>
      <c r="U27" s="15">
        <v>28.5</v>
      </c>
      <c r="V27" s="15">
        <v>29</v>
      </c>
      <c r="W27" s="17">
        <f t="shared" si="12"/>
        <v>638</v>
      </c>
      <c r="X27" s="7">
        <f t="shared" si="9"/>
        <v>0.5</v>
      </c>
      <c r="Z27" s="38">
        <f t="shared" si="10"/>
        <v>26400</v>
      </c>
      <c r="AD27">
        <v>15</v>
      </c>
    </row>
    <row r="28" spans="2:30" x14ac:dyDescent="0.2">
      <c r="B28" s="16">
        <v>37742</v>
      </c>
      <c r="C28" s="2">
        <v>0</v>
      </c>
      <c r="D28" s="4">
        <v>21</v>
      </c>
      <c r="E28" s="3">
        <f t="shared" si="0"/>
        <v>0</v>
      </c>
      <c r="F28" s="3"/>
      <c r="G28" s="15">
        <v>37</v>
      </c>
      <c r="H28" s="15">
        <v>37</v>
      </c>
      <c r="I28" s="17">
        <f t="shared" si="11"/>
        <v>777</v>
      </c>
      <c r="J28" s="7">
        <f t="shared" si="1"/>
        <v>0</v>
      </c>
      <c r="L28" s="38">
        <f t="shared" si="2"/>
        <v>0</v>
      </c>
      <c r="P28" s="16">
        <v>37742</v>
      </c>
      <c r="Q28" s="2">
        <v>150</v>
      </c>
      <c r="R28" s="4">
        <v>21</v>
      </c>
      <c r="S28" s="3">
        <f t="shared" si="8"/>
        <v>50400</v>
      </c>
      <c r="T28" s="3"/>
      <c r="U28" s="15">
        <v>30</v>
      </c>
      <c r="V28" s="15">
        <v>30.75</v>
      </c>
      <c r="W28" s="17">
        <f t="shared" si="12"/>
        <v>645.75</v>
      </c>
      <c r="X28" s="7">
        <f t="shared" si="9"/>
        <v>0.75</v>
      </c>
      <c r="Z28" s="38">
        <f t="shared" si="10"/>
        <v>37800</v>
      </c>
      <c r="AD28">
        <v>16</v>
      </c>
    </row>
    <row r="29" spans="2:30" x14ac:dyDescent="0.2">
      <c r="B29" s="16">
        <v>37773</v>
      </c>
      <c r="C29" s="2">
        <v>0</v>
      </c>
      <c r="D29" s="4">
        <v>21</v>
      </c>
      <c r="E29" s="3">
        <f t="shared" si="0"/>
        <v>0</v>
      </c>
      <c r="F29" s="3"/>
      <c r="G29" s="15">
        <v>45</v>
      </c>
      <c r="H29" s="15">
        <v>45</v>
      </c>
      <c r="I29" s="17">
        <f t="shared" si="11"/>
        <v>945</v>
      </c>
      <c r="J29" s="7">
        <f t="shared" si="1"/>
        <v>0</v>
      </c>
      <c r="L29" s="38">
        <f t="shared" si="2"/>
        <v>0</v>
      </c>
      <c r="P29" s="16">
        <v>37773</v>
      </c>
      <c r="Q29" s="2">
        <v>300</v>
      </c>
      <c r="R29" s="4">
        <v>21</v>
      </c>
      <c r="S29" s="3">
        <f t="shared" si="8"/>
        <v>100800</v>
      </c>
      <c r="T29" s="3"/>
      <c r="U29" s="15">
        <v>39</v>
      </c>
      <c r="V29" s="15">
        <v>39.75</v>
      </c>
      <c r="W29" s="17">
        <f t="shared" si="12"/>
        <v>834.75</v>
      </c>
      <c r="X29" s="7">
        <f t="shared" si="9"/>
        <v>0.75</v>
      </c>
      <c r="Z29" s="38">
        <f t="shared" si="10"/>
        <v>75600</v>
      </c>
    </row>
    <row r="30" spans="2:30" x14ac:dyDescent="0.2">
      <c r="B30" s="16">
        <v>37803</v>
      </c>
      <c r="C30" s="2">
        <v>-50</v>
      </c>
      <c r="D30" s="4">
        <v>22</v>
      </c>
      <c r="E30" s="3">
        <f t="shared" si="0"/>
        <v>-17600</v>
      </c>
      <c r="F30" s="3"/>
      <c r="G30" s="15">
        <v>65</v>
      </c>
      <c r="H30" s="15">
        <v>66</v>
      </c>
      <c r="I30" s="17">
        <f t="shared" si="11"/>
        <v>1452</v>
      </c>
      <c r="J30" s="7">
        <f t="shared" si="1"/>
        <v>1</v>
      </c>
      <c r="L30" s="38">
        <f t="shared" si="2"/>
        <v>-17600</v>
      </c>
      <c r="P30" s="16">
        <v>37803</v>
      </c>
      <c r="Q30" s="2">
        <v>850</v>
      </c>
      <c r="R30" s="4">
        <v>22</v>
      </c>
      <c r="S30" s="3">
        <f t="shared" si="8"/>
        <v>299200</v>
      </c>
      <c r="T30" s="3"/>
      <c r="U30" s="15">
        <v>50.5</v>
      </c>
      <c r="V30" s="15">
        <v>51</v>
      </c>
      <c r="W30" s="17">
        <f t="shared" si="12"/>
        <v>1122</v>
      </c>
      <c r="X30" s="7">
        <f t="shared" si="9"/>
        <v>0.5</v>
      </c>
      <c r="Z30" s="38">
        <f t="shared" si="10"/>
        <v>149600</v>
      </c>
    </row>
    <row r="31" spans="2:30" x14ac:dyDescent="0.2">
      <c r="B31" s="16">
        <v>37834</v>
      </c>
      <c r="C31" s="2">
        <v>-50</v>
      </c>
      <c r="D31" s="4">
        <v>21</v>
      </c>
      <c r="E31" s="3">
        <f t="shared" si="0"/>
        <v>-16800</v>
      </c>
      <c r="F31" s="3"/>
      <c r="G31" s="15">
        <v>65</v>
      </c>
      <c r="H31" s="15">
        <v>66</v>
      </c>
      <c r="I31" s="17">
        <f t="shared" si="11"/>
        <v>1386</v>
      </c>
      <c r="J31" s="7">
        <f t="shared" si="1"/>
        <v>1</v>
      </c>
      <c r="L31" s="38">
        <f t="shared" si="2"/>
        <v>-16800</v>
      </c>
      <c r="P31" s="16">
        <v>37834</v>
      </c>
      <c r="Q31" s="2">
        <v>850</v>
      </c>
      <c r="R31" s="4">
        <v>21</v>
      </c>
      <c r="S31" s="3">
        <f t="shared" si="8"/>
        <v>285600</v>
      </c>
      <c r="T31" s="3"/>
      <c r="U31" s="15">
        <v>50.5</v>
      </c>
      <c r="V31" s="15">
        <v>51</v>
      </c>
      <c r="W31" s="17">
        <f t="shared" si="12"/>
        <v>1071</v>
      </c>
      <c r="X31" s="7">
        <f t="shared" si="9"/>
        <v>0.5</v>
      </c>
      <c r="Z31" s="38">
        <f t="shared" si="10"/>
        <v>142800</v>
      </c>
    </row>
    <row r="32" spans="2:30" x14ac:dyDescent="0.2">
      <c r="B32" s="16">
        <v>37865</v>
      </c>
      <c r="C32" s="2">
        <v>50</v>
      </c>
      <c r="D32" s="4">
        <v>21</v>
      </c>
      <c r="E32" s="3">
        <f t="shared" si="0"/>
        <v>16800</v>
      </c>
      <c r="F32" s="3"/>
      <c r="G32" s="15">
        <v>36.5</v>
      </c>
      <c r="H32" s="15">
        <v>36</v>
      </c>
      <c r="I32" s="17">
        <f t="shared" si="11"/>
        <v>756</v>
      </c>
      <c r="J32" s="7">
        <f t="shared" si="1"/>
        <v>-0.5</v>
      </c>
      <c r="L32" s="38">
        <f t="shared" si="2"/>
        <v>-8400</v>
      </c>
      <c r="P32" s="16">
        <v>37865</v>
      </c>
      <c r="Q32" s="2">
        <v>150</v>
      </c>
      <c r="R32" s="4">
        <v>21</v>
      </c>
      <c r="S32" s="3">
        <f t="shared" si="8"/>
        <v>50400</v>
      </c>
      <c r="T32" s="3"/>
      <c r="U32" s="15">
        <v>28.5</v>
      </c>
      <c r="V32" s="15">
        <v>28.75</v>
      </c>
      <c r="W32" s="17">
        <f t="shared" si="12"/>
        <v>603.75</v>
      </c>
      <c r="X32" s="7">
        <f t="shared" si="9"/>
        <v>0.25</v>
      </c>
      <c r="Z32" s="38">
        <f t="shared" si="10"/>
        <v>12600</v>
      </c>
    </row>
    <row r="33" spans="2:26" x14ac:dyDescent="0.2">
      <c r="B33" s="16">
        <v>37895</v>
      </c>
      <c r="C33" s="2">
        <v>50</v>
      </c>
      <c r="D33" s="4">
        <v>23</v>
      </c>
      <c r="E33" s="3">
        <f t="shared" si="0"/>
        <v>18400</v>
      </c>
      <c r="F33" s="3"/>
      <c r="G33" s="15">
        <v>36.5</v>
      </c>
      <c r="H33" s="15">
        <v>36</v>
      </c>
      <c r="I33" s="17">
        <f t="shared" si="11"/>
        <v>828</v>
      </c>
      <c r="J33" s="7">
        <f t="shared" si="1"/>
        <v>-0.5</v>
      </c>
      <c r="L33" s="38">
        <f t="shared" si="2"/>
        <v>-9200</v>
      </c>
      <c r="P33" s="16">
        <v>37895</v>
      </c>
      <c r="Q33" s="2">
        <v>150</v>
      </c>
      <c r="R33" s="4">
        <v>23</v>
      </c>
      <c r="S33" s="3">
        <f t="shared" si="8"/>
        <v>55200</v>
      </c>
      <c r="T33" s="3"/>
      <c r="U33" s="15">
        <v>28.5</v>
      </c>
      <c r="V33" s="15">
        <v>28.75</v>
      </c>
      <c r="W33" s="17">
        <f t="shared" si="12"/>
        <v>661.25</v>
      </c>
      <c r="X33" s="7">
        <f t="shared" si="9"/>
        <v>0.25</v>
      </c>
      <c r="Z33" s="38">
        <f t="shared" si="10"/>
        <v>13800</v>
      </c>
    </row>
    <row r="34" spans="2:26" x14ac:dyDescent="0.2">
      <c r="B34" s="16">
        <v>37926</v>
      </c>
      <c r="C34" s="2">
        <v>50</v>
      </c>
      <c r="D34" s="4">
        <v>19</v>
      </c>
      <c r="E34" s="3">
        <f t="shared" si="0"/>
        <v>15200</v>
      </c>
      <c r="F34" s="3"/>
      <c r="G34" s="15">
        <v>36.5</v>
      </c>
      <c r="H34" s="15">
        <v>36</v>
      </c>
      <c r="I34" s="17">
        <f t="shared" si="11"/>
        <v>684</v>
      </c>
      <c r="J34" s="7">
        <f t="shared" si="1"/>
        <v>-0.5</v>
      </c>
      <c r="L34" s="38">
        <f t="shared" si="2"/>
        <v>-7600</v>
      </c>
      <c r="P34" s="16">
        <v>37926</v>
      </c>
      <c r="Q34" s="2">
        <v>150</v>
      </c>
      <c r="R34" s="4">
        <v>19</v>
      </c>
      <c r="S34" s="3">
        <f t="shared" si="8"/>
        <v>45600</v>
      </c>
      <c r="T34" s="3"/>
      <c r="U34" s="15">
        <v>28.5</v>
      </c>
      <c r="V34" s="15">
        <v>28.75</v>
      </c>
      <c r="W34" s="17">
        <f t="shared" si="12"/>
        <v>546.25</v>
      </c>
      <c r="X34" s="7">
        <f t="shared" si="9"/>
        <v>0.25</v>
      </c>
      <c r="Z34" s="38">
        <f t="shared" si="10"/>
        <v>11400</v>
      </c>
    </row>
    <row r="35" spans="2:26" x14ac:dyDescent="0.2">
      <c r="B35" s="16">
        <v>37956</v>
      </c>
      <c r="C35" s="2">
        <v>50</v>
      </c>
      <c r="D35" s="4">
        <v>22</v>
      </c>
      <c r="E35" s="3">
        <f t="shared" si="0"/>
        <v>17600</v>
      </c>
      <c r="F35" s="3"/>
      <c r="G35" s="15">
        <v>36.5</v>
      </c>
      <c r="H35" s="15">
        <v>36</v>
      </c>
      <c r="I35" s="17">
        <f t="shared" si="11"/>
        <v>792</v>
      </c>
      <c r="J35" s="7">
        <f t="shared" si="1"/>
        <v>-0.5</v>
      </c>
      <c r="L35" s="38">
        <f t="shared" si="2"/>
        <v>-8800</v>
      </c>
      <c r="P35" s="16">
        <v>37956</v>
      </c>
      <c r="Q35" s="2">
        <v>150</v>
      </c>
      <c r="R35" s="4">
        <v>22</v>
      </c>
      <c r="S35" s="3">
        <f t="shared" si="8"/>
        <v>52800</v>
      </c>
      <c r="T35" s="3"/>
      <c r="U35" s="15">
        <v>28.5</v>
      </c>
      <c r="V35" s="15">
        <v>28.75</v>
      </c>
      <c r="W35" s="17">
        <f t="shared" si="12"/>
        <v>632.5</v>
      </c>
      <c r="X35" s="7">
        <f t="shared" si="9"/>
        <v>0.25</v>
      </c>
      <c r="Z35" s="38">
        <f t="shared" si="10"/>
        <v>13200</v>
      </c>
    </row>
    <row r="36" spans="2:26" x14ac:dyDescent="0.2">
      <c r="B36" s="16"/>
      <c r="C36" s="2"/>
      <c r="D36" s="4">
        <f>SUM(D24:D35)</f>
        <v>255</v>
      </c>
      <c r="E36" s="3"/>
      <c r="F36" s="3"/>
      <c r="G36" s="15"/>
      <c r="H36" s="15"/>
      <c r="I36" s="17">
        <f>SUM(I24:I35)</f>
        <v>10806.5</v>
      </c>
      <c r="J36" s="7"/>
      <c r="L36" s="38"/>
      <c r="P36" s="16"/>
      <c r="Q36" s="2"/>
      <c r="R36" s="4">
        <f>SUM(R24:R35)</f>
        <v>255</v>
      </c>
      <c r="S36" s="3"/>
      <c r="T36" s="3"/>
      <c r="U36" s="15"/>
      <c r="V36" s="15"/>
      <c r="W36" s="17">
        <f>SUM(W24:W35)</f>
        <v>8666.25</v>
      </c>
      <c r="X36" s="7"/>
      <c r="Z36" s="38"/>
    </row>
    <row r="37" spans="2:26" x14ac:dyDescent="0.2">
      <c r="B37" s="16"/>
      <c r="C37" s="2"/>
      <c r="D37" s="4"/>
      <c r="E37" s="3"/>
      <c r="F37" s="3"/>
      <c r="G37" s="15"/>
      <c r="H37" s="15"/>
      <c r="I37" s="17"/>
      <c r="J37" s="7"/>
      <c r="L37" s="38"/>
      <c r="P37" s="16"/>
      <c r="Q37" s="2"/>
      <c r="R37" s="4"/>
      <c r="S37" s="3"/>
      <c r="T37" s="3"/>
      <c r="U37" s="15"/>
      <c r="V37" s="15"/>
      <c r="W37" s="17"/>
      <c r="X37" s="7"/>
      <c r="Z37" s="38"/>
    </row>
    <row r="38" spans="2:26" x14ac:dyDescent="0.2">
      <c r="B38" s="16" t="s">
        <v>12</v>
      </c>
      <c r="C38" s="2">
        <v>0</v>
      </c>
      <c r="D38" s="4">
        <v>257</v>
      </c>
      <c r="E38" s="3">
        <f t="shared" si="0"/>
        <v>0</v>
      </c>
      <c r="F38" s="3"/>
      <c r="G38" s="15">
        <v>43.34</v>
      </c>
      <c r="H38" s="15">
        <v>43.34</v>
      </c>
      <c r="I38" s="5"/>
      <c r="J38" s="7">
        <f t="shared" si="1"/>
        <v>0</v>
      </c>
      <c r="L38" s="38">
        <f>E38*J38</f>
        <v>0</v>
      </c>
      <c r="P38" s="16" t="s">
        <v>12</v>
      </c>
      <c r="Q38" s="2">
        <v>125</v>
      </c>
      <c r="R38" s="4">
        <v>257</v>
      </c>
      <c r="S38" s="3">
        <f>Q38*R38*16</f>
        <v>514000</v>
      </c>
      <c r="T38" s="3"/>
      <c r="U38" s="15">
        <v>34.31</v>
      </c>
      <c r="V38" s="15">
        <v>34.5</v>
      </c>
      <c r="W38" s="5"/>
      <c r="X38" s="7">
        <f>V38-U38</f>
        <v>0.18999999999999773</v>
      </c>
      <c r="Z38" s="38">
        <f>S38*X38</f>
        <v>97659.999999998836</v>
      </c>
    </row>
    <row r="39" spans="2:26" x14ac:dyDescent="0.2">
      <c r="B39" s="16" t="s">
        <v>24</v>
      </c>
      <c r="C39" s="2">
        <v>0</v>
      </c>
      <c r="D39" s="4">
        <v>255</v>
      </c>
      <c r="E39" s="3">
        <f t="shared" si="0"/>
        <v>0</v>
      </c>
      <c r="F39" s="3"/>
      <c r="G39" s="15">
        <v>44.1</v>
      </c>
      <c r="H39" s="15">
        <v>44.1</v>
      </c>
      <c r="I39" s="5"/>
      <c r="J39" s="7">
        <f t="shared" si="1"/>
        <v>0</v>
      </c>
      <c r="L39" s="38">
        <f>E39*J39</f>
        <v>0</v>
      </c>
      <c r="P39" s="16" t="s">
        <v>24</v>
      </c>
      <c r="Q39" s="2">
        <v>0</v>
      </c>
      <c r="R39" s="4">
        <v>255</v>
      </c>
      <c r="S39" s="3">
        <f>Q39*R39*16</f>
        <v>0</v>
      </c>
      <c r="T39" s="3"/>
      <c r="U39" s="15">
        <v>34.97</v>
      </c>
      <c r="V39" s="15">
        <v>34.97</v>
      </c>
      <c r="W39" s="5"/>
      <c r="X39" s="7">
        <f>V39-U39</f>
        <v>0</v>
      </c>
      <c r="Z39" s="38">
        <f>S39*X39</f>
        <v>0</v>
      </c>
    </row>
    <row r="40" spans="2:26" x14ac:dyDescent="0.2">
      <c r="B40" s="16" t="s">
        <v>34</v>
      </c>
      <c r="C40" s="2">
        <v>0</v>
      </c>
      <c r="D40" s="4">
        <v>254</v>
      </c>
      <c r="E40" s="3">
        <f t="shared" si="0"/>
        <v>0</v>
      </c>
      <c r="F40" s="3"/>
      <c r="G40" s="15">
        <v>44.88</v>
      </c>
      <c r="H40" s="15">
        <v>44.88</v>
      </c>
      <c r="I40" s="5"/>
      <c r="J40" s="7">
        <f t="shared" si="1"/>
        <v>0</v>
      </c>
      <c r="L40" s="38">
        <f>E40*J40</f>
        <v>0</v>
      </c>
      <c r="P40" s="16" t="s">
        <v>34</v>
      </c>
      <c r="Q40" s="2">
        <v>0</v>
      </c>
      <c r="R40" s="4">
        <v>254</v>
      </c>
      <c r="S40" s="3">
        <f>Q40*R40*16</f>
        <v>0</v>
      </c>
      <c r="T40" s="3"/>
      <c r="U40" s="15">
        <v>35.479999999999997</v>
      </c>
      <c r="V40" s="15">
        <v>35.479999999999997</v>
      </c>
      <c r="W40" s="5"/>
      <c r="X40" s="7">
        <f>V40-U40</f>
        <v>0</v>
      </c>
      <c r="Z40" s="38">
        <f>S40*X40</f>
        <v>0</v>
      </c>
    </row>
    <row r="41" spans="2:26" x14ac:dyDescent="0.2">
      <c r="B41" s="16" t="s">
        <v>35</v>
      </c>
      <c r="C41" s="2">
        <v>0</v>
      </c>
      <c r="D41" s="4">
        <v>255</v>
      </c>
      <c r="E41" s="3">
        <f t="shared" si="0"/>
        <v>0</v>
      </c>
      <c r="F41" s="3"/>
      <c r="G41" s="15">
        <v>45.62</v>
      </c>
      <c r="H41" s="15">
        <v>45.62</v>
      </c>
      <c r="I41" s="5"/>
      <c r="J41" s="7">
        <f t="shared" si="1"/>
        <v>0</v>
      </c>
      <c r="L41" s="38">
        <f>E41*J41</f>
        <v>0</v>
      </c>
      <c r="P41" s="16" t="s">
        <v>35</v>
      </c>
      <c r="Q41" s="2">
        <v>0</v>
      </c>
      <c r="R41" s="4">
        <v>255</v>
      </c>
      <c r="S41" s="3">
        <f>Q41*R41*16</f>
        <v>0</v>
      </c>
      <c r="T41" s="3"/>
      <c r="U41" s="15">
        <v>35.99</v>
      </c>
      <c r="V41" s="15">
        <v>35.99</v>
      </c>
      <c r="W41" s="5"/>
      <c r="X41" s="7">
        <f>V41-U41</f>
        <v>0</v>
      </c>
      <c r="Z41" s="38">
        <f>S41*X41</f>
        <v>0</v>
      </c>
    </row>
    <row r="42" spans="2:26" ht="13.5" thickBot="1" x14ac:dyDescent="0.25">
      <c r="B42" s="16" t="s">
        <v>36</v>
      </c>
      <c r="C42" s="2">
        <v>0</v>
      </c>
      <c r="D42" s="4">
        <v>256</v>
      </c>
      <c r="E42" s="18">
        <f t="shared" si="0"/>
        <v>0</v>
      </c>
      <c r="F42" s="3"/>
      <c r="G42" s="15">
        <v>46.75</v>
      </c>
      <c r="H42" s="15">
        <v>46.75</v>
      </c>
      <c r="I42" s="5"/>
      <c r="J42" s="7">
        <f t="shared" si="1"/>
        <v>0</v>
      </c>
      <c r="L42" s="38">
        <f>E42*J42</f>
        <v>0</v>
      </c>
      <c r="P42" s="16" t="s">
        <v>36</v>
      </c>
      <c r="Q42" s="2">
        <v>0</v>
      </c>
      <c r="R42" s="4">
        <v>256</v>
      </c>
      <c r="S42" s="18">
        <f>Q42*R42*16</f>
        <v>0</v>
      </c>
      <c r="T42" s="3"/>
      <c r="U42" s="15">
        <v>36.380000000000003</v>
      </c>
      <c r="V42" s="15">
        <v>36.380000000000003</v>
      </c>
      <c r="W42" s="5"/>
      <c r="X42" s="7">
        <f>V42-U42</f>
        <v>0</v>
      </c>
      <c r="Z42" s="38">
        <f>S42*X42</f>
        <v>0</v>
      </c>
    </row>
    <row r="43" spans="2:26" x14ac:dyDescent="0.2">
      <c r="E43" s="20">
        <f>SUM(E8:E42)</f>
        <v>175200</v>
      </c>
      <c r="G43" s="15"/>
      <c r="H43" s="15"/>
      <c r="S43" s="20">
        <f>SUM(S8:S42)</f>
        <v>2861680</v>
      </c>
      <c r="U43" s="15"/>
      <c r="V43" s="15"/>
    </row>
    <row r="44" spans="2:26" ht="13.5" customHeight="1" x14ac:dyDescent="0.2">
      <c r="L44" s="25">
        <f>SUM(L8:L42)</f>
        <v>553600</v>
      </c>
      <c r="Z44" s="25">
        <f>SUM(Z8:Z42)</f>
        <v>780059.99999999884</v>
      </c>
    </row>
    <row r="47" spans="2:26" x14ac:dyDescent="0.2">
      <c r="V47" s="5" t="s">
        <v>73</v>
      </c>
      <c r="Z47" s="25">
        <f>L44+Z44</f>
        <v>1333659.9999999988</v>
      </c>
    </row>
    <row r="53" ht="13.5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PJM</vt:lpstr>
      <vt:lpstr>OFF PEAK</vt:lpstr>
      <vt:lpstr>Sheet1</vt:lpstr>
      <vt:lpstr>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rbenson</dc:creator>
  <cp:lastModifiedBy>Jan Havlíček</cp:lastModifiedBy>
  <cp:lastPrinted>2001-07-19T11:40:08Z</cp:lastPrinted>
  <dcterms:created xsi:type="dcterms:W3CDTF">2000-12-31T14:45:52Z</dcterms:created>
  <dcterms:modified xsi:type="dcterms:W3CDTF">2023-09-13T21:48:56Z</dcterms:modified>
</cp:coreProperties>
</file>